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chartsheets/sheet1.xml" ContentType="application/vnd.openxmlformats-officedocument.spreadsheetml.chart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chartsheets/sheet2.xml" ContentType="application/vnd.openxmlformats-officedocument.spreadsheetml.chartsheet+xml"/>
  <Override PartName="/xl/worksheets/sheet69.xml" ContentType="application/vnd.openxmlformats-officedocument.spreadsheetml.worksheet+xml"/>
  <Override PartName="/xl/worksheets/sheet7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5.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6.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27.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28.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29.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0.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hidePivotFieldList="1" defaultThemeVersion="202300"/>
  <mc:AlternateContent xmlns:mc="http://schemas.openxmlformats.org/markup-compatibility/2006">
    <mc:Choice Requires="x15">
      <x15ac:absPath xmlns:x15ac="http://schemas.microsoft.com/office/spreadsheetml/2010/11/ac" url="/Users/sihambelgadi/Workspace/aifina/dashboardstreamlit/data/"/>
    </mc:Choice>
  </mc:AlternateContent>
  <xr:revisionPtr revIDLastSave="0" documentId="8_{762A3BEC-856C-0842-B5D4-0EBDFFF8C56B}" xr6:coauthVersionLast="47" xr6:coauthVersionMax="47" xr10:uidLastSave="{00000000-0000-0000-0000-000000000000}"/>
  <bookViews>
    <workbookView xWindow="0" yWindow="740" windowWidth="30240" windowHeight="18900" tabRatio="874" firstSheet="7" activeTab="18" xr2:uid="{0080E35A-0307-418B-8FDA-2768765D2E06}"/>
  </bookViews>
  <sheets>
    <sheet name="Revenue details" sheetId="38" state="hidden" r:id="rId1"/>
    <sheet name="Sheet3" sheetId="16" state="hidden" r:id="rId2"/>
    <sheet name="Sheet5" sheetId="18" state="hidden" r:id="rId3"/>
    <sheet name="Sheet4" sheetId="17" state="hidden" r:id="rId4"/>
    <sheet name="Executive summary global analys" sheetId="75" state="hidden" r:id="rId5"/>
    <sheet name="Fomulas ExecSum" sheetId="63" state="hidden" r:id="rId6"/>
    <sheet name="Menu format" sheetId="87" r:id="rId7"/>
    <sheet name="Sign In" sheetId="86" r:id="rId8"/>
    <sheet name="Marketing" sheetId="62" r:id="rId9"/>
    <sheet name="AIFINA &gt;&gt;" sheetId="21" r:id="rId10"/>
    <sheet name="Chart2" sheetId="88" r:id="rId11"/>
    <sheet name="Dashboard Aifina" sheetId="37" r:id="rId12"/>
    <sheet name="Executive summary" sheetId="61" r:id="rId13"/>
    <sheet name="Risk management" sheetId="67" r:id="rId14"/>
    <sheet name="Benchmark - General" sheetId="64" r:id="rId15"/>
    <sheet name="Benchmark - Strategic inputs" sheetId="65" r:id="rId16"/>
    <sheet name="Benchmark - Financial analytics" sheetId="66" r:id="rId17"/>
    <sheet name="Revenue analysis" sheetId="51" r:id="rId18"/>
    <sheet name="P&amp;L Page" sheetId="39" r:id="rId19"/>
    <sheet name="P&amp;L Page YTD" sheetId="56" r:id="rId20"/>
    <sheet name="LTM Cashflow Stat." sheetId="59" r:id="rId21"/>
    <sheet name="LTM Balance Sheet" sheetId="43" r:id="rId22"/>
    <sheet name="Forecast Balance Sheet" sheetId="72" r:id="rId23"/>
    <sheet name="LTM P&amp;L" sheetId="42" r:id="rId24"/>
    <sheet name="Monthly CashFlow" sheetId="60" r:id="rId25"/>
    <sheet name="Balance Sheet" sheetId="40" r:id="rId26"/>
    <sheet name="P&amp;L Budget" sheetId="52" r:id="rId27"/>
    <sheet name="Forecasted P&amp;L" sheetId="73" r:id="rId28"/>
    <sheet name="Aifina generative AI" sheetId="70" r:id="rId29"/>
    <sheet name="Balance sheet Budget" sheetId="53" r:id="rId30"/>
    <sheet name="Working capital evolution" sheetId="44" r:id="rId31"/>
    <sheet name="Indepth WC DSO" sheetId="45" r:id="rId32"/>
    <sheet name="Indepth WC DIO" sheetId="49" r:id="rId33"/>
    <sheet name="Indepth WC DPO" sheetId="47" r:id="rId34"/>
    <sheet name="Cost analysis" sheetId="54" r:id="rId35"/>
    <sheet name="Executive Summary comments" sheetId="83" r:id="rId36"/>
    <sheet name="Benchmark database" sheetId="74" r:id="rId37"/>
    <sheet name="Comments database" sheetId="69" r:id="rId38"/>
    <sheet name="EBITDA Analysis and prompts" sheetId="78" r:id="rId39"/>
    <sheet name="Margin analysis prompts" sheetId="77" r:id="rId40"/>
    <sheet name="Revenue analysis prompts" sheetId="76" r:id="rId41"/>
    <sheet name="Cashflow comments" sheetId="82" r:id="rId42"/>
    <sheet name="LTM P&amp;L (2)" sheetId="55" state="hidden" r:id="rId43"/>
    <sheet name="Indepth Working Capital" sheetId="32" state="hidden" r:id="rId44"/>
    <sheet name="DIO Comments" sheetId="81" r:id="rId45"/>
    <sheet name="DPO Comments" sheetId="80" r:id="rId46"/>
    <sheet name="DSO Comments" sheetId="79" r:id="rId47"/>
    <sheet name="Sheet16" sheetId="84" r:id="rId48"/>
    <sheet name="Inputs" sheetId="1" r:id="rId49"/>
    <sheet name="Cost Structure" sheetId="2" r:id="rId50"/>
    <sheet name="Purchases" sheetId="5" r:id="rId51"/>
    <sheet name="Wages" sheetId="11" r:id="rId52"/>
    <sheet name="ERP_Inventory" sheetId="6" r:id="rId53"/>
    <sheet name="Sales volumes" sheetId="4" r:id="rId54"/>
    <sheet name="Selling prices" sheetId="3" r:id="rId55"/>
    <sheet name="Revenue" sheetId="8" r:id="rId56"/>
    <sheet name="Reference" sheetId="23" r:id="rId57"/>
    <sheet name="Sheet2" sheetId="31" r:id="rId58"/>
    <sheet name="Sheet7" sheetId="33" r:id="rId59"/>
    <sheet name="Dashboard" sheetId="35" r:id="rId60"/>
    <sheet name="Sheet10" sheetId="36" r:id="rId61"/>
    <sheet name="Last 12 Bilan" sheetId="29" r:id="rId62"/>
    <sheet name="Jounal entries final" sheetId="19" r:id="rId63"/>
    <sheet name="Feuille de verification" sheetId="20" r:id="rId64"/>
    <sheet name="Working Capital" sheetId="26" state="hidden" r:id="rId65"/>
    <sheet name="Last 12M" sheetId="25" state="hidden" r:id="rId66"/>
    <sheet name="Financial statement 2 BS" sheetId="24" state="hidden" r:id="rId67"/>
    <sheet name="Financial statement 1 P&amp;L" sheetId="22" state="hidden" r:id="rId68"/>
    <sheet name="Financial statement 2 Cash Flow" sheetId="28" state="hidden" r:id="rId69"/>
    <sheet name="Chart1" sheetId="27" state="hidden" r:id="rId70"/>
    <sheet name="Sheet1" sheetId="14" state="hidden" r:id="rId71"/>
    <sheet name="Journal entries" sheetId="13" state="hidden" r:id="rId72"/>
  </sheets>
  <externalReferences>
    <externalReference r:id="rId73"/>
  </externalReferences>
  <definedNames>
    <definedName name="_xlnm._FilterDatabase" localSheetId="62" hidden="1">'Jounal entries final'!$A$1:$S$1942</definedName>
    <definedName name="_xlnm._FilterDatabase" localSheetId="55" hidden="1">Revenue!$A$2:$A$12</definedName>
    <definedName name="_xlnm._FilterDatabase" localSheetId="53" hidden="1">'Sales volumes'!$A$23:$N$32</definedName>
    <definedName name="_xlnm._FilterDatabase" localSheetId="54" hidden="1">'Selling prices'!$A$1:$N$10</definedName>
    <definedName name="_xlnm._FilterDatabase" localSheetId="70" hidden="1">Sheet1!$F$3:$K$243</definedName>
    <definedName name="_xlnm._FilterDatabase" localSheetId="3" hidden="1">Sheet4!$A$8:$O$26</definedName>
    <definedName name="Cash_position" localSheetId="28">OFFSET('LTM Cashflow Stat.'!$D$44,0,MATCH('Aifina generative AI'!#REF!,'LTM Cashflow Stat.'!$D$17:$O$17,0)-1,1,MATCH('Aifina generative AI'!#REF!,'LTM Cashflow Stat.'!$D$17:$O$17,0)-MATCH('Aifina generative AI'!#REF!,'LTM Cashflow Stat.'!$D$17:$O$17,0)+1)</definedName>
    <definedName name="Cash_position" localSheetId="16">OFFSET('LTM Cashflow Stat.'!$D$44,0,MATCH('Benchmark - Financial analytics'!#REF!,'LTM Cashflow Stat.'!$D$17:$O$17,0)-1,1,MATCH('Benchmark - Financial analytics'!$H$17,'LTM Cashflow Stat.'!$D$17:$O$17,0)-MATCH('Benchmark - Financial analytics'!#REF!,'LTM Cashflow Stat.'!$D$17:$O$17,0)+1)</definedName>
    <definedName name="Cash_position" localSheetId="14">OFFSET('LTM Cashflow Stat.'!$D$44,0,MATCH('Benchmark - General'!#REF!,'LTM Cashflow Stat.'!$D$17:$O$17,0)-1,1,MATCH('Benchmark - General'!$H$16,'LTM Cashflow Stat.'!$D$17:$O$17,0)-MATCH('Benchmark - General'!#REF!,'LTM Cashflow Stat.'!$D$17:$O$17,0)+1)</definedName>
    <definedName name="Cash_position" localSheetId="15">OFFSET('LTM Cashflow Stat.'!$D$44,0,MATCH('Benchmark - Strategic inputs'!#REF!,'LTM Cashflow Stat.'!$D$17:$O$17,0)-1,1,MATCH('Benchmark - Strategic inputs'!$H$17,'LTM Cashflow Stat.'!$D$17:$O$17,0)-MATCH('Benchmark - Strategic inputs'!#REF!,'LTM Cashflow Stat.'!$D$17:$O$17,0)+1)</definedName>
    <definedName name="Cash_position" localSheetId="12">OFFSET('LTM Cashflow Stat.'!$D$44,0,MATCH('Executive summary'!$E$16,'LTM Cashflow Stat.'!$D$17:$O$17,0)-1,1,MATCH('Executive summary'!$H$16,'LTM Cashflow Stat.'!$D$17:$O$17,0)-MATCH('Executive summary'!$E$16,'LTM Cashflow Stat.'!$D$17:$O$17,0)+1)</definedName>
    <definedName name="Cash_position" localSheetId="13">OFFSET('LTM Cashflow Stat.'!$D$44,0,MATCH('Risk management'!#REF!,'LTM Cashflow Stat.'!$D$17:$O$17,0)-1,1,MATCH('Risk management'!$H$17,'LTM Cashflow Stat.'!$D$17:$O$17,0)-MATCH('Risk management'!#REF!,'LTM Cashflow Stat.'!$D$17:$O$17,0)+1)</definedName>
    <definedName name="Cash_position">OFFSET('LTM Cashflow Stat.'!$D$44,0,MATCH('Dashboard Aifina'!$H$15,'LTM Cashflow Stat.'!$D$17:$O$17,0)-1,1,MATCH('Dashboard Aifina'!$H$16,'LTM Cashflow Stat.'!$D$17:$O$17,0)-MATCH('Dashboard Aifina'!$H$15,'LTM Cashflow Stat.'!$D$17:$O$17,0)+1)</definedName>
    <definedName name="Cost_of_goods_sold" localSheetId="28">OFFSET('LTM P&amp;L'!$J$29:$S$169,0,MATCH('Aifina generative AI'!#REF!,'LTM P&amp;L'!$D$17:$O$17,0)-1,1,MATCH('Aifina generative AI'!#REF!,'LTM P&amp;L'!$D$17:$O$17,0)-MATCH('Aifina generative AI'!#REF!,'LTM P&amp;L'!$D$17:$O$17,0)+1)</definedName>
    <definedName name="Cost_of_goods_sold" localSheetId="16">OFFSET('LTM P&amp;L'!$J$29:$S$169,0,MATCH('Benchmark - Financial analytics'!#REF!,'LTM P&amp;L'!$D$17:$O$17,0)-1,1,MATCH('Benchmark - Financial analytics'!$H$17,'LTM P&amp;L'!$D$17:$O$17,0)-MATCH('Benchmark - Financial analytics'!#REF!,'LTM P&amp;L'!$D$17:$O$17,0)+1)</definedName>
    <definedName name="Cost_of_goods_sold" localSheetId="14">OFFSET('LTM P&amp;L'!$J$29:$S$169,0,MATCH('Benchmark - General'!#REF!,'LTM P&amp;L'!$D$17:$O$17,0)-1,1,MATCH('Benchmark - General'!$H$16,'LTM P&amp;L'!$D$17:$O$17,0)-MATCH('Benchmark - General'!#REF!,'LTM P&amp;L'!$D$17:$O$17,0)+1)</definedName>
    <definedName name="Cost_of_goods_sold" localSheetId="15">OFFSET('LTM P&amp;L'!$J$29:$S$169,0,MATCH('Benchmark - Strategic inputs'!#REF!,'LTM P&amp;L'!$D$17:$O$17,0)-1,1,MATCH('Benchmark - Strategic inputs'!$H$17,'LTM P&amp;L'!$D$17:$O$17,0)-MATCH('Benchmark - Strategic inputs'!#REF!,'LTM P&amp;L'!$D$17:$O$17,0)+1)</definedName>
    <definedName name="Cost_of_goods_sold" localSheetId="12">OFFSET('LTM P&amp;L'!$J$29:$S$169,0,MATCH('Executive summary'!$E$16,'LTM P&amp;L'!$D$17:$O$17,0)-1,1,MATCH('Executive summary'!$H$16,'LTM P&amp;L'!$D$17:$O$17,0)-MATCH('Executive summary'!$E$16,'LTM P&amp;L'!$D$17:$O$17,0)+1)</definedName>
    <definedName name="Cost_of_goods_sold" localSheetId="27">OFFSET('Forecasted P&amp;L'!$J$27:$S$167,0,MATCH('Dashboard Aifina'!$H$15,'Forecasted P&amp;L'!$D$15:$O$15,0)-1,1,MATCH('Dashboard Aifina'!$H$16,'Forecasted P&amp;L'!$D$15:$O$15,0)-MATCH('Dashboard Aifina'!$H$15,'Forecasted P&amp;L'!$D$15:$O$15,0)+1)</definedName>
    <definedName name="Cost_of_goods_sold" localSheetId="13">OFFSET('LTM P&amp;L'!$J$29:$S$169,0,MATCH('Risk management'!#REF!,'LTM P&amp;L'!$D$17:$O$17,0)-1,1,MATCH('Risk management'!$H$17,'LTM P&amp;L'!$D$17:$O$17,0)-MATCH('Risk management'!#REF!,'LTM P&amp;L'!$D$17:$O$17,0)+1)</definedName>
    <definedName name="Cost_of_goods_sold">OFFSET('LTM P&amp;L'!$J$29:$S$169,0,MATCH('Dashboard Aifina'!$H$15,'LTM P&amp;L'!$D$17:$O$17,0)-1,1,MATCH('Dashboard Aifina'!$H$16,'LTM P&amp;L'!$D$17:$O$17,0)-MATCH('Dashboard Aifina'!$H$15,'LTM P&amp;L'!$D$17:$O$17,0)+1)</definedName>
    <definedName name="DIO" localSheetId="28">OFFSET('Working capital evolution'!$D$43,0,MATCH('Aifina generative AI'!#REF!,'LTM P&amp;L'!$D$17:$O$17,0)-1,1,MATCH('Aifina generative AI'!#REF!,'LTM P&amp;L'!$D$17:$O$17,0)-MATCH('Aifina generative AI'!#REF!,'LTM P&amp;L'!$D$17:$O$17,0)+1)</definedName>
    <definedName name="DIO" localSheetId="16">OFFSET('Working capital evolution'!$D$43,0,MATCH('Benchmark - Financial analytics'!#REF!,'LTM P&amp;L'!$D$17:$O$17,0)-1,1,MATCH('Benchmark - Financial analytics'!$H$17,'LTM P&amp;L'!$D$17:$O$17,0)-MATCH('Benchmark - Financial analytics'!#REF!,'LTM P&amp;L'!$D$17:$O$17,0)+1)</definedName>
    <definedName name="DIO" localSheetId="14">OFFSET('Working capital evolution'!$D$43,0,MATCH('Benchmark - General'!#REF!,'LTM P&amp;L'!$D$17:$O$17,0)-1,1,MATCH('Benchmark - General'!$H$16,'LTM P&amp;L'!$D$17:$O$17,0)-MATCH('Benchmark - General'!#REF!,'LTM P&amp;L'!$D$17:$O$17,0)+1)</definedName>
    <definedName name="DIO" localSheetId="15">OFFSET('Working capital evolution'!$D$43,0,MATCH('Benchmark - Strategic inputs'!#REF!,'LTM P&amp;L'!$D$17:$O$17,0)-1,1,MATCH('Benchmark - Strategic inputs'!$H$17,'LTM P&amp;L'!$D$17:$O$17,0)-MATCH('Benchmark - Strategic inputs'!#REF!,'LTM P&amp;L'!$D$17:$O$17,0)+1)</definedName>
    <definedName name="DIO" localSheetId="12">OFFSET('Working capital evolution'!$D$43,0,MATCH('Executive summary'!$E$16,'LTM P&amp;L'!$D$17:$O$17,0)-1,1,MATCH('Executive summary'!$H$16,'LTM P&amp;L'!$D$17:$O$17,0)-MATCH('Executive summary'!$E$16,'LTM P&amp;L'!$D$17:$O$17,0)+1)</definedName>
    <definedName name="DIO" localSheetId="27">OFFSET('Working capital evolution'!$D$43,0,MATCH('Dashboard Aifina'!$H$15,'Forecasted P&amp;L'!$D$15:$O$15,0)-1,1,MATCH('Dashboard Aifina'!$H$16,'Forecasted P&amp;L'!$D$15:$O$15,0)-MATCH('Dashboard Aifina'!$H$15,'Forecasted P&amp;L'!$D$15:$O$15,0)+1)</definedName>
    <definedName name="DIO" localSheetId="13">OFFSET('Working capital evolution'!$D$43,0,MATCH('Risk management'!#REF!,'LTM P&amp;L'!$D$17:$O$17,0)-1,1,MATCH('Risk management'!$H$17,'LTM P&amp;L'!$D$17:$O$17,0)-MATCH('Risk management'!#REF!,'LTM P&amp;L'!$D$17:$O$17,0)+1)</definedName>
    <definedName name="DIO">OFFSET('Working capital evolution'!$D$43,0,MATCH('Dashboard Aifina'!$H$15,'LTM P&amp;L'!$D$17:$O$17,0)-1,1,MATCH('Dashboard Aifina'!$H$16,'LTM P&amp;L'!$D$17:$O$17,0)-MATCH('Dashboard Aifina'!$H$15,'LTM P&amp;L'!$D$17:$O$17,0)+1)</definedName>
    <definedName name="DPO" localSheetId="28">OFFSET('Working capital evolution'!$D$49,0,MATCH('Aifina generative AI'!#REF!,'LTM P&amp;L'!$D$17:$O$17,0)-1,1,MATCH('Aifina generative AI'!#REF!,'LTM P&amp;L'!$D$17:$O$17,0)-MATCH('Aifina generative AI'!#REF!,'LTM P&amp;L'!$D$17:$O$17,0)+1)</definedName>
    <definedName name="DPO" localSheetId="16">OFFSET('Working capital evolution'!$D$49,0,MATCH('Benchmark - Financial analytics'!#REF!,'LTM P&amp;L'!$D$17:$O$17,0)-1,1,MATCH('Benchmark - Financial analytics'!$H$17,'LTM P&amp;L'!$D$17:$O$17,0)-MATCH('Benchmark - Financial analytics'!#REF!,'LTM P&amp;L'!$D$17:$O$17,0)+1)</definedName>
    <definedName name="DPO" localSheetId="14">OFFSET('Working capital evolution'!$D$49,0,MATCH('Benchmark - General'!#REF!,'LTM P&amp;L'!$D$17:$O$17,0)-1,1,MATCH('Benchmark - General'!$H$16,'LTM P&amp;L'!$D$17:$O$17,0)-MATCH('Benchmark - General'!#REF!,'LTM P&amp;L'!$D$17:$O$17,0)+1)</definedName>
    <definedName name="DPO" localSheetId="15">OFFSET('Working capital evolution'!$D$49,0,MATCH('Benchmark - Strategic inputs'!#REF!,'LTM P&amp;L'!$D$17:$O$17,0)-1,1,MATCH('Benchmark - Strategic inputs'!$H$17,'LTM P&amp;L'!$D$17:$O$17,0)-MATCH('Benchmark - Strategic inputs'!#REF!,'LTM P&amp;L'!$D$17:$O$17,0)+1)</definedName>
    <definedName name="DPO" localSheetId="12">OFFSET('Working capital evolution'!$D$49,0,MATCH('Executive summary'!$E$16,'LTM P&amp;L'!$D$17:$O$17,0)-1,1,MATCH('Executive summary'!$H$16,'LTM P&amp;L'!$D$17:$O$17,0)-MATCH('Executive summary'!$E$16,'LTM P&amp;L'!$D$17:$O$17,0)+1)</definedName>
    <definedName name="DPO" localSheetId="27">OFFSET('Working capital evolution'!$D$49,0,MATCH('Dashboard Aifina'!$H$15,'Forecasted P&amp;L'!$D$15:$O$15,0)-1,1,MATCH('Dashboard Aifina'!$H$16,'Forecasted P&amp;L'!$D$15:$O$15,0)-MATCH('Dashboard Aifina'!$H$15,'Forecasted P&amp;L'!$D$15:$O$15,0)+1)</definedName>
    <definedName name="DPO" localSheetId="13">OFFSET('Working capital evolution'!$D$49,0,MATCH('Risk management'!#REF!,'LTM P&amp;L'!$D$17:$O$17,0)-1,1,MATCH('Risk management'!$H$17,'LTM P&amp;L'!$D$17:$O$17,0)-MATCH('Risk management'!#REF!,'LTM P&amp;L'!$D$17:$O$17,0)+1)</definedName>
    <definedName name="DPO">OFFSET('Working capital evolution'!$D$49,0,MATCH('Dashboard Aifina'!$H$15,'LTM P&amp;L'!$D$17:$O$17,0)-1,1,MATCH('Dashboard Aifina'!$H$16,'LTM P&amp;L'!$D$17:$O$17,0)-MATCH('Dashboard Aifina'!$H$15,'LTM P&amp;L'!$D$17:$O$17,0)+1)</definedName>
    <definedName name="DSO" localSheetId="28">OFFSET('Working capital evolution'!$D$38,0,MATCH('Aifina generative AI'!#REF!,'LTM P&amp;L'!$D$17:$O$17,0)-1,1,MATCH('Aifina generative AI'!#REF!,'LTM P&amp;L'!$D$17:$O$17,0)-MATCH('Aifina generative AI'!#REF!,'LTM P&amp;L'!$D$17:$O$17,0)+1)</definedName>
    <definedName name="DSO" localSheetId="16">OFFSET('Working capital evolution'!$D$38,0,MATCH('Benchmark - Financial analytics'!#REF!,'LTM P&amp;L'!$D$17:$O$17,0)-1,1,MATCH('Benchmark - Financial analytics'!$H$17,'LTM P&amp;L'!$D$17:$O$17,0)-MATCH('Benchmark - Financial analytics'!#REF!,'LTM P&amp;L'!$D$17:$O$17,0)+1)</definedName>
    <definedName name="DSO" localSheetId="14">OFFSET('Working capital evolution'!$D$38,0,MATCH('Benchmark - General'!#REF!,'LTM P&amp;L'!$D$17:$O$17,0)-1,1,MATCH('Benchmark - General'!$H$16,'LTM P&amp;L'!$D$17:$O$17,0)-MATCH('Benchmark - General'!#REF!,'LTM P&amp;L'!$D$17:$O$17,0)+1)</definedName>
    <definedName name="DSO" localSheetId="15">OFFSET('Working capital evolution'!$D$38,0,MATCH('Benchmark - Strategic inputs'!#REF!,'LTM P&amp;L'!$D$17:$O$17,0)-1,1,MATCH('Benchmark - Strategic inputs'!$H$17,'LTM P&amp;L'!$D$17:$O$17,0)-MATCH('Benchmark - Strategic inputs'!#REF!,'LTM P&amp;L'!$D$17:$O$17,0)+1)</definedName>
    <definedName name="DSO" localSheetId="12">OFFSET('Working capital evolution'!$D$38,0,MATCH('Executive summary'!$E$16,'LTM P&amp;L'!$D$17:$O$17,0)-1,1,MATCH('Executive summary'!$H$16,'LTM P&amp;L'!$D$17:$O$17,0)-MATCH('Executive summary'!$E$16,'LTM P&amp;L'!$D$17:$O$17,0)+1)</definedName>
    <definedName name="DSO" localSheetId="27">OFFSET('Working capital evolution'!$D$38,0,MATCH('Dashboard Aifina'!$H$15,'Forecasted P&amp;L'!$D$15:$O$15,0)-1,1,MATCH('Dashboard Aifina'!$H$16,'Forecasted P&amp;L'!$D$15:$O$15,0)-MATCH('Dashboard Aifina'!$H$15,'Forecasted P&amp;L'!$D$15:$O$15,0)+1)</definedName>
    <definedName name="DSO" localSheetId="13">OFFSET('Working capital evolution'!$D$38,0,MATCH('Risk management'!#REF!,'LTM P&amp;L'!$D$17:$O$17,0)-1,1,MATCH('Risk management'!$H$17,'LTM P&amp;L'!$D$17:$O$17,0)-MATCH('Risk management'!#REF!,'LTM P&amp;L'!$D$17:$O$17,0)+1)</definedName>
    <definedName name="DSO">OFFSET('Working capital evolution'!$D$38,0,MATCH('Dashboard Aifina'!$H$15,'LTM P&amp;L'!$D$17:$O$17,0)-1,1,MATCH('Dashboard Aifina'!$H$16,'LTM P&amp;L'!$D$17:$O$17,0)-MATCH('Dashboard Aifina'!$H$15,'LTM P&amp;L'!$D$17:$O$17,0)+1)</definedName>
    <definedName name="EBITDA" localSheetId="28">OFFSET('LTM P&amp;L'!$D$34,0,MATCH('Aifina generative AI'!#REF!,'LTM P&amp;L'!$D$17:$O$17,0)-1,1,MATCH('Aifina generative AI'!#REF!,'LTM P&amp;L'!$D$17:$O$17,0)-MATCH('Aifina generative AI'!#REF!,'LTM P&amp;L'!$D$17:$O$17,0)+1)</definedName>
    <definedName name="EBITDA" localSheetId="16">OFFSET('LTM P&amp;L'!$D$34,0,MATCH('Benchmark - Financial analytics'!#REF!,'LTM P&amp;L'!$D$17:$O$17,0)-1,1,MATCH('Benchmark - Financial analytics'!$H$17,'LTM P&amp;L'!$D$17:$O$17,0)-MATCH('Benchmark - Financial analytics'!#REF!,'LTM P&amp;L'!$D$17:$O$17,0)+1)</definedName>
    <definedName name="EBITDA" localSheetId="14">OFFSET('LTM P&amp;L'!$D$34,0,MATCH('Benchmark - General'!#REF!,'LTM P&amp;L'!$D$17:$O$17,0)-1,1,MATCH('Benchmark - General'!$H$16,'LTM P&amp;L'!$D$17:$O$17,0)-MATCH('Benchmark - General'!#REF!,'LTM P&amp;L'!$D$17:$O$17,0)+1)</definedName>
    <definedName name="EBITDA" localSheetId="15">OFFSET('LTM P&amp;L'!$D$34,0,MATCH('Benchmark - Strategic inputs'!#REF!,'LTM P&amp;L'!$D$17:$O$17,0)-1,1,MATCH('Benchmark - Strategic inputs'!$H$17,'LTM P&amp;L'!$D$17:$O$17,0)-MATCH('Benchmark - Strategic inputs'!#REF!,'LTM P&amp;L'!$D$17:$O$17,0)+1)</definedName>
    <definedName name="EBITDA" localSheetId="12">OFFSET('LTM P&amp;L'!$D$34,0,MATCH('Executive summary'!$E$16,'LTM P&amp;L'!$D$17:$O$17,0)-1,1,MATCH('Executive summary'!$H$16,'LTM P&amp;L'!$D$17:$O$17,0)-MATCH('Executive summary'!$E$16,'LTM P&amp;L'!$D$17:$O$17,0)+1)</definedName>
    <definedName name="EBITDA" localSheetId="27">OFFSET('Forecasted P&amp;L'!$D$32,0,MATCH('Dashboard Aifina'!$H$15,'Forecasted P&amp;L'!$D$15:$O$15,0)-1,1,MATCH('Dashboard Aifina'!$H$16,'Forecasted P&amp;L'!$D$15:$O$15,0)-MATCH('Dashboard Aifina'!$H$15,'Forecasted P&amp;L'!$D$15:$O$15,0)+1)</definedName>
    <definedName name="EBITDA" localSheetId="13">OFFSET('LTM P&amp;L'!$D$34,0,MATCH('Risk management'!#REF!,'LTM P&amp;L'!$D$17:$O$17,0)-1,1,MATCH('Risk management'!$H$17,'LTM P&amp;L'!$D$17:$O$17,0)-MATCH('Risk management'!#REF!,'LTM P&amp;L'!$D$17:$O$17,0)+1)</definedName>
    <definedName name="EBITDA">OFFSET('LTM P&amp;L'!$D$34,0,MATCH('Dashboard Aifina'!$H$15,'LTM P&amp;L'!$D$17:$O$17,0)-1,1,MATCH('Dashboard Aifina'!$H$16,'LTM P&amp;L'!$D$17:$O$17,0)-MATCH('Dashboard Aifina'!$H$15,'LTM P&amp;L'!$D$17:$O$17,0)+1)</definedName>
    <definedName name="Margin" localSheetId="28">OFFSET('LTM P&amp;L'!$D$27,0,MATCH('Aifina generative AI'!#REF!,'LTM P&amp;L'!$D$17:$O$17,0)-1,1,MATCH('Aifina generative AI'!#REF!,'LTM P&amp;L'!$D$17:$O$17,0)-MATCH('Aifina generative AI'!#REF!,'LTM P&amp;L'!$D$17:$O$17,0)+1)</definedName>
    <definedName name="Margin" localSheetId="16">OFFSET('LTM P&amp;L'!$D$27,0,MATCH('Benchmark - Financial analytics'!#REF!,'LTM P&amp;L'!$D$17:$O$17,0)-1,1,MATCH('Benchmark - Financial analytics'!$H$17,'LTM P&amp;L'!$D$17:$O$17,0)-MATCH('Benchmark - Financial analytics'!#REF!,'LTM P&amp;L'!$D$17:$O$17,0)+1)</definedName>
    <definedName name="Margin" localSheetId="14">OFFSET('LTM P&amp;L'!$D$27,0,MATCH('Benchmark - General'!#REF!,'LTM P&amp;L'!$D$17:$O$17,0)-1,1,MATCH('Benchmark - General'!$H$16,'LTM P&amp;L'!$D$17:$O$17,0)-MATCH('Benchmark - General'!#REF!,'LTM P&amp;L'!$D$17:$O$17,0)+1)</definedName>
    <definedName name="Margin" localSheetId="15">OFFSET('LTM P&amp;L'!$D$27,0,MATCH('Benchmark - Strategic inputs'!#REF!,'LTM P&amp;L'!$D$17:$O$17,0)-1,1,MATCH('Benchmark - Strategic inputs'!$H$17,'LTM P&amp;L'!$D$17:$O$17,0)-MATCH('Benchmark - Strategic inputs'!#REF!,'LTM P&amp;L'!$D$17:$O$17,0)+1)</definedName>
    <definedName name="Margin" localSheetId="12">OFFSET('LTM P&amp;L'!$D$27,0,MATCH('Executive summary'!$E$16,'LTM P&amp;L'!$D$17:$O$17,0)-1,1,MATCH('Executive summary'!$H$16,'LTM P&amp;L'!$D$17:$O$17,0)-MATCH('Executive summary'!$E$16,'LTM P&amp;L'!$D$17:$O$17,0)+1)</definedName>
    <definedName name="Margin" localSheetId="27">OFFSET('Forecasted P&amp;L'!$D$25,0,MATCH('Dashboard Aifina'!$H$15,'Forecasted P&amp;L'!$D$15:$O$15,0)-1,1,MATCH('Dashboard Aifina'!$H$16,'Forecasted P&amp;L'!$D$15:$O$15,0)-MATCH('Dashboard Aifina'!$H$15,'Forecasted P&amp;L'!$D$15:$O$15,0)+1)</definedName>
    <definedName name="Margin" localSheetId="13">OFFSET('LTM P&amp;L'!$D$27,0,MATCH('Risk management'!#REF!,'LTM P&amp;L'!$D$17:$O$17,0)-1,1,MATCH('Risk management'!$H$17,'LTM P&amp;L'!$D$17:$O$17,0)-MATCH('Risk management'!#REF!,'LTM P&amp;L'!$D$17:$O$17,0)+1)</definedName>
    <definedName name="Margin">OFFSET('LTM P&amp;L'!$D$27,0,MATCH('Dashboard Aifina'!$H$15,'LTM P&amp;L'!$D$17:$O$17,0)-1,1,MATCH('Dashboard Aifina'!$H$16,'LTM P&amp;L'!$D$17:$O$17,0)-MATCH('Dashboard Aifina'!$H$15,'LTM P&amp;L'!$D$17:$O$17,0)+1)</definedName>
    <definedName name="Months" localSheetId="28">OFFSET('LTM P&amp;L'!$D$23,0,MATCH('Aifina generative AI'!#REF!,'LTM P&amp;L'!$D$23:$O$23,0)-1,1,MATCH('Aifina generative AI'!#REF!,'LTM P&amp;L'!$D$23:$O$23,0)-MATCH('Aifina generative AI'!#REF!,'LTM P&amp;L'!$D$23:$O$23,0)+1)</definedName>
    <definedName name="Months" localSheetId="16">OFFSET('LTM P&amp;L'!$D$23,0,MATCH('Benchmark - Financial analytics'!#REF!,'LTM P&amp;L'!$D$23:$O$23,0)-1,1,MATCH('Benchmark - Financial analytics'!$H$17,'LTM P&amp;L'!$D$23:$O$23,0)-MATCH('Benchmark - Financial analytics'!#REF!,'LTM P&amp;L'!$D$23:$O$23,0)+1)</definedName>
    <definedName name="Months" localSheetId="14">OFFSET('LTM P&amp;L'!$D$23,0,MATCH('Benchmark - General'!#REF!,'LTM P&amp;L'!$D$23:$O$23,0)-1,1,MATCH('Benchmark - General'!$H$16,'LTM P&amp;L'!$D$23:$O$23,0)-MATCH('Benchmark - General'!#REF!,'LTM P&amp;L'!$D$23:$O$23,0)+1)</definedName>
    <definedName name="Months" localSheetId="15">OFFSET('LTM P&amp;L'!$D$23,0,MATCH('Benchmark - Strategic inputs'!#REF!,'LTM P&amp;L'!$D$23:$O$23,0)-1,1,MATCH('Benchmark - Strategic inputs'!$H$17,'LTM P&amp;L'!$D$23:$O$23,0)-MATCH('Benchmark - Strategic inputs'!#REF!,'LTM P&amp;L'!$D$23:$O$23,0)+1)</definedName>
    <definedName name="Months" localSheetId="12">OFFSET('LTM P&amp;L'!$D$23,0,MATCH('Executive summary'!#REF!,'LTM P&amp;L'!$D$23:$O$23,0)-1,1,MATCH('Executive summary'!$H$16,'LTM P&amp;L'!$D$23:$O$23,0)-MATCH('Executive summary'!$E$16,'LTM P&amp;L'!$D$23:$O$23,0)+1)</definedName>
    <definedName name="Months" localSheetId="27">OFFSET('Forecasted P&amp;L'!$D$21,0,MATCH('Dashboard Aifina'!$G$15,'Forecasted P&amp;L'!$D$21:$O$21,0)-1,1,MATCH('Dashboard Aifina'!$H$16,'Forecasted P&amp;L'!$D$21:$O$21,0)-MATCH('Dashboard Aifina'!$H$15,'Forecasted P&amp;L'!$D$21:$O$21,0)+1)</definedName>
    <definedName name="Months" localSheetId="13">OFFSET('LTM P&amp;L'!$D$23,0,MATCH('Risk management'!#REF!,'LTM P&amp;L'!$D$23:$O$23,0)-1,1,MATCH('Risk management'!$H$17,'LTM P&amp;L'!$D$23:$O$23,0)-MATCH('Risk management'!#REF!,'LTM P&amp;L'!$D$23:$O$23,0)+1)</definedName>
    <definedName name="Months">OFFSET('LTM P&amp;L'!$D$23,0,MATCH('Dashboard Aifina'!$G$15,'LTM P&amp;L'!$D$23:$O$23,0)-1,1,MATCH('Dashboard Aifina'!$H$16,'LTM P&amp;L'!$D$23:$O$23,0)-MATCH('Dashboard Aifina'!$H$15,'LTM P&amp;L'!$D$23:$O$23,0)+1)</definedName>
    <definedName name="Net_result" localSheetId="27">OFFSET('Forecasted P&amp;L'!$D$37,0,MATCH('Dashboard Aifina'!$H$15,'Forecasted P&amp;L'!$D$15:$O$15,0)-1,1,MATCH('Dashboard Aifina'!$H$16,'Forecasted P&amp;L'!$D$15:$O$15,0)-MATCH('Dashboard Aifina'!$H$15,'Forecasted P&amp;L'!$D$15:$O$15,0)+1)</definedName>
    <definedName name="Net_result">OFFSET('LTM P&amp;L'!$D$39,0,MATCH('Dashboard Aifina'!$H$15,'LTM P&amp;L'!$D$17:$O$17,0)-1,1,MATCH('Dashboard Aifina'!$H$16,'LTM P&amp;L'!$D$17:$O$17,0)-MATCH('Dashboard Aifina'!$H$15,'LTM P&amp;L'!$D$17:$O$17,0)+1)</definedName>
    <definedName name="Selected_revenue" localSheetId="28">OFFSET('LTM P&amp;L'!$D$24,0,MATCH('Aifina generative AI'!#REF!,'LTM P&amp;L'!$D$17:$O$17,0)-1,1,MATCH('Aifina generative AI'!#REF!,'LTM P&amp;L'!$D$17:$O$17,0)-MATCH('Aifina generative AI'!#REF!,'LTM P&amp;L'!$D$17:$O$17,0)+1)</definedName>
    <definedName name="Selected_revenue" localSheetId="16">OFFSET('LTM P&amp;L'!$D$24,0,MATCH('Benchmark - Financial analytics'!#REF!,'LTM P&amp;L'!$D$17:$O$17,0)-1,1,MATCH('Benchmark - Financial analytics'!$H$17,'LTM P&amp;L'!$D$17:$O$17,0)-MATCH('Benchmark - Financial analytics'!#REF!,'LTM P&amp;L'!$D$17:$O$17,0)+1)</definedName>
    <definedName name="Selected_revenue" localSheetId="14">OFFSET('LTM P&amp;L'!$D$24,0,MATCH('Benchmark - General'!#REF!,'LTM P&amp;L'!$D$17:$O$17,0)-1,1,MATCH('Benchmark - General'!$H$16,'LTM P&amp;L'!$D$17:$O$17,0)-MATCH('Benchmark - General'!#REF!,'LTM P&amp;L'!$D$17:$O$17,0)+1)</definedName>
    <definedName name="Selected_revenue" localSheetId="15">OFFSET('LTM P&amp;L'!$D$24,0,MATCH('Benchmark - Strategic inputs'!#REF!,'LTM P&amp;L'!$D$17:$O$17,0)-1,1,MATCH('Benchmark - Strategic inputs'!$H$17,'LTM P&amp;L'!$D$17:$O$17,0)-MATCH('Benchmark - Strategic inputs'!#REF!,'LTM P&amp;L'!$D$17:$O$17,0)+1)</definedName>
    <definedName name="Selected_revenue" localSheetId="12">OFFSET('LTM P&amp;L'!$D$24,0,MATCH('Executive summary'!$E$16,'LTM P&amp;L'!$D$17:$O$17,0)-1,1,MATCH('Executive summary'!$H$16,'LTM P&amp;L'!$D$17:$O$17,0)-MATCH('Executive summary'!$E$16,'LTM P&amp;L'!$D$17:$O$17,0)+1)</definedName>
    <definedName name="Selected_revenue" localSheetId="27">OFFSET('Forecasted P&amp;L'!$D$22,0,MATCH('Dashboard Aifina'!$H$15,'Forecasted P&amp;L'!$D$15:$O$15,0)-1,1,MATCH('Dashboard Aifina'!$H$16,'Forecasted P&amp;L'!$D$15:$O$15,0)-MATCH('Dashboard Aifina'!$H$15,'Forecasted P&amp;L'!$D$15:$O$15,0)+1)</definedName>
    <definedName name="Selected_revenue" localSheetId="13">OFFSET('LTM P&amp;L'!$D$24,0,MATCH('Risk management'!#REF!,'LTM P&amp;L'!$D$17:$O$17,0)-1,1,MATCH('Risk management'!$H$17,'LTM P&amp;L'!$D$17:$O$17,0)-MATCH('Risk management'!#REF!,'LTM P&amp;L'!$D$17:$O$17,0)+1)</definedName>
    <definedName name="Selected_revenue">OFFSET('LTM P&amp;L'!$D$24,0,MATCH('Dashboard Aifina'!$H$15,'LTM P&amp;L'!$D$17:$O$17,0)-1,1,MATCH('Dashboard Aifina'!$H$16,'LTM P&amp;L'!$D$17:$O$17,0)-MATCH('Dashboard Aifina'!$H$15,'LTM P&amp;L'!$D$17:$O$17,0)+1)</definedName>
    <definedName name="Topclients_1">'Fomulas ExecSum'!$B$75</definedName>
    <definedName name="Working_capital" localSheetId="28">OFFSET('Working capital evolution'!$D$51,0,MATCH('Aifina generative AI'!#REF!,'LTM P&amp;L'!$D$17:$O$17,0)-1,1,MATCH('Aifina generative AI'!#REF!,'LTM P&amp;L'!$D$17:$O$17,0)-MATCH('Aifina generative AI'!#REF!,'LTM P&amp;L'!$D$17:$O$17,0)+1)</definedName>
    <definedName name="Working_capital" localSheetId="16">OFFSET('Working capital evolution'!$D$51,0,MATCH('Benchmark - Financial analytics'!#REF!,'LTM P&amp;L'!$D$17:$O$17,0)-1,1,MATCH('Benchmark - Financial analytics'!$H$17,'LTM P&amp;L'!$D$17:$O$17,0)-MATCH('Benchmark - Financial analytics'!#REF!,'LTM P&amp;L'!$D$17:$O$17,0)+1)</definedName>
    <definedName name="Working_capital" localSheetId="14">OFFSET('Working capital evolution'!$D$51,0,MATCH('Benchmark - General'!#REF!,'LTM P&amp;L'!$D$17:$O$17,0)-1,1,MATCH('Benchmark - General'!$H$16,'LTM P&amp;L'!$D$17:$O$17,0)-MATCH('Benchmark - General'!#REF!,'LTM P&amp;L'!$D$17:$O$17,0)+1)</definedName>
    <definedName name="Working_capital" localSheetId="15">OFFSET('Working capital evolution'!$D$51,0,MATCH('Benchmark - Strategic inputs'!#REF!,'LTM P&amp;L'!$D$17:$O$17,0)-1,1,MATCH('Benchmark - Strategic inputs'!$H$17,'LTM P&amp;L'!$D$17:$O$17,0)-MATCH('Benchmark - Strategic inputs'!#REF!,'LTM P&amp;L'!$D$17:$O$17,0)+1)</definedName>
    <definedName name="Working_capital" localSheetId="12">OFFSET('Working capital evolution'!$D$51,0,MATCH('Executive summary'!$E$16,'LTM P&amp;L'!$D$17:$O$17,0)-1,1,MATCH('Executive summary'!$H$16,'LTM P&amp;L'!$D$17:$O$17,0)-MATCH('Executive summary'!$E$16,'LTM P&amp;L'!$D$17:$O$17,0)+1)</definedName>
    <definedName name="Working_capital" localSheetId="27">OFFSET('Working capital evolution'!$D$51,0,MATCH('Dashboard Aifina'!$H$15,'Forecasted P&amp;L'!$D$15:$O$15,0)-1,1,MATCH('Dashboard Aifina'!$H$16,'Forecasted P&amp;L'!$D$15:$O$15,0)-MATCH('Dashboard Aifina'!$H$15,'Forecasted P&amp;L'!$D$15:$O$15,0)+1)</definedName>
    <definedName name="Working_capital" localSheetId="13">OFFSET('Working capital evolution'!$D$51,0,MATCH('Risk management'!#REF!,'LTM P&amp;L'!$D$17:$O$17,0)-1,1,MATCH('Risk management'!$H$17,'LTM P&amp;L'!$D$17:$O$17,0)-MATCH('Risk management'!#REF!,'LTM P&amp;L'!$D$17:$O$17,0)+1)</definedName>
    <definedName name="Working_capital">OFFSET('Working capital evolution'!$D$51,0,MATCH('Dashboard Aifina'!$H$15,'LTM P&amp;L'!$D$17:$O$17,0)-1,1,MATCH('Dashboard Aifina'!$H$16,'LTM P&amp;L'!$D$17:$O$17,0)-MATCH('Dashboard Aifina'!$H$15,'LTM P&amp;L'!$D$17:$O$17,0)+1)</definedName>
  </definedNames>
  <calcPr calcId="191029"/>
  <pivotCaches>
    <pivotCache cacheId="21" r:id="rId74"/>
    <pivotCache cacheId="22" r:id="rId75"/>
    <pivotCache cacheId="23" r:id="rId76"/>
    <pivotCache cacheId="24" r:id="rId77"/>
    <pivotCache cacheId="25" r:id="rId7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6" i="61" l="1"/>
  <c r="D17" i="51"/>
  <c r="K39" i="67" l="1"/>
  <c r="K38" i="67"/>
  <c r="K37" i="67"/>
  <c r="K36" i="67"/>
  <c r="K35" i="67"/>
  <c r="P26" i="73"/>
  <c r="Q26" i="73"/>
  <c r="R26" i="73"/>
  <c r="S26" i="73"/>
  <c r="T26" i="73"/>
  <c r="U26" i="73"/>
  <c r="D16" i="39"/>
  <c r="V25" i="73"/>
  <c r="W25" i="73"/>
  <c r="V22" i="73"/>
  <c r="W22" i="73"/>
  <c r="X22" i="73"/>
  <c r="X25" i="73" s="1"/>
  <c r="X32" i="73" s="1"/>
  <c r="X37" i="73" s="1"/>
  <c r="V23" i="73"/>
  <c r="W23" i="73"/>
  <c r="X23" i="73"/>
  <c r="V28" i="73"/>
  <c r="V32" i="73" s="1"/>
  <c r="V37" i="73" s="1"/>
  <c r="W28" i="73"/>
  <c r="X28" i="73"/>
  <c r="V29" i="73"/>
  <c r="W29" i="73"/>
  <c r="X29" i="73"/>
  <c r="V30" i="73"/>
  <c r="W30" i="73"/>
  <c r="X30" i="73"/>
  <c r="P34" i="73"/>
  <c r="Q34" i="73"/>
  <c r="R34" i="73"/>
  <c r="S34" i="73"/>
  <c r="T34" i="73"/>
  <c r="U34" i="73"/>
  <c r="V34" i="73"/>
  <c r="W34" i="73"/>
  <c r="X34" i="73"/>
  <c r="P35" i="73"/>
  <c r="Q35" i="73"/>
  <c r="R35" i="73"/>
  <c r="S35" i="73"/>
  <c r="T35" i="73"/>
  <c r="U35" i="73"/>
  <c r="V35" i="73"/>
  <c r="W35" i="73"/>
  <c r="X35" i="73"/>
  <c r="P28" i="73"/>
  <c r="Q28" i="73"/>
  <c r="R28" i="73"/>
  <c r="S28" i="73"/>
  <c r="T28" i="73"/>
  <c r="U28" i="73"/>
  <c r="P29" i="73"/>
  <c r="Q29" i="73"/>
  <c r="R29" i="73"/>
  <c r="S29" i="73"/>
  <c r="T29" i="73"/>
  <c r="U29" i="73"/>
  <c r="P30" i="73"/>
  <c r="Q30" i="73"/>
  <c r="R30" i="73"/>
  <c r="S30" i="73"/>
  <c r="T30" i="73"/>
  <c r="U30" i="73"/>
  <c r="P23" i="73"/>
  <c r="P25" i="73" s="1"/>
  <c r="P32" i="73" s="1"/>
  <c r="P37" i="73" s="1"/>
  <c r="Q23" i="73"/>
  <c r="Q25" i="73" s="1"/>
  <c r="Q32" i="73" s="1"/>
  <c r="Q37" i="73" s="1"/>
  <c r="R23" i="73"/>
  <c r="S23" i="73"/>
  <c r="T23" i="73"/>
  <c r="T25" i="73" s="1"/>
  <c r="T32" i="73" s="1"/>
  <c r="T37" i="73" s="1"/>
  <c r="U23" i="73"/>
  <c r="U25" i="73" s="1"/>
  <c r="U32" i="73" s="1"/>
  <c r="U37" i="73" s="1"/>
  <c r="P22" i="73"/>
  <c r="Q22" i="73"/>
  <c r="R22" i="73"/>
  <c r="R25" i="73" s="1"/>
  <c r="R32" i="73" s="1"/>
  <c r="R37" i="73" s="1"/>
  <c r="S22" i="73"/>
  <c r="S25" i="73" s="1"/>
  <c r="S32" i="73" s="1"/>
  <c r="S37" i="73" s="1"/>
  <c r="T22" i="73"/>
  <c r="U22" i="73"/>
  <c r="D21" i="44"/>
  <c r="E21" i="44" s="1"/>
  <c r="L24" i="44" s="1"/>
  <c r="F35" i="65"/>
  <c r="D8" i="83"/>
  <c r="E8" i="83"/>
  <c r="F8" i="83"/>
  <c r="G8" i="83"/>
  <c r="H8" i="83"/>
  <c r="I8" i="83"/>
  <c r="J8" i="83"/>
  <c r="K8" i="83"/>
  <c r="L8" i="83"/>
  <c r="M8" i="83"/>
  <c r="C8" i="83"/>
  <c r="D7" i="83"/>
  <c r="E7" i="83"/>
  <c r="F7" i="83"/>
  <c r="G7" i="83"/>
  <c r="H7" i="83"/>
  <c r="I7" i="83"/>
  <c r="J7" i="83"/>
  <c r="K7" i="83"/>
  <c r="L7" i="83"/>
  <c r="M7" i="83"/>
  <c r="C7" i="83"/>
  <c r="C6" i="83"/>
  <c r="D5" i="83"/>
  <c r="E5" i="83"/>
  <c r="F5" i="83"/>
  <c r="G5" i="83"/>
  <c r="H5" i="83"/>
  <c r="I5" i="83"/>
  <c r="J5" i="83"/>
  <c r="K5" i="83"/>
  <c r="L5" i="83"/>
  <c r="M5" i="83"/>
  <c r="C5" i="83"/>
  <c r="C4" i="83"/>
  <c r="D4" i="83"/>
  <c r="E4" i="83"/>
  <c r="F4" i="83"/>
  <c r="F10" i="83" s="1"/>
  <c r="G4" i="83"/>
  <c r="G10" i="83" s="1"/>
  <c r="H4" i="83"/>
  <c r="I4" i="83"/>
  <c r="J4" i="83"/>
  <c r="J10" i="83" s="1"/>
  <c r="K4" i="83"/>
  <c r="K10" i="83" s="1"/>
  <c r="L4" i="83"/>
  <c r="M4" i="83"/>
  <c r="D47" i="47"/>
  <c r="D46" i="49"/>
  <c r="E5" i="78"/>
  <c r="F5" i="78"/>
  <c r="G5" i="78"/>
  <c r="H5" i="78"/>
  <c r="I5" i="78"/>
  <c r="J5" i="78"/>
  <c r="K5" i="78"/>
  <c r="L5" i="78"/>
  <c r="M5" i="78"/>
  <c r="D5" i="78"/>
  <c r="C5" i="78"/>
  <c r="D6" i="78"/>
  <c r="E6" i="78"/>
  <c r="F6" i="78"/>
  <c r="G6" i="78"/>
  <c r="H6" i="78"/>
  <c r="I6" i="78"/>
  <c r="J6" i="78"/>
  <c r="K6" i="78"/>
  <c r="L6" i="78"/>
  <c r="M6" i="78"/>
  <c r="C6" i="78"/>
  <c r="C51" i="77"/>
  <c r="D51" i="77"/>
  <c r="E51" i="77"/>
  <c r="F51" i="77"/>
  <c r="G51" i="77"/>
  <c r="H51" i="77"/>
  <c r="I51" i="77"/>
  <c r="J51" i="77"/>
  <c r="K51" i="77"/>
  <c r="L51" i="77"/>
  <c r="B51" i="77"/>
  <c r="H6" i="69"/>
  <c r="H7" i="69"/>
  <c r="H8" i="69"/>
  <c r="H9" i="69"/>
  <c r="H10" i="69"/>
  <c r="H11" i="69"/>
  <c r="H12" i="69"/>
  <c r="H13" i="69"/>
  <c r="H14" i="69"/>
  <c r="H15" i="69"/>
  <c r="H5" i="69"/>
  <c r="N45" i="19"/>
  <c r="O45" i="19"/>
  <c r="N46" i="19"/>
  <c r="O46" i="19"/>
  <c r="N47" i="19"/>
  <c r="O47" i="19"/>
  <c r="N48" i="19"/>
  <c r="O48" i="19"/>
  <c r="N49" i="19"/>
  <c r="O49" i="19"/>
  <c r="N50" i="19"/>
  <c r="O50" i="19"/>
  <c r="N136" i="19"/>
  <c r="O136" i="19"/>
  <c r="N137" i="19"/>
  <c r="O137" i="19"/>
  <c r="N138" i="19"/>
  <c r="O138" i="19"/>
  <c r="N139" i="19"/>
  <c r="O139" i="19"/>
  <c r="N140" i="19"/>
  <c r="O140" i="19"/>
  <c r="N141" i="19"/>
  <c r="O141" i="19"/>
  <c r="N232" i="19"/>
  <c r="O232" i="19"/>
  <c r="N233" i="19"/>
  <c r="O233" i="19"/>
  <c r="N234" i="19"/>
  <c r="O234" i="19"/>
  <c r="N235" i="19"/>
  <c r="O235" i="19"/>
  <c r="N236" i="19"/>
  <c r="O236" i="19"/>
  <c r="N237" i="19"/>
  <c r="O237" i="19"/>
  <c r="N355" i="19"/>
  <c r="O355" i="19"/>
  <c r="N356" i="19"/>
  <c r="O356" i="19"/>
  <c r="N357" i="19"/>
  <c r="O357" i="19"/>
  <c r="N358" i="19"/>
  <c r="O358" i="19"/>
  <c r="N359" i="19"/>
  <c r="O359" i="19"/>
  <c r="N360" i="19"/>
  <c r="O360" i="19"/>
  <c r="N475" i="19"/>
  <c r="O475" i="19"/>
  <c r="N476" i="19"/>
  <c r="O476" i="19"/>
  <c r="N477" i="19"/>
  <c r="O477" i="19"/>
  <c r="N478" i="19"/>
  <c r="O478" i="19"/>
  <c r="N479" i="19"/>
  <c r="O479" i="19"/>
  <c r="N480" i="19"/>
  <c r="O480" i="19"/>
  <c r="N603" i="19"/>
  <c r="O603" i="19"/>
  <c r="N604" i="19"/>
  <c r="O604" i="19"/>
  <c r="N605" i="19"/>
  <c r="O605" i="19"/>
  <c r="N606" i="19"/>
  <c r="O606" i="19"/>
  <c r="N607" i="19"/>
  <c r="O607" i="19"/>
  <c r="N608" i="19"/>
  <c r="O608" i="19"/>
  <c r="N717" i="19"/>
  <c r="O717" i="19"/>
  <c r="N718" i="19"/>
  <c r="O718" i="19"/>
  <c r="N719" i="19"/>
  <c r="O719" i="19"/>
  <c r="N720" i="19"/>
  <c r="O720" i="19"/>
  <c r="N721" i="19"/>
  <c r="O721" i="19"/>
  <c r="N722" i="19"/>
  <c r="O722" i="19"/>
  <c r="N836" i="19"/>
  <c r="O836" i="19"/>
  <c r="N837" i="19"/>
  <c r="O837" i="19"/>
  <c r="N838" i="19"/>
  <c r="O838" i="19"/>
  <c r="N839" i="19"/>
  <c r="O839" i="19"/>
  <c r="N840" i="19"/>
  <c r="O840" i="19"/>
  <c r="N841" i="19"/>
  <c r="O841" i="19"/>
  <c r="N968" i="19"/>
  <c r="O968" i="19"/>
  <c r="N969" i="19"/>
  <c r="O969" i="19"/>
  <c r="N970" i="19"/>
  <c r="O970" i="19"/>
  <c r="N971" i="19"/>
  <c r="O971" i="19"/>
  <c r="N972" i="19"/>
  <c r="O972" i="19"/>
  <c r="N973" i="19"/>
  <c r="O973" i="19"/>
  <c r="N1086" i="19"/>
  <c r="O1086" i="19"/>
  <c r="N1087" i="19"/>
  <c r="O1087" i="19"/>
  <c r="N1088" i="19"/>
  <c r="O1088" i="19"/>
  <c r="N1089" i="19"/>
  <c r="O1089" i="19"/>
  <c r="N1090" i="19"/>
  <c r="O1090" i="19"/>
  <c r="N1091" i="19"/>
  <c r="O1091" i="19"/>
  <c r="N1209" i="19"/>
  <c r="O1209" i="19"/>
  <c r="N1210" i="19"/>
  <c r="O1210" i="19"/>
  <c r="N1211" i="19"/>
  <c r="O1211" i="19"/>
  <c r="N1212" i="19"/>
  <c r="O1212" i="19"/>
  <c r="N1213" i="19"/>
  <c r="O1213" i="19"/>
  <c r="N1214" i="19"/>
  <c r="O1214" i="19"/>
  <c r="N1333" i="19"/>
  <c r="O1333" i="19"/>
  <c r="N1334" i="19"/>
  <c r="O1334" i="19"/>
  <c r="N1335" i="19"/>
  <c r="O1335" i="19"/>
  <c r="N1336" i="19"/>
  <c r="O1336" i="19"/>
  <c r="N1337" i="19"/>
  <c r="O1337" i="19"/>
  <c r="N1338" i="19"/>
  <c r="O1338" i="19"/>
  <c r="L45" i="19"/>
  <c r="L46" i="19"/>
  <c r="L47" i="19"/>
  <c r="L48" i="19"/>
  <c r="L49" i="19"/>
  <c r="L50" i="19"/>
  <c r="L136" i="19"/>
  <c r="L137" i="19"/>
  <c r="L138" i="19"/>
  <c r="L139" i="19"/>
  <c r="L140" i="19"/>
  <c r="L141" i="19"/>
  <c r="L232" i="19"/>
  <c r="L233" i="19"/>
  <c r="L234" i="19"/>
  <c r="L235" i="19"/>
  <c r="L236" i="19"/>
  <c r="L237" i="19"/>
  <c r="L355" i="19"/>
  <c r="L356" i="19"/>
  <c r="L357" i="19"/>
  <c r="L358" i="19"/>
  <c r="L359" i="19"/>
  <c r="L360" i="19"/>
  <c r="L475" i="19"/>
  <c r="L476" i="19"/>
  <c r="L477" i="19"/>
  <c r="L478" i="19"/>
  <c r="L479" i="19"/>
  <c r="L480" i="19"/>
  <c r="L603" i="19"/>
  <c r="L604" i="19"/>
  <c r="L605" i="19"/>
  <c r="L606" i="19"/>
  <c r="L607" i="19"/>
  <c r="L608" i="19"/>
  <c r="L717" i="19"/>
  <c r="L718" i="19"/>
  <c r="L719" i="19"/>
  <c r="L720" i="19"/>
  <c r="L721" i="19"/>
  <c r="L722" i="19"/>
  <c r="L836" i="19"/>
  <c r="L837" i="19"/>
  <c r="L838" i="19"/>
  <c r="L839" i="19"/>
  <c r="L840" i="19"/>
  <c r="L841" i="19"/>
  <c r="L968" i="19"/>
  <c r="L969" i="19"/>
  <c r="L970" i="19"/>
  <c r="L971" i="19"/>
  <c r="L972" i="19"/>
  <c r="L973" i="19"/>
  <c r="L1086" i="19"/>
  <c r="L1087" i="19"/>
  <c r="L1088" i="19"/>
  <c r="L1089" i="19"/>
  <c r="L1090" i="19"/>
  <c r="L1091" i="19"/>
  <c r="L1209" i="19"/>
  <c r="L1210" i="19"/>
  <c r="L1211" i="19"/>
  <c r="L1212" i="19"/>
  <c r="L1213" i="19"/>
  <c r="L1214" i="19"/>
  <c r="L1333" i="19"/>
  <c r="L1334" i="19"/>
  <c r="L1335" i="19"/>
  <c r="L1336" i="19"/>
  <c r="L1337" i="19"/>
  <c r="L1338" i="19"/>
  <c r="G16" i="64"/>
  <c r="H16" i="64" s="1"/>
  <c r="K61" i="64" s="1"/>
  <c r="F85" i="64"/>
  <c r="L83" i="64" s="1"/>
  <c r="F44" i="72"/>
  <c r="R31" i="72"/>
  <c r="R30" i="72"/>
  <c r="G17" i="67"/>
  <c r="H17" i="67" s="1"/>
  <c r="P114" i="64"/>
  <c r="P106" i="64"/>
  <c r="P98" i="64"/>
  <c r="P90" i="64"/>
  <c r="P50" i="64"/>
  <c r="G17" i="66"/>
  <c r="H17" i="66" s="1"/>
  <c r="H93" i="64"/>
  <c r="L91" i="64"/>
  <c r="G17" i="65"/>
  <c r="H17" i="65" s="1"/>
  <c r="A11" i="63"/>
  <c r="H61" i="37"/>
  <c r="E17" i="60"/>
  <c r="P44" i="59"/>
  <c r="D35" i="59"/>
  <c r="P29" i="59"/>
  <c r="D40" i="59"/>
  <c r="P34" i="59"/>
  <c r="P33" i="59"/>
  <c r="P32" i="59"/>
  <c r="P31" i="59"/>
  <c r="P56" i="73"/>
  <c r="T56" i="73"/>
  <c r="X56" i="73"/>
  <c r="S57" i="73"/>
  <c r="W57" i="73"/>
  <c r="W56" i="73"/>
  <c r="Q56" i="73"/>
  <c r="U56" i="73"/>
  <c r="P57" i="73"/>
  <c r="T57" i="73"/>
  <c r="X57" i="73"/>
  <c r="R57" i="73"/>
  <c r="R56" i="73"/>
  <c r="V56" i="73"/>
  <c r="Q57" i="73"/>
  <c r="U57" i="73"/>
  <c r="S56" i="73"/>
  <c r="V57" i="73"/>
  <c r="P50" i="73"/>
  <c r="T50" i="73"/>
  <c r="X50" i="73"/>
  <c r="S51" i="73"/>
  <c r="W51" i="73"/>
  <c r="R52" i="73"/>
  <c r="V52" i="73"/>
  <c r="R50" i="73"/>
  <c r="Q51" i="73"/>
  <c r="U51" i="73"/>
  <c r="T52" i="73"/>
  <c r="W50" i="73"/>
  <c r="V51" i="73"/>
  <c r="U52" i="73"/>
  <c r="Q50" i="73"/>
  <c r="U50" i="73"/>
  <c r="P51" i="73"/>
  <c r="T51" i="73"/>
  <c r="X51" i="73"/>
  <c r="S52" i="73"/>
  <c r="W52" i="73"/>
  <c r="V50" i="73"/>
  <c r="P52" i="73"/>
  <c r="X52" i="73"/>
  <c r="S50" i="73"/>
  <c r="R51" i="73"/>
  <c r="Q52" i="73"/>
  <c r="P44" i="73"/>
  <c r="T44" i="73"/>
  <c r="X44" i="73"/>
  <c r="S45" i="73"/>
  <c r="W45" i="73"/>
  <c r="Q44" i="73"/>
  <c r="U44" i="73"/>
  <c r="P45" i="73"/>
  <c r="T45" i="73"/>
  <c r="X45" i="73"/>
  <c r="R44" i="73"/>
  <c r="V44" i="73"/>
  <c r="Q45" i="73"/>
  <c r="U45" i="73"/>
  <c r="S44" i="73"/>
  <c r="W44" i="73"/>
  <c r="R45" i="73"/>
  <c r="V45" i="73"/>
  <c r="W47" i="73" l="1"/>
  <c r="W48" i="73" s="1"/>
  <c r="S47" i="73"/>
  <c r="V47" i="73"/>
  <c r="V54" i="73" s="1"/>
  <c r="V59" i="73" s="1"/>
  <c r="R47" i="73"/>
  <c r="R54" i="73" s="1"/>
  <c r="R59" i="73" s="1"/>
  <c r="U47" i="73"/>
  <c r="U48" i="73" s="1"/>
  <c r="Q47" i="73"/>
  <c r="Q48" i="73" s="1"/>
  <c r="X47" i="73"/>
  <c r="X48" i="73" s="1"/>
  <c r="T47" i="73"/>
  <c r="T48" i="73" s="1"/>
  <c r="P47" i="73"/>
  <c r="P48" i="73" s="1"/>
  <c r="W32" i="73"/>
  <c r="W37" i="73" s="1"/>
  <c r="Q54" i="73"/>
  <c r="Q59" i="73" s="1"/>
  <c r="W54" i="73"/>
  <c r="W59" i="73" s="1"/>
  <c r="U54" i="73"/>
  <c r="U59" i="73" s="1"/>
  <c r="P54" i="73"/>
  <c r="P59" i="73" s="1"/>
  <c r="G85" i="64"/>
  <c r="M10" i="83"/>
  <c r="E10" i="83"/>
  <c r="L10" i="83"/>
  <c r="H10" i="83"/>
  <c r="D10" i="83"/>
  <c r="I10" i="83"/>
  <c r="C10" i="83"/>
  <c r="K36" i="64"/>
  <c r="I36" i="64"/>
  <c r="K27" i="64"/>
  <c r="K69" i="64"/>
  <c r="I27" i="64"/>
  <c r="I77" i="64"/>
  <c r="K77" i="64"/>
  <c r="P82" i="64"/>
  <c r="I69" i="64"/>
  <c r="I61" i="64"/>
  <c r="H85" i="64"/>
  <c r="A5" i="63"/>
  <c r="A14" i="63"/>
  <c r="A8" i="63"/>
  <c r="H16" i="61"/>
  <c r="E37" i="60"/>
  <c r="D37" i="60"/>
  <c r="D40" i="60" s="1"/>
  <c r="H40" i="59"/>
  <c r="L40" i="59"/>
  <c r="I40" i="59"/>
  <c r="M40" i="59"/>
  <c r="F40" i="59"/>
  <c r="J40" i="59"/>
  <c r="N40" i="59"/>
  <c r="G40" i="59"/>
  <c r="K40" i="59"/>
  <c r="O40" i="59"/>
  <c r="T54" i="73" l="1"/>
  <c r="T59" i="73" s="1"/>
  <c r="R48" i="73"/>
  <c r="X54" i="73"/>
  <c r="X59" i="73" s="1"/>
  <c r="S48" i="73"/>
  <c r="S54" i="73"/>
  <c r="S59" i="73" s="1"/>
  <c r="V48" i="73"/>
  <c r="I53" i="64"/>
  <c r="O28" i="61"/>
  <c r="F28" i="61"/>
  <c r="J21" i="61"/>
  <c r="B69" i="63"/>
  <c r="B68" i="63"/>
  <c r="B70" i="63"/>
  <c r="E40" i="60"/>
  <c r="G40" i="60" s="1"/>
  <c r="G37" i="60"/>
  <c r="H16" i="37" l="1"/>
  <c r="D17" i="56"/>
  <c r="E17" i="56" s="1"/>
  <c r="E15" i="54"/>
  <c r="AC76" i="54" s="1"/>
  <c r="E112" i="54"/>
  <c r="F112" i="54"/>
  <c r="G112" i="54"/>
  <c r="H112" i="54"/>
  <c r="I112" i="54"/>
  <c r="J112" i="54"/>
  <c r="K112" i="54"/>
  <c r="L112" i="54"/>
  <c r="M112" i="54"/>
  <c r="N112" i="54"/>
  <c r="O112" i="54"/>
  <c r="E113" i="54"/>
  <c r="F113" i="54"/>
  <c r="G113" i="54"/>
  <c r="H113" i="54"/>
  <c r="I113" i="54"/>
  <c r="J113" i="54"/>
  <c r="K113" i="54"/>
  <c r="L113" i="54"/>
  <c r="M113" i="54"/>
  <c r="N113" i="54"/>
  <c r="O113" i="54"/>
  <c r="E114" i="54"/>
  <c r="F114" i="54"/>
  <c r="G114" i="54"/>
  <c r="H114" i="54"/>
  <c r="I114" i="54"/>
  <c r="J114" i="54"/>
  <c r="K114" i="54"/>
  <c r="L114" i="54"/>
  <c r="M114" i="54"/>
  <c r="N114" i="54"/>
  <c r="O114" i="54"/>
  <c r="E115" i="54"/>
  <c r="F115" i="54"/>
  <c r="G115" i="54"/>
  <c r="H115" i="54"/>
  <c r="I115" i="54"/>
  <c r="J115" i="54"/>
  <c r="K115" i="54"/>
  <c r="L115" i="54"/>
  <c r="M115" i="54"/>
  <c r="N115" i="54"/>
  <c r="O115" i="54"/>
  <c r="E116" i="54"/>
  <c r="F116" i="54"/>
  <c r="G116" i="54"/>
  <c r="H116" i="54"/>
  <c r="I116" i="54"/>
  <c r="J116" i="54"/>
  <c r="K116" i="54"/>
  <c r="L116" i="54"/>
  <c r="M116" i="54"/>
  <c r="N116" i="54"/>
  <c r="O116" i="54"/>
  <c r="E117" i="54"/>
  <c r="F117" i="54"/>
  <c r="G117" i="54"/>
  <c r="H117" i="54"/>
  <c r="I117" i="54"/>
  <c r="J117" i="54"/>
  <c r="K117" i="54"/>
  <c r="L117" i="54"/>
  <c r="M117" i="54"/>
  <c r="N117" i="54"/>
  <c r="O117" i="54"/>
  <c r="E118" i="54"/>
  <c r="F118" i="54"/>
  <c r="G118" i="54"/>
  <c r="H118" i="54"/>
  <c r="I118" i="54"/>
  <c r="J118" i="54"/>
  <c r="K118" i="54"/>
  <c r="L118" i="54"/>
  <c r="M118" i="54"/>
  <c r="N118" i="54"/>
  <c r="O118" i="54"/>
  <c r="D114" i="54"/>
  <c r="D115" i="54"/>
  <c r="D116" i="54"/>
  <c r="D117" i="54"/>
  <c r="D118" i="54"/>
  <c r="D113" i="54"/>
  <c r="D112" i="54"/>
  <c r="P187" i="54"/>
  <c r="P186" i="54"/>
  <c r="P185" i="54"/>
  <c r="P172" i="54"/>
  <c r="P171" i="54"/>
  <c r="P170" i="54"/>
  <c r="P157" i="54"/>
  <c r="P156" i="54"/>
  <c r="P155" i="54"/>
  <c r="P142" i="54"/>
  <c r="P141" i="54"/>
  <c r="P140" i="54"/>
  <c r="P127" i="54"/>
  <c r="P126" i="54"/>
  <c r="P125" i="54"/>
  <c r="O163" i="54"/>
  <c r="N163" i="54"/>
  <c r="J163" i="54"/>
  <c r="F163" i="54"/>
  <c r="N162" i="54"/>
  <c r="F162" i="54"/>
  <c r="D160" i="54"/>
  <c r="P116" i="54"/>
  <c r="P115" i="54"/>
  <c r="P114" i="54"/>
  <c r="G163" i="54"/>
  <c r="D163" i="54"/>
  <c r="J162" i="54"/>
  <c r="D162" i="54"/>
  <c r="M161" i="54"/>
  <c r="I161" i="54"/>
  <c r="E161" i="54"/>
  <c r="D161" i="54"/>
  <c r="L160" i="54"/>
  <c r="H160" i="54"/>
  <c r="P105" i="54"/>
  <c r="P104" i="54"/>
  <c r="P103" i="54"/>
  <c r="E22" i="54"/>
  <c r="R58" i="37" l="1"/>
  <c r="R49" i="37"/>
  <c r="R40" i="37"/>
  <c r="R31" i="37"/>
  <c r="R22" i="37"/>
  <c r="AC71" i="54"/>
  <c r="AC75" i="54"/>
  <c r="O145" i="54"/>
  <c r="G147" i="54"/>
  <c r="K148" i="54"/>
  <c r="I130" i="54"/>
  <c r="F130" i="54"/>
  <c r="J130" i="54"/>
  <c r="N130" i="54"/>
  <c r="F132" i="54"/>
  <c r="J132" i="54"/>
  <c r="N132" i="54"/>
  <c r="O132" i="54"/>
  <c r="J147" i="54"/>
  <c r="O130" i="54"/>
  <c r="O131" i="54"/>
  <c r="G133" i="54"/>
  <c r="K133" i="54"/>
  <c r="O133" i="54"/>
  <c r="G132" i="54"/>
  <c r="N147" i="54"/>
  <c r="K132" i="54"/>
  <c r="O148" i="54"/>
  <c r="G145" i="54"/>
  <c r="G160" i="54"/>
  <c r="K161" i="54"/>
  <c r="K146" i="54"/>
  <c r="O162" i="54"/>
  <c r="O147" i="54"/>
  <c r="D175" i="54"/>
  <c r="D176" i="54"/>
  <c r="L161" i="54"/>
  <c r="L146" i="54"/>
  <c r="H162" i="54"/>
  <c r="H147" i="54"/>
  <c r="L163" i="54"/>
  <c r="L148" i="54"/>
  <c r="M130" i="54"/>
  <c r="L133" i="54"/>
  <c r="H175" i="54"/>
  <c r="AC61" i="54"/>
  <c r="AC67" i="54"/>
  <c r="AC69" i="54"/>
  <c r="AC73" i="54"/>
  <c r="E160" i="54"/>
  <c r="E145" i="54"/>
  <c r="I160" i="54"/>
  <c r="I145" i="54"/>
  <c r="M160" i="54"/>
  <c r="M145" i="54"/>
  <c r="E176" i="54"/>
  <c r="I176" i="54"/>
  <c r="M176" i="54"/>
  <c r="E162" i="54"/>
  <c r="E147" i="54"/>
  <c r="G130" i="54"/>
  <c r="K130" i="54"/>
  <c r="H131" i="54"/>
  <c r="L131" i="54"/>
  <c r="F131" i="54"/>
  <c r="I146" i="54"/>
  <c r="G162" i="54"/>
  <c r="K160" i="54"/>
  <c r="K145" i="54"/>
  <c r="G146" i="54"/>
  <c r="G161" i="54"/>
  <c r="O161" i="54"/>
  <c r="O146" i="54"/>
  <c r="K162" i="54"/>
  <c r="K147" i="54"/>
  <c r="G178" i="54"/>
  <c r="Y61" i="54"/>
  <c r="AC70" i="54"/>
  <c r="AC74" i="54"/>
  <c r="L175" i="54"/>
  <c r="H161" i="54"/>
  <c r="H146" i="54"/>
  <c r="D177" i="54"/>
  <c r="L162" i="54"/>
  <c r="L147" i="54"/>
  <c r="H163" i="54"/>
  <c r="H148" i="54"/>
  <c r="E146" i="54"/>
  <c r="O160" i="54"/>
  <c r="AC68" i="54"/>
  <c r="AC72" i="54"/>
  <c r="F160" i="54"/>
  <c r="F145" i="54"/>
  <c r="J160" i="54"/>
  <c r="J145" i="54"/>
  <c r="N160" i="54"/>
  <c r="N145" i="54"/>
  <c r="F161" i="54"/>
  <c r="F146" i="54"/>
  <c r="J161" i="54"/>
  <c r="J146" i="54"/>
  <c r="N161" i="54"/>
  <c r="N146" i="54"/>
  <c r="F177" i="54"/>
  <c r="J177" i="54"/>
  <c r="H130" i="54"/>
  <c r="L130" i="54"/>
  <c r="H132" i="54"/>
  <c r="L132" i="54"/>
  <c r="E130" i="54"/>
  <c r="J131" i="54"/>
  <c r="H145" i="54"/>
  <c r="M146" i="54"/>
  <c r="G148" i="54"/>
  <c r="K163" i="54"/>
  <c r="D178" i="54"/>
  <c r="O178" i="54"/>
  <c r="E131" i="54"/>
  <c r="I131" i="54"/>
  <c r="M131" i="54"/>
  <c r="E132" i="54"/>
  <c r="I132" i="54"/>
  <c r="M132" i="54"/>
  <c r="F133" i="54"/>
  <c r="E133" i="54"/>
  <c r="J133" i="54"/>
  <c r="I133" i="54"/>
  <c r="N133" i="54"/>
  <c r="M133" i="54"/>
  <c r="N131" i="54"/>
  <c r="H133" i="54"/>
  <c r="L145" i="54"/>
  <c r="F147" i="54"/>
  <c r="I162" i="54"/>
  <c r="M162" i="54"/>
  <c r="E163" i="54"/>
  <c r="I163" i="54"/>
  <c r="M163" i="54"/>
  <c r="G131" i="54"/>
  <c r="K131" i="54"/>
  <c r="N177" i="54"/>
  <c r="F178" i="54"/>
  <c r="J178" i="54"/>
  <c r="N178" i="54"/>
  <c r="E148" i="54"/>
  <c r="I148" i="54"/>
  <c r="M148" i="54"/>
  <c r="I147" i="54"/>
  <c r="M147" i="54"/>
  <c r="F148" i="54"/>
  <c r="J148" i="54"/>
  <c r="N148" i="54"/>
  <c r="P174" i="51"/>
  <c r="P173" i="51"/>
  <c r="P172" i="51"/>
  <c r="P159" i="51"/>
  <c r="P158" i="51"/>
  <c r="P157" i="51"/>
  <c r="D41" i="4"/>
  <c r="E41" i="4"/>
  <c r="F41" i="4"/>
  <c r="G41" i="4"/>
  <c r="H41" i="4"/>
  <c r="I41" i="4"/>
  <c r="J41" i="4"/>
  <c r="K41" i="4"/>
  <c r="L41" i="4"/>
  <c r="M41" i="4"/>
  <c r="N41" i="4"/>
  <c r="D42" i="4"/>
  <c r="E42" i="4"/>
  <c r="F42" i="4"/>
  <c r="G42" i="4"/>
  <c r="H42" i="4"/>
  <c r="I42" i="4"/>
  <c r="J42" i="4"/>
  <c r="K42" i="4"/>
  <c r="L42" i="4"/>
  <c r="M42" i="4"/>
  <c r="N42" i="4"/>
  <c r="D43" i="4"/>
  <c r="E43" i="4"/>
  <c r="F43" i="4"/>
  <c r="G43" i="4"/>
  <c r="H43" i="4"/>
  <c r="I43" i="4"/>
  <c r="J43" i="4"/>
  <c r="K43" i="4"/>
  <c r="L43" i="4"/>
  <c r="M43" i="4"/>
  <c r="N43" i="4"/>
  <c r="D44" i="4"/>
  <c r="E44" i="4"/>
  <c r="F44" i="4"/>
  <c r="G44" i="4"/>
  <c r="H44" i="4"/>
  <c r="I44" i="4"/>
  <c r="J44" i="4"/>
  <c r="K44" i="4"/>
  <c r="L44" i="4"/>
  <c r="M44" i="4"/>
  <c r="N44" i="4"/>
  <c r="D45" i="4"/>
  <c r="E45" i="4"/>
  <c r="F45" i="4"/>
  <c r="G45" i="4"/>
  <c r="H45" i="4"/>
  <c r="I45" i="4"/>
  <c r="J45" i="4"/>
  <c r="K45" i="4"/>
  <c r="L45" i="4"/>
  <c r="M45" i="4"/>
  <c r="N45" i="4"/>
  <c r="D46" i="4"/>
  <c r="E46" i="4"/>
  <c r="F46" i="4"/>
  <c r="G46" i="4"/>
  <c r="H46" i="4"/>
  <c r="I46" i="4"/>
  <c r="J46" i="4"/>
  <c r="K46" i="4"/>
  <c r="L46" i="4"/>
  <c r="M46" i="4"/>
  <c r="N46" i="4"/>
  <c r="D47" i="4"/>
  <c r="E47" i="4"/>
  <c r="F47" i="4"/>
  <c r="G47" i="4"/>
  <c r="H47" i="4"/>
  <c r="I47" i="4"/>
  <c r="J47" i="4"/>
  <c r="K47" i="4"/>
  <c r="L47" i="4"/>
  <c r="M47" i="4"/>
  <c r="N47" i="4"/>
  <c r="D48" i="4"/>
  <c r="E48" i="4"/>
  <c r="F48" i="4"/>
  <c r="G48" i="4"/>
  <c r="H48" i="4"/>
  <c r="I48" i="4"/>
  <c r="J48" i="4"/>
  <c r="K48" i="4"/>
  <c r="L48" i="4"/>
  <c r="M48" i="4"/>
  <c r="N48" i="4"/>
  <c r="D49" i="4"/>
  <c r="E49" i="4"/>
  <c r="F49" i="4"/>
  <c r="G49" i="4"/>
  <c r="H49" i="4"/>
  <c r="I49" i="4"/>
  <c r="J49" i="4"/>
  <c r="K49" i="4"/>
  <c r="L49" i="4"/>
  <c r="M49" i="4"/>
  <c r="N49" i="4"/>
  <c r="D50" i="4"/>
  <c r="E50" i="4"/>
  <c r="F50" i="4"/>
  <c r="G50" i="4"/>
  <c r="H50" i="4"/>
  <c r="I50" i="4"/>
  <c r="J50" i="4"/>
  <c r="K50" i="4"/>
  <c r="L50" i="4"/>
  <c r="M50" i="4"/>
  <c r="N50" i="4"/>
  <c r="C42" i="4"/>
  <c r="C43" i="4"/>
  <c r="C44" i="4"/>
  <c r="C45" i="4"/>
  <c r="C46" i="4"/>
  <c r="C47" i="4"/>
  <c r="C48" i="4"/>
  <c r="C49" i="4"/>
  <c r="C50" i="4"/>
  <c r="C41" i="4"/>
  <c r="P144" i="51"/>
  <c r="P143" i="51"/>
  <c r="P142" i="51"/>
  <c r="E178" i="54" l="1"/>
  <c r="J176" i="54"/>
  <c r="N175" i="54"/>
  <c r="F175" i="54"/>
  <c r="H177" i="54"/>
  <c r="G175" i="54"/>
  <c r="O176" i="54"/>
  <c r="H23" i="54"/>
  <c r="K178" i="54"/>
  <c r="L177" i="54"/>
  <c r="H176" i="54"/>
  <c r="G176" i="54"/>
  <c r="L178" i="54"/>
  <c r="O177" i="54"/>
  <c r="K175" i="54"/>
  <c r="I177" i="54"/>
  <c r="N176" i="54"/>
  <c r="F176" i="54"/>
  <c r="J175" i="54"/>
  <c r="O175" i="54"/>
  <c r="K177" i="54"/>
  <c r="E177" i="54"/>
  <c r="M175" i="54"/>
  <c r="E175" i="54"/>
  <c r="L176" i="54"/>
  <c r="I175" i="54"/>
  <c r="M177" i="54"/>
  <c r="M178" i="54"/>
  <c r="I178" i="54"/>
  <c r="H178" i="54"/>
  <c r="G177" i="54"/>
  <c r="K176" i="54"/>
  <c r="P129" i="51"/>
  <c r="P128" i="51"/>
  <c r="P127" i="51"/>
  <c r="P114" i="51"/>
  <c r="P113" i="51"/>
  <c r="P112" i="51"/>
  <c r="E96" i="51"/>
  <c r="F96" i="51"/>
  <c r="G96" i="51"/>
  <c r="H96" i="51"/>
  <c r="I96" i="51"/>
  <c r="J96" i="51"/>
  <c r="K96" i="51"/>
  <c r="L96" i="51"/>
  <c r="M96" i="51"/>
  <c r="N96" i="51"/>
  <c r="O96" i="51"/>
  <c r="E97" i="51"/>
  <c r="F97" i="51"/>
  <c r="G97" i="51"/>
  <c r="H97" i="51"/>
  <c r="I97" i="51"/>
  <c r="J97" i="51"/>
  <c r="K97" i="51"/>
  <c r="L97" i="51"/>
  <c r="M97" i="51"/>
  <c r="N97" i="51"/>
  <c r="O97" i="51"/>
  <c r="E98" i="51"/>
  <c r="F98" i="51"/>
  <c r="G98" i="51"/>
  <c r="H98" i="51"/>
  <c r="I98" i="51"/>
  <c r="J98" i="51"/>
  <c r="K98" i="51"/>
  <c r="L98" i="51"/>
  <c r="M98" i="51"/>
  <c r="N98" i="51"/>
  <c r="O98" i="51"/>
  <c r="E99" i="51"/>
  <c r="F99" i="51"/>
  <c r="G99" i="51"/>
  <c r="H99" i="51"/>
  <c r="I99" i="51"/>
  <c r="J99" i="51"/>
  <c r="K99" i="51"/>
  <c r="L99" i="51"/>
  <c r="M99" i="51"/>
  <c r="N99" i="51"/>
  <c r="O99" i="51"/>
  <c r="E100" i="51"/>
  <c r="F100" i="51"/>
  <c r="G100" i="51"/>
  <c r="H100" i="51"/>
  <c r="I100" i="51"/>
  <c r="J100" i="51"/>
  <c r="K100" i="51"/>
  <c r="L100" i="51"/>
  <c r="M100" i="51"/>
  <c r="N100" i="51"/>
  <c r="O100" i="51"/>
  <c r="E101" i="51"/>
  <c r="F101" i="51"/>
  <c r="G101" i="51"/>
  <c r="H101" i="51"/>
  <c r="I101" i="51"/>
  <c r="J101" i="51"/>
  <c r="K101" i="51"/>
  <c r="L101" i="51"/>
  <c r="M101" i="51"/>
  <c r="N101" i="51"/>
  <c r="O101" i="51"/>
  <c r="E102" i="51"/>
  <c r="F102" i="51"/>
  <c r="G102" i="51"/>
  <c r="H102" i="51"/>
  <c r="I102" i="51"/>
  <c r="J102" i="51"/>
  <c r="K102" i="51"/>
  <c r="L102" i="51"/>
  <c r="M102" i="51"/>
  <c r="N102" i="51"/>
  <c r="O102" i="51"/>
  <c r="E103" i="51"/>
  <c r="F103" i="51"/>
  <c r="G103" i="51"/>
  <c r="H103" i="51"/>
  <c r="I103" i="51"/>
  <c r="J103" i="51"/>
  <c r="K103" i="51"/>
  <c r="L103" i="51"/>
  <c r="M103" i="51"/>
  <c r="N103" i="51"/>
  <c r="O103" i="51"/>
  <c r="E104" i="51"/>
  <c r="F104" i="51"/>
  <c r="G104" i="51"/>
  <c r="H104" i="51"/>
  <c r="I104" i="51"/>
  <c r="J104" i="51"/>
  <c r="K104" i="51"/>
  <c r="L104" i="51"/>
  <c r="M104" i="51"/>
  <c r="N104" i="51"/>
  <c r="O104" i="51"/>
  <c r="E105" i="51"/>
  <c r="F105" i="51"/>
  <c r="G105" i="51"/>
  <c r="H105" i="51"/>
  <c r="I105" i="51"/>
  <c r="J105" i="51"/>
  <c r="K105" i="51"/>
  <c r="L105" i="51"/>
  <c r="M105" i="51"/>
  <c r="N105" i="51"/>
  <c r="O105" i="51"/>
  <c r="D97" i="51"/>
  <c r="D98" i="51"/>
  <c r="D99" i="51"/>
  <c r="D100" i="51"/>
  <c r="D101" i="51"/>
  <c r="D102" i="51"/>
  <c r="D103" i="51"/>
  <c r="D104" i="51"/>
  <c r="D105" i="51"/>
  <c r="D96" i="51"/>
  <c r="F95" i="51"/>
  <c r="G95" i="51"/>
  <c r="H95" i="51"/>
  <c r="I95" i="51"/>
  <c r="J95" i="51"/>
  <c r="K95" i="51"/>
  <c r="L95" i="51"/>
  <c r="M95" i="51"/>
  <c r="N95" i="51"/>
  <c r="O95" i="51"/>
  <c r="P99" i="51"/>
  <c r="P98" i="51"/>
  <c r="P97" i="51"/>
  <c r="P84" i="51"/>
  <c r="P83" i="51"/>
  <c r="P82" i="51"/>
  <c r="D18" i="3"/>
  <c r="D27" i="52"/>
  <c r="L26" i="52"/>
  <c r="O26" i="52"/>
  <c r="E43" i="53"/>
  <c r="Q30" i="53"/>
  <c r="Q29" i="53"/>
  <c r="N26" i="52"/>
  <c r="M26" i="52"/>
  <c r="K26" i="52"/>
  <c r="J26" i="52"/>
  <c r="I26" i="52"/>
  <c r="H26" i="52"/>
  <c r="G26" i="52"/>
  <c r="F26" i="52"/>
  <c r="E26" i="52"/>
  <c r="E27" i="52" s="1"/>
  <c r="D26" i="52"/>
  <c r="D95" i="51" l="1"/>
  <c r="E95" i="51"/>
  <c r="F27" i="52"/>
  <c r="J27" i="52"/>
  <c r="G27" i="52"/>
  <c r="K27" i="52"/>
  <c r="O27" i="52"/>
  <c r="H27" i="52"/>
  <c r="J22" i="61" s="1"/>
  <c r="B24" i="63" s="1"/>
  <c r="L27" i="52"/>
  <c r="I27" i="52"/>
  <c r="M27" i="52"/>
  <c r="N27" i="52"/>
  <c r="E24" i="51"/>
  <c r="E17" i="51"/>
  <c r="P49" i="49"/>
  <c r="P48" i="49"/>
  <c r="P47" i="49"/>
  <c r="P49" i="47"/>
  <c r="P48" i="47"/>
  <c r="P49" i="45"/>
  <c r="P48" i="45"/>
  <c r="P47" i="45"/>
  <c r="P43" i="44"/>
  <c r="P42" i="44"/>
  <c r="D45" i="43"/>
  <c r="P32" i="43"/>
  <c r="P31" i="43"/>
  <c r="H1942" i="19"/>
  <c r="H1941" i="19"/>
  <c r="H1940" i="19"/>
  <c r="H1939" i="19"/>
  <c r="H1938" i="19"/>
  <c r="H1937" i="19"/>
  <c r="H1936" i="19"/>
  <c r="H1935" i="19"/>
  <c r="H1934" i="19"/>
  <c r="H1933" i="19"/>
  <c r="H1932" i="19"/>
  <c r="H1931" i="19"/>
  <c r="H1930" i="19"/>
  <c r="H1929" i="19"/>
  <c r="H1928" i="19"/>
  <c r="H1927" i="19"/>
  <c r="H1926" i="19"/>
  <c r="H1925" i="19"/>
  <c r="H1924" i="19"/>
  <c r="H1923" i="19"/>
  <c r="H1922" i="19"/>
  <c r="H1921" i="19"/>
  <c r="H1482" i="19"/>
  <c r="H1480" i="19"/>
  <c r="H1478" i="19"/>
  <c r="H1476" i="19"/>
  <c r="C1942" i="19"/>
  <c r="B1942" i="19"/>
  <c r="C1941" i="19"/>
  <c r="B1941" i="19"/>
  <c r="C1940" i="19"/>
  <c r="B1940" i="19"/>
  <c r="C1939" i="19"/>
  <c r="B1939" i="19"/>
  <c r="C1938" i="19"/>
  <c r="B1938" i="19"/>
  <c r="C1937" i="19"/>
  <c r="B1937" i="19"/>
  <c r="C1936" i="19"/>
  <c r="B1936" i="19"/>
  <c r="C1935" i="19"/>
  <c r="B1935" i="19"/>
  <c r="C1934" i="19"/>
  <c r="B1934" i="19"/>
  <c r="C1933" i="19"/>
  <c r="B1933" i="19"/>
  <c r="C1932" i="19"/>
  <c r="B1932" i="19"/>
  <c r="C1931" i="19"/>
  <c r="B1931" i="19"/>
  <c r="C1930" i="19"/>
  <c r="B1930" i="19"/>
  <c r="C1929" i="19"/>
  <c r="B1929" i="19"/>
  <c r="C1928" i="19"/>
  <c r="B1928" i="19"/>
  <c r="C1927" i="19"/>
  <c r="B1927" i="19"/>
  <c r="C1926" i="19"/>
  <c r="B1926" i="19"/>
  <c r="C1925" i="19"/>
  <c r="B1925" i="19"/>
  <c r="C1924" i="19"/>
  <c r="B1924" i="19"/>
  <c r="C1923" i="19"/>
  <c r="B1923" i="19"/>
  <c r="C1922" i="19"/>
  <c r="B1922" i="19"/>
  <c r="C1921" i="19"/>
  <c r="B1921" i="19"/>
  <c r="P6" i="31"/>
  <c r="P7" i="31"/>
  <c r="P8" i="31"/>
  <c r="P9" i="31"/>
  <c r="P10" i="31"/>
  <c r="P11" i="31"/>
  <c r="P12" i="31"/>
  <c r="P13" i="31"/>
  <c r="P14" i="31"/>
  <c r="P15" i="31"/>
  <c r="P16" i="31"/>
  <c r="P17" i="31"/>
  <c r="P18" i="31"/>
  <c r="P19" i="31"/>
  <c r="P20" i="31"/>
  <c r="P21" i="31"/>
  <c r="P22" i="31"/>
  <c r="P23" i="31"/>
  <c r="P24" i="31"/>
  <c r="P25" i="31"/>
  <c r="P26" i="31"/>
  <c r="P5" i="31"/>
  <c r="I5" i="31"/>
  <c r="J5" i="31" s="1"/>
  <c r="I6" i="31"/>
  <c r="K6" i="31" s="1"/>
  <c r="I7" i="31"/>
  <c r="K7" i="31" s="1"/>
  <c r="I8" i="31"/>
  <c r="J8" i="31" s="1"/>
  <c r="I9" i="31"/>
  <c r="J9" i="31" s="1"/>
  <c r="I10" i="31"/>
  <c r="J10" i="31" s="1"/>
  <c r="D6" i="31"/>
  <c r="D7" i="31" s="1"/>
  <c r="D5" i="31"/>
  <c r="I19" i="38"/>
  <c r="J19" i="38"/>
  <c r="K19" i="38"/>
  <c r="L19" i="38"/>
  <c r="M19" i="38"/>
  <c r="N19" i="38"/>
  <c r="O19" i="38"/>
  <c r="P19" i="38"/>
  <c r="Q19" i="38"/>
  <c r="R19" i="38"/>
  <c r="S19" i="38"/>
  <c r="H19" i="38"/>
  <c r="P2" i="35"/>
  <c r="E2" i="35"/>
  <c r="G31" i="29"/>
  <c r="H1920" i="19"/>
  <c r="H1919" i="19"/>
  <c r="H1918" i="19"/>
  <c r="H1917" i="19"/>
  <c r="H1916" i="19"/>
  <c r="H1915" i="19"/>
  <c r="H1914" i="19"/>
  <c r="H1913" i="19"/>
  <c r="H1912" i="19"/>
  <c r="H1911" i="19"/>
  <c r="H1910" i="19"/>
  <c r="H1909" i="19"/>
  <c r="H1908" i="19"/>
  <c r="H1907" i="19"/>
  <c r="H1906" i="19"/>
  <c r="H1905" i="19"/>
  <c r="H1904" i="19"/>
  <c r="H1903" i="19"/>
  <c r="H1902" i="19"/>
  <c r="H1901" i="19"/>
  <c r="H1900" i="19"/>
  <c r="H1899" i="19"/>
  <c r="H1898" i="19"/>
  <c r="H1897" i="19"/>
  <c r="H1896" i="19"/>
  <c r="H1895" i="19"/>
  <c r="H1894" i="19"/>
  <c r="H1893" i="19"/>
  <c r="H1892" i="19"/>
  <c r="H1891" i="19"/>
  <c r="H1890" i="19"/>
  <c r="H1889" i="19"/>
  <c r="H1888" i="19"/>
  <c r="H1887" i="19"/>
  <c r="H1886" i="19"/>
  <c r="H1885" i="19"/>
  <c r="H1884" i="19"/>
  <c r="H1883" i="19"/>
  <c r="H1882" i="19"/>
  <c r="H1881" i="19"/>
  <c r="H1880" i="19"/>
  <c r="H1879" i="19"/>
  <c r="H1878" i="19"/>
  <c r="H1877" i="19"/>
  <c r="H1876" i="19"/>
  <c r="H1875" i="19"/>
  <c r="H1874" i="19"/>
  <c r="H1873" i="19"/>
  <c r="H1872" i="19"/>
  <c r="H1871" i="19"/>
  <c r="H1870" i="19"/>
  <c r="H1869" i="19"/>
  <c r="H1868" i="19"/>
  <c r="H1867" i="19"/>
  <c r="H1866" i="19"/>
  <c r="H1865" i="19"/>
  <c r="H1864" i="19"/>
  <c r="H1863" i="19"/>
  <c r="H1862" i="19"/>
  <c r="H1861" i="19"/>
  <c r="H1860" i="19"/>
  <c r="H1859" i="19"/>
  <c r="H1858" i="19"/>
  <c r="H1857" i="19"/>
  <c r="H1856" i="19"/>
  <c r="H1855" i="19"/>
  <c r="H1854" i="19"/>
  <c r="H1853" i="19"/>
  <c r="H1852" i="19"/>
  <c r="H1851" i="19"/>
  <c r="H1850" i="19"/>
  <c r="H1849" i="19"/>
  <c r="H1848" i="19"/>
  <c r="H1847" i="19"/>
  <c r="H1846" i="19"/>
  <c r="H1845" i="19"/>
  <c r="H1844" i="19"/>
  <c r="H1843" i="19"/>
  <c r="H1842" i="19"/>
  <c r="H1841" i="19"/>
  <c r="H1840" i="19"/>
  <c r="H1839" i="19"/>
  <c r="H1838" i="19"/>
  <c r="H1837" i="19"/>
  <c r="H1836" i="19"/>
  <c r="H1835" i="19"/>
  <c r="H1834" i="19"/>
  <c r="H1833" i="19"/>
  <c r="H1832" i="19"/>
  <c r="H1831" i="19"/>
  <c r="H1830" i="19"/>
  <c r="H1829" i="19"/>
  <c r="H1828" i="19"/>
  <c r="H1827" i="19"/>
  <c r="H1826" i="19"/>
  <c r="H1825" i="19"/>
  <c r="H1824" i="19"/>
  <c r="H1823" i="19"/>
  <c r="H1822" i="19"/>
  <c r="H1821" i="19"/>
  <c r="H1820" i="19"/>
  <c r="H1819" i="19"/>
  <c r="H1818" i="19"/>
  <c r="H1817" i="19"/>
  <c r="H1816" i="19"/>
  <c r="H1815" i="19"/>
  <c r="H1814" i="19"/>
  <c r="H1813" i="19"/>
  <c r="H1812" i="19"/>
  <c r="H1811" i="19"/>
  <c r="H1810" i="19"/>
  <c r="H1809" i="19"/>
  <c r="H1808" i="19"/>
  <c r="H1807" i="19"/>
  <c r="H1806" i="19"/>
  <c r="H1805" i="19"/>
  <c r="H1804" i="19"/>
  <c r="H1803" i="19"/>
  <c r="H1802" i="19"/>
  <c r="H1801" i="19"/>
  <c r="H1800" i="19"/>
  <c r="H1799" i="19"/>
  <c r="H1798" i="19"/>
  <c r="H1797" i="19"/>
  <c r="H1796" i="19"/>
  <c r="H1795" i="19"/>
  <c r="H1794" i="19"/>
  <c r="H1793" i="19"/>
  <c r="H1792" i="19"/>
  <c r="H1791" i="19"/>
  <c r="H1790" i="19"/>
  <c r="H1789" i="19"/>
  <c r="T10" i="31"/>
  <c r="T11" i="31"/>
  <c r="T12" i="31"/>
  <c r="T13" i="31"/>
  <c r="T14" i="31"/>
  <c r="T15" i="31"/>
  <c r="I11" i="31"/>
  <c r="J11" i="31" s="1"/>
  <c r="I12" i="31"/>
  <c r="J12" i="31" s="1"/>
  <c r="I13" i="31"/>
  <c r="J13" i="31" s="1"/>
  <c r="I14" i="31"/>
  <c r="J14" i="31" s="1"/>
  <c r="I15" i="31"/>
  <c r="J15" i="31" s="1"/>
  <c r="E11" i="31"/>
  <c r="E12" i="31"/>
  <c r="E10" i="31"/>
  <c r="C1569" i="19"/>
  <c r="C1570" i="19"/>
  <c r="C1571" i="19"/>
  <c r="C1572" i="19"/>
  <c r="C1573" i="19"/>
  <c r="C1574" i="19"/>
  <c r="C1575" i="19"/>
  <c r="C1576" i="19"/>
  <c r="C1577" i="19"/>
  <c r="C1578" i="19"/>
  <c r="C1579" i="19"/>
  <c r="C1580" i="19"/>
  <c r="C1581" i="19"/>
  <c r="C1582" i="19"/>
  <c r="C1583" i="19"/>
  <c r="C1584" i="19"/>
  <c r="C1585" i="19"/>
  <c r="C1586" i="19"/>
  <c r="C1587" i="19"/>
  <c r="C1588" i="19"/>
  <c r="C1589" i="19"/>
  <c r="C1590" i="19"/>
  <c r="C1591" i="19"/>
  <c r="C1592" i="19"/>
  <c r="C1593" i="19"/>
  <c r="C1594" i="19"/>
  <c r="C1595" i="19"/>
  <c r="C1596" i="19"/>
  <c r="C1597" i="19"/>
  <c r="C1598" i="19"/>
  <c r="C1599" i="19"/>
  <c r="C1600" i="19"/>
  <c r="C1601" i="19"/>
  <c r="C1602" i="19"/>
  <c r="C1603" i="19"/>
  <c r="C1604" i="19"/>
  <c r="C1605" i="19"/>
  <c r="C1606" i="19"/>
  <c r="C1607" i="19"/>
  <c r="C1608" i="19"/>
  <c r="C1609" i="19"/>
  <c r="C1610" i="19"/>
  <c r="C1611" i="19"/>
  <c r="C1612" i="19"/>
  <c r="C1613" i="19"/>
  <c r="C1614" i="19"/>
  <c r="C1615" i="19"/>
  <c r="C1616" i="19"/>
  <c r="C1617" i="19"/>
  <c r="C1618" i="19"/>
  <c r="C1619" i="19"/>
  <c r="C1620" i="19"/>
  <c r="C1621" i="19"/>
  <c r="C1622" i="19"/>
  <c r="C1623" i="19"/>
  <c r="C1624" i="19"/>
  <c r="C1625" i="19"/>
  <c r="C1626" i="19"/>
  <c r="C1627" i="19"/>
  <c r="C1628" i="19"/>
  <c r="C1629" i="19"/>
  <c r="C1630" i="19"/>
  <c r="C1631" i="19"/>
  <c r="C1632" i="19"/>
  <c r="C1633" i="19"/>
  <c r="C1634" i="19"/>
  <c r="C1635" i="19"/>
  <c r="C1636" i="19"/>
  <c r="C1637" i="19"/>
  <c r="C1638" i="19"/>
  <c r="C1639" i="19"/>
  <c r="C1640" i="19"/>
  <c r="C1641" i="19"/>
  <c r="C1642" i="19"/>
  <c r="C1643" i="19"/>
  <c r="C1644" i="19"/>
  <c r="C1645" i="19"/>
  <c r="C1646" i="19"/>
  <c r="C1647" i="19"/>
  <c r="C1648" i="19"/>
  <c r="C1649" i="19"/>
  <c r="C1650" i="19"/>
  <c r="C1651" i="19"/>
  <c r="C1652" i="19"/>
  <c r="C1653" i="19"/>
  <c r="C1654" i="19"/>
  <c r="C1655" i="19"/>
  <c r="C1656" i="19"/>
  <c r="C1657" i="19"/>
  <c r="C1658" i="19"/>
  <c r="C1659" i="19"/>
  <c r="C1660" i="19"/>
  <c r="C1661" i="19"/>
  <c r="C1662" i="19"/>
  <c r="C1663" i="19"/>
  <c r="C1664" i="19"/>
  <c r="C1665" i="19"/>
  <c r="C1666" i="19"/>
  <c r="C1667" i="19"/>
  <c r="C1668" i="19"/>
  <c r="C1669" i="19"/>
  <c r="C1670" i="19"/>
  <c r="C1671" i="19"/>
  <c r="C1672" i="19"/>
  <c r="C1673" i="19"/>
  <c r="C1674" i="19"/>
  <c r="C1675" i="19"/>
  <c r="C1676" i="19"/>
  <c r="C1677" i="19"/>
  <c r="C1678" i="19"/>
  <c r="C1679" i="19"/>
  <c r="C1680" i="19"/>
  <c r="C1681" i="19"/>
  <c r="C1682" i="19"/>
  <c r="C1683" i="19"/>
  <c r="C1684" i="19"/>
  <c r="C1685" i="19"/>
  <c r="C1686" i="19"/>
  <c r="C1687" i="19"/>
  <c r="C1688" i="19"/>
  <c r="C1689" i="19"/>
  <c r="C1690" i="19"/>
  <c r="C1691" i="19"/>
  <c r="C1692" i="19"/>
  <c r="C1693" i="19"/>
  <c r="C1694" i="19"/>
  <c r="C1695" i="19"/>
  <c r="C1696" i="19"/>
  <c r="C1697" i="19"/>
  <c r="C1698" i="19"/>
  <c r="C1699" i="19"/>
  <c r="C1700" i="19"/>
  <c r="C1701" i="19"/>
  <c r="C1702" i="19"/>
  <c r="C1703" i="19"/>
  <c r="C1704" i="19"/>
  <c r="C1705" i="19"/>
  <c r="C1706" i="19"/>
  <c r="C1707" i="19"/>
  <c r="C1708" i="19"/>
  <c r="C1709" i="19"/>
  <c r="C1710" i="19"/>
  <c r="C1711" i="19"/>
  <c r="C1712" i="19"/>
  <c r="C1713" i="19"/>
  <c r="C1714" i="19"/>
  <c r="C1715" i="19"/>
  <c r="C1716" i="19"/>
  <c r="C1717" i="19"/>
  <c r="C1718" i="19"/>
  <c r="C1719" i="19"/>
  <c r="C1720" i="19"/>
  <c r="C1721" i="19"/>
  <c r="C1722" i="19"/>
  <c r="C1723" i="19"/>
  <c r="C1724" i="19"/>
  <c r="C1725" i="19"/>
  <c r="C1726" i="19"/>
  <c r="C1727" i="19"/>
  <c r="C1728" i="19"/>
  <c r="C1729" i="19"/>
  <c r="C1730" i="19"/>
  <c r="C1731" i="19"/>
  <c r="C1732" i="19"/>
  <c r="C1733" i="19"/>
  <c r="C1734" i="19"/>
  <c r="C1735" i="19"/>
  <c r="C1736" i="19"/>
  <c r="C1737" i="19"/>
  <c r="C1738" i="19"/>
  <c r="C1739" i="19"/>
  <c r="C1740" i="19"/>
  <c r="C1741" i="19"/>
  <c r="C1742" i="19"/>
  <c r="C1743" i="19"/>
  <c r="C1744" i="19"/>
  <c r="C1745" i="19"/>
  <c r="C1746" i="19"/>
  <c r="C1747" i="19"/>
  <c r="C1748" i="19"/>
  <c r="C1749" i="19"/>
  <c r="C1750" i="19"/>
  <c r="C1751" i="19"/>
  <c r="C1752" i="19"/>
  <c r="C1753" i="19"/>
  <c r="C1754" i="19"/>
  <c r="C1755" i="19"/>
  <c r="C1756" i="19"/>
  <c r="C1757" i="19"/>
  <c r="C1758" i="19"/>
  <c r="C1759" i="19"/>
  <c r="C1760" i="19"/>
  <c r="C1761" i="19"/>
  <c r="C1762" i="19"/>
  <c r="C1763" i="19"/>
  <c r="C1764" i="19"/>
  <c r="C1765" i="19"/>
  <c r="C1766" i="19"/>
  <c r="C1767" i="19"/>
  <c r="C1768" i="19"/>
  <c r="C1769" i="19"/>
  <c r="C1770" i="19"/>
  <c r="C1771" i="19"/>
  <c r="C1772" i="19"/>
  <c r="C1773" i="19"/>
  <c r="C1774" i="19"/>
  <c r="C1775" i="19"/>
  <c r="C1776" i="19"/>
  <c r="C1777" i="19"/>
  <c r="C1778" i="19"/>
  <c r="C1779" i="19"/>
  <c r="C1780" i="19"/>
  <c r="C1781" i="19"/>
  <c r="C1782" i="19"/>
  <c r="C1783" i="19"/>
  <c r="C1784" i="19"/>
  <c r="C1785" i="19"/>
  <c r="C1786" i="19"/>
  <c r="C1787" i="19"/>
  <c r="C1788" i="19"/>
  <c r="B3" i="19"/>
  <c r="B4" i="19"/>
  <c r="B5" i="19"/>
  <c r="B6" i="19"/>
  <c r="B7" i="19"/>
  <c r="B8" i="19"/>
  <c r="B9" i="19"/>
  <c r="B10" i="19"/>
  <c r="B11" i="19"/>
  <c r="B12" i="19"/>
  <c r="B13" i="19"/>
  <c r="B14" i="19"/>
  <c r="B15" i="19"/>
  <c r="B16" i="19"/>
  <c r="B17" i="19"/>
  <c r="B18" i="19"/>
  <c r="B19" i="19"/>
  <c r="B20" i="19"/>
  <c r="B21" i="19"/>
  <c r="B22"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1164" i="19"/>
  <c r="B1165" i="19"/>
  <c r="B1166" i="19"/>
  <c r="B1167" i="19"/>
  <c r="B1168" i="19"/>
  <c r="B1169" i="19"/>
  <c r="B1170" i="19"/>
  <c r="B1171" i="19"/>
  <c r="B1172" i="19"/>
  <c r="B1173" i="19"/>
  <c r="B1174" i="19"/>
  <c r="B1175" i="19"/>
  <c r="B1176" i="19"/>
  <c r="B1177" i="19"/>
  <c r="B1178" i="19"/>
  <c r="B1179" i="19"/>
  <c r="B1180" i="19"/>
  <c r="B1181" i="19"/>
  <c r="B1182" i="19"/>
  <c r="B1183" i="19"/>
  <c r="B1184" i="19"/>
  <c r="B1185" i="19"/>
  <c r="B1186" i="19"/>
  <c r="B1187" i="19"/>
  <c r="B1188" i="19"/>
  <c r="B1189" i="19"/>
  <c r="B1190" i="19"/>
  <c r="B1191" i="19"/>
  <c r="B1192" i="19"/>
  <c r="B1193" i="19"/>
  <c r="B1194" i="19"/>
  <c r="B1195" i="19"/>
  <c r="B1196" i="19"/>
  <c r="B1197" i="19"/>
  <c r="B1198" i="19"/>
  <c r="B1199" i="19"/>
  <c r="B1200" i="19"/>
  <c r="B1201" i="19"/>
  <c r="B1202" i="19"/>
  <c r="B1203" i="19"/>
  <c r="B1204" i="19"/>
  <c r="B1205" i="19"/>
  <c r="B1206" i="19"/>
  <c r="B1207" i="19"/>
  <c r="B1208" i="19"/>
  <c r="B1209" i="19"/>
  <c r="B1210" i="19"/>
  <c r="B1211" i="19"/>
  <c r="B1212" i="19"/>
  <c r="B1213" i="19"/>
  <c r="B1214" i="19"/>
  <c r="B1215" i="19"/>
  <c r="B1216" i="19"/>
  <c r="B1217" i="19"/>
  <c r="B1218" i="19"/>
  <c r="B1219" i="19"/>
  <c r="B1220" i="19"/>
  <c r="B1221" i="19"/>
  <c r="B1222" i="19"/>
  <c r="B1223" i="19"/>
  <c r="B1224" i="19"/>
  <c r="B1225" i="19"/>
  <c r="B1226" i="19"/>
  <c r="B1227" i="19"/>
  <c r="B1228" i="19"/>
  <c r="B1229" i="19"/>
  <c r="B1230" i="19"/>
  <c r="B1231" i="19"/>
  <c r="B1232" i="19"/>
  <c r="B1233" i="19"/>
  <c r="B1234" i="19"/>
  <c r="B1235" i="19"/>
  <c r="B1236" i="19"/>
  <c r="B1237" i="19"/>
  <c r="B1238" i="19"/>
  <c r="B1239" i="19"/>
  <c r="B1240" i="19"/>
  <c r="B1241" i="19"/>
  <c r="B1242" i="19"/>
  <c r="B1243" i="19"/>
  <c r="B1244" i="19"/>
  <c r="B1245" i="19"/>
  <c r="B1246" i="19"/>
  <c r="B1247" i="19"/>
  <c r="B1248" i="19"/>
  <c r="B1249" i="19"/>
  <c r="B1250" i="19"/>
  <c r="B1251" i="19"/>
  <c r="B1252" i="19"/>
  <c r="B1253" i="19"/>
  <c r="B1254" i="19"/>
  <c r="B1255" i="19"/>
  <c r="B1256" i="19"/>
  <c r="B1257" i="19"/>
  <c r="B1258" i="19"/>
  <c r="B1259" i="19"/>
  <c r="B1260" i="19"/>
  <c r="B1261" i="19"/>
  <c r="B1262" i="19"/>
  <c r="B1263" i="19"/>
  <c r="B1264" i="19"/>
  <c r="B1265" i="19"/>
  <c r="B1266" i="19"/>
  <c r="B1267" i="19"/>
  <c r="B1268" i="19"/>
  <c r="B1269" i="19"/>
  <c r="B1270" i="19"/>
  <c r="B1271" i="19"/>
  <c r="B1272" i="19"/>
  <c r="B1273" i="19"/>
  <c r="B1274" i="19"/>
  <c r="B1275" i="19"/>
  <c r="B1276" i="19"/>
  <c r="B1277" i="19"/>
  <c r="B1278" i="19"/>
  <c r="B1279" i="19"/>
  <c r="B1280" i="19"/>
  <c r="B1281" i="19"/>
  <c r="B1282" i="19"/>
  <c r="B1283" i="19"/>
  <c r="B1284" i="19"/>
  <c r="B1285" i="19"/>
  <c r="B1286" i="19"/>
  <c r="B1287" i="19"/>
  <c r="B1288" i="19"/>
  <c r="B1289" i="19"/>
  <c r="B1290" i="19"/>
  <c r="B1291" i="19"/>
  <c r="B1292" i="19"/>
  <c r="B1293" i="19"/>
  <c r="B1294" i="19"/>
  <c r="B1295" i="19"/>
  <c r="B1296" i="19"/>
  <c r="B1297" i="19"/>
  <c r="B1298" i="19"/>
  <c r="B1299" i="19"/>
  <c r="B1300" i="19"/>
  <c r="B1301" i="19"/>
  <c r="B1302" i="19"/>
  <c r="B1303" i="19"/>
  <c r="B1304" i="19"/>
  <c r="B1305" i="19"/>
  <c r="B1306" i="19"/>
  <c r="B1307" i="19"/>
  <c r="B1308" i="19"/>
  <c r="B1309" i="19"/>
  <c r="B1310" i="19"/>
  <c r="B1311" i="19"/>
  <c r="B1312" i="19"/>
  <c r="B1313" i="19"/>
  <c r="B1314" i="19"/>
  <c r="B1315" i="19"/>
  <c r="B1316" i="19"/>
  <c r="B1317" i="19"/>
  <c r="B1318" i="19"/>
  <c r="B1319" i="19"/>
  <c r="B1320" i="19"/>
  <c r="B1321" i="19"/>
  <c r="B1322" i="19"/>
  <c r="B1323" i="19"/>
  <c r="B1324" i="19"/>
  <c r="B1325" i="19"/>
  <c r="B1326" i="19"/>
  <c r="B1327" i="19"/>
  <c r="B1328" i="19"/>
  <c r="B1329" i="19"/>
  <c r="B1330" i="19"/>
  <c r="B1331" i="19"/>
  <c r="B1332" i="19"/>
  <c r="B1333" i="19"/>
  <c r="B1334" i="19"/>
  <c r="B1335" i="19"/>
  <c r="B1336" i="19"/>
  <c r="B1337" i="19"/>
  <c r="B1338" i="19"/>
  <c r="B1339" i="19"/>
  <c r="B1340" i="19"/>
  <c r="B1341" i="19"/>
  <c r="B1342" i="19"/>
  <c r="B1343" i="19"/>
  <c r="B1344" i="19"/>
  <c r="B1345" i="19"/>
  <c r="B1346" i="19"/>
  <c r="B1347" i="19"/>
  <c r="B1348" i="19"/>
  <c r="B1349" i="19"/>
  <c r="B1350" i="19"/>
  <c r="B1351" i="19"/>
  <c r="B1352" i="19"/>
  <c r="B1353" i="19"/>
  <c r="B1354" i="19"/>
  <c r="B1355" i="19"/>
  <c r="B1356" i="19"/>
  <c r="B1357" i="19"/>
  <c r="B1358" i="19"/>
  <c r="B1359" i="19"/>
  <c r="B1360" i="19"/>
  <c r="B1361" i="19"/>
  <c r="B1362" i="19"/>
  <c r="B1363" i="19"/>
  <c r="B1364" i="19"/>
  <c r="B1365" i="19"/>
  <c r="B1366" i="19"/>
  <c r="B1367" i="19"/>
  <c r="B1368" i="19"/>
  <c r="B1369" i="19"/>
  <c r="B1370" i="19"/>
  <c r="B1371" i="19"/>
  <c r="B1372" i="19"/>
  <c r="B1373" i="19"/>
  <c r="B1374" i="19"/>
  <c r="B1375" i="19"/>
  <c r="B1376" i="19"/>
  <c r="B1377" i="19"/>
  <c r="B1378" i="19"/>
  <c r="B1379" i="19"/>
  <c r="B1380" i="19"/>
  <c r="B1381" i="19"/>
  <c r="B1382" i="19"/>
  <c r="B1383" i="19"/>
  <c r="B1384" i="19"/>
  <c r="B1385" i="19"/>
  <c r="B1386" i="19"/>
  <c r="B1387" i="19"/>
  <c r="B1388" i="19"/>
  <c r="B1389" i="19"/>
  <c r="B1390" i="19"/>
  <c r="B1391" i="19"/>
  <c r="B1392" i="19"/>
  <c r="B1393" i="19"/>
  <c r="B1394" i="19"/>
  <c r="B1395" i="19"/>
  <c r="B1396" i="19"/>
  <c r="B1397" i="19"/>
  <c r="B1398" i="19"/>
  <c r="B1399" i="19"/>
  <c r="B1400" i="19"/>
  <c r="B1401" i="19"/>
  <c r="B1402" i="19"/>
  <c r="B1403" i="19"/>
  <c r="B1404" i="19"/>
  <c r="B1405" i="19"/>
  <c r="B1406" i="19"/>
  <c r="B1407" i="19"/>
  <c r="B1408" i="19"/>
  <c r="B1409" i="19"/>
  <c r="B1410" i="19"/>
  <c r="B1411" i="19"/>
  <c r="B1412" i="19"/>
  <c r="B1413" i="19"/>
  <c r="B1414" i="19"/>
  <c r="B1415" i="19"/>
  <c r="B1416" i="19"/>
  <c r="B1417" i="19"/>
  <c r="B1418" i="19"/>
  <c r="B1419" i="19"/>
  <c r="B1420" i="19"/>
  <c r="B1421" i="19"/>
  <c r="B1422" i="19"/>
  <c r="B1423" i="19"/>
  <c r="B1424" i="19"/>
  <c r="B1425" i="19"/>
  <c r="B1426" i="19"/>
  <c r="B1427" i="19"/>
  <c r="B1428" i="19"/>
  <c r="B1429" i="19"/>
  <c r="B1430" i="19"/>
  <c r="B1431" i="19"/>
  <c r="B1432" i="19"/>
  <c r="B1433" i="19"/>
  <c r="B1434" i="19"/>
  <c r="B1435" i="19"/>
  <c r="B1436" i="19"/>
  <c r="B1437" i="19"/>
  <c r="B1438" i="19"/>
  <c r="B1439" i="19"/>
  <c r="B1440" i="19"/>
  <c r="B1441" i="19"/>
  <c r="B1442" i="19"/>
  <c r="B1443" i="19"/>
  <c r="B1444" i="19"/>
  <c r="B1445" i="19"/>
  <c r="B1446" i="19"/>
  <c r="B1447" i="19"/>
  <c r="B1448" i="19"/>
  <c r="B1449" i="19"/>
  <c r="B1450" i="19"/>
  <c r="B1451" i="19"/>
  <c r="B1452" i="19"/>
  <c r="B1453" i="19"/>
  <c r="B1454" i="19"/>
  <c r="B1455" i="19"/>
  <c r="B1456" i="19"/>
  <c r="B1457" i="19"/>
  <c r="B1458" i="19"/>
  <c r="B1459" i="19"/>
  <c r="B1460" i="19"/>
  <c r="B1461" i="19"/>
  <c r="B1462" i="19"/>
  <c r="B1463" i="19"/>
  <c r="B1464" i="19"/>
  <c r="B1465" i="19"/>
  <c r="B1466" i="19"/>
  <c r="B1467" i="19"/>
  <c r="B1468" i="19"/>
  <c r="B1469" i="19"/>
  <c r="B1470" i="19"/>
  <c r="B1471" i="19"/>
  <c r="B1472" i="19"/>
  <c r="B1473" i="19"/>
  <c r="B1474" i="19"/>
  <c r="B1475" i="19"/>
  <c r="B1476" i="19"/>
  <c r="B1477" i="19"/>
  <c r="B1478" i="19"/>
  <c r="B1479" i="19"/>
  <c r="B1480" i="19"/>
  <c r="B1481" i="19"/>
  <c r="B1482" i="19"/>
  <c r="B1483" i="19"/>
  <c r="B1484" i="19"/>
  <c r="B1485" i="19"/>
  <c r="B1486" i="19"/>
  <c r="B1487" i="19"/>
  <c r="B1488" i="19"/>
  <c r="B1489" i="19"/>
  <c r="B1490" i="19"/>
  <c r="B1491" i="19"/>
  <c r="B1492" i="19"/>
  <c r="B1493" i="19"/>
  <c r="B1494" i="19"/>
  <c r="B1495" i="19"/>
  <c r="B1496" i="19"/>
  <c r="B1497" i="19"/>
  <c r="B1498" i="19"/>
  <c r="B1499" i="19"/>
  <c r="B1500" i="19"/>
  <c r="B1501" i="19"/>
  <c r="B1502" i="19"/>
  <c r="B1503" i="19"/>
  <c r="B1504" i="19"/>
  <c r="B1505" i="19"/>
  <c r="B1506" i="19"/>
  <c r="B1507" i="19"/>
  <c r="B1508" i="19"/>
  <c r="B1509" i="19"/>
  <c r="B1510" i="19"/>
  <c r="B1511" i="19"/>
  <c r="B1512" i="19"/>
  <c r="B1513" i="19"/>
  <c r="B1514" i="19"/>
  <c r="B1515" i="19"/>
  <c r="B1516" i="19"/>
  <c r="B1517" i="19"/>
  <c r="B1518" i="19"/>
  <c r="B1519" i="19"/>
  <c r="B1520" i="19"/>
  <c r="B1521" i="19"/>
  <c r="B1522" i="19"/>
  <c r="B1523" i="19"/>
  <c r="B1524" i="19"/>
  <c r="B1525" i="19"/>
  <c r="B1526" i="19"/>
  <c r="B1527" i="19"/>
  <c r="B1528" i="19"/>
  <c r="B1529" i="19"/>
  <c r="B1530" i="19"/>
  <c r="B1531" i="19"/>
  <c r="B1532" i="19"/>
  <c r="B1533" i="19"/>
  <c r="B1534" i="19"/>
  <c r="B1535" i="19"/>
  <c r="B1536" i="19"/>
  <c r="B1537" i="19"/>
  <c r="B1538" i="19"/>
  <c r="B1539" i="19"/>
  <c r="B1540" i="19"/>
  <c r="B1541" i="19"/>
  <c r="B1542" i="19"/>
  <c r="B1543" i="19"/>
  <c r="B1544" i="19"/>
  <c r="B1545" i="19"/>
  <c r="B1546" i="19"/>
  <c r="B1547" i="19"/>
  <c r="B1548" i="19"/>
  <c r="B1549" i="19"/>
  <c r="B1550" i="19"/>
  <c r="B1551" i="19"/>
  <c r="B1552" i="19"/>
  <c r="B1553" i="19"/>
  <c r="B1554" i="19"/>
  <c r="B1555" i="19"/>
  <c r="B1556" i="19"/>
  <c r="B1557" i="19"/>
  <c r="B1558" i="19"/>
  <c r="B1559" i="19"/>
  <c r="B1560" i="19"/>
  <c r="B1561" i="19"/>
  <c r="B1562" i="19"/>
  <c r="B1563" i="19"/>
  <c r="B1564" i="19"/>
  <c r="B1565" i="19"/>
  <c r="B1566" i="19"/>
  <c r="B1567" i="19"/>
  <c r="B1568" i="19"/>
  <c r="B1569" i="19"/>
  <c r="B1570" i="19"/>
  <c r="B1571" i="19"/>
  <c r="B1572" i="19"/>
  <c r="B1573" i="19"/>
  <c r="B1574" i="19"/>
  <c r="B1575" i="19"/>
  <c r="B1576" i="19"/>
  <c r="B1577" i="19"/>
  <c r="B1578" i="19"/>
  <c r="B1579" i="19"/>
  <c r="B1580" i="19"/>
  <c r="B1581" i="19"/>
  <c r="B1582" i="19"/>
  <c r="B1583" i="19"/>
  <c r="B1584" i="19"/>
  <c r="B1585" i="19"/>
  <c r="B1586" i="19"/>
  <c r="B1587" i="19"/>
  <c r="B1588" i="19"/>
  <c r="B1589" i="19"/>
  <c r="B1590" i="19"/>
  <c r="B1591" i="19"/>
  <c r="B1592" i="19"/>
  <c r="B1593" i="19"/>
  <c r="B1594" i="19"/>
  <c r="B1595" i="19"/>
  <c r="B1596" i="19"/>
  <c r="B1597" i="19"/>
  <c r="B1598" i="19"/>
  <c r="B1599" i="19"/>
  <c r="B1600" i="19"/>
  <c r="B1601" i="19"/>
  <c r="B1602" i="19"/>
  <c r="B1603" i="19"/>
  <c r="B1604" i="19"/>
  <c r="B1605" i="19"/>
  <c r="B1606" i="19"/>
  <c r="B1607" i="19"/>
  <c r="B1608" i="19"/>
  <c r="B1609" i="19"/>
  <c r="B1610" i="19"/>
  <c r="B1611" i="19"/>
  <c r="B1612" i="19"/>
  <c r="B1613" i="19"/>
  <c r="B1614" i="19"/>
  <c r="B1615" i="19"/>
  <c r="B1616" i="19"/>
  <c r="B1617" i="19"/>
  <c r="B1618" i="19"/>
  <c r="B1619" i="19"/>
  <c r="B1620" i="19"/>
  <c r="B1621" i="19"/>
  <c r="B1622" i="19"/>
  <c r="B1623" i="19"/>
  <c r="B1624" i="19"/>
  <c r="B1625" i="19"/>
  <c r="B1626" i="19"/>
  <c r="B1627" i="19"/>
  <c r="B1628" i="19"/>
  <c r="B1629" i="19"/>
  <c r="B1630" i="19"/>
  <c r="B1631" i="19"/>
  <c r="B1632" i="19"/>
  <c r="B1633" i="19"/>
  <c r="B1634" i="19"/>
  <c r="B1635" i="19"/>
  <c r="B1636" i="19"/>
  <c r="B1637" i="19"/>
  <c r="B1638" i="19"/>
  <c r="B1639" i="19"/>
  <c r="B1640" i="19"/>
  <c r="B1641" i="19"/>
  <c r="B1642" i="19"/>
  <c r="B1643" i="19"/>
  <c r="B1644" i="19"/>
  <c r="B1645" i="19"/>
  <c r="B1646" i="19"/>
  <c r="B1647" i="19"/>
  <c r="B1648" i="19"/>
  <c r="B1649" i="19"/>
  <c r="B1650" i="19"/>
  <c r="B1651" i="19"/>
  <c r="B1652" i="19"/>
  <c r="B1653" i="19"/>
  <c r="B1654" i="19"/>
  <c r="B1655" i="19"/>
  <c r="B1656" i="19"/>
  <c r="B1657" i="19"/>
  <c r="B1658" i="19"/>
  <c r="B1659" i="19"/>
  <c r="B1660" i="19"/>
  <c r="B1661" i="19"/>
  <c r="B1662" i="19"/>
  <c r="B1663" i="19"/>
  <c r="B1664" i="19"/>
  <c r="B1665" i="19"/>
  <c r="B1666" i="19"/>
  <c r="B1667" i="19"/>
  <c r="B1668" i="19"/>
  <c r="B1669" i="19"/>
  <c r="B1670" i="19"/>
  <c r="B1671" i="19"/>
  <c r="B1672" i="19"/>
  <c r="B1673" i="19"/>
  <c r="B1674" i="19"/>
  <c r="B1675" i="19"/>
  <c r="B1676" i="19"/>
  <c r="B1677" i="19"/>
  <c r="B1678" i="19"/>
  <c r="B1679" i="19"/>
  <c r="B1680" i="19"/>
  <c r="B1681" i="19"/>
  <c r="B1682" i="19"/>
  <c r="B1683" i="19"/>
  <c r="B1684" i="19"/>
  <c r="B1685" i="19"/>
  <c r="B1686" i="19"/>
  <c r="B1687" i="19"/>
  <c r="B1688" i="19"/>
  <c r="B1689" i="19"/>
  <c r="B1690" i="19"/>
  <c r="B1691" i="19"/>
  <c r="B1692" i="19"/>
  <c r="B1693" i="19"/>
  <c r="B1694" i="19"/>
  <c r="B1695" i="19"/>
  <c r="B1696" i="19"/>
  <c r="B1697" i="19"/>
  <c r="B1698" i="19"/>
  <c r="B1699" i="19"/>
  <c r="B1700" i="19"/>
  <c r="B1701" i="19"/>
  <c r="B1702" i="19"/>
  <c r="B1703" i="19"/>
  <c r="B1704" i="19"/>
  <c r="B1705" i="19"/>
  <c r="B1706" i="19"/>
  <c r="B1707" i="19"/>
  <c r="B1708" i="19"/>
  <c r="B1709" i="19"/>
  <c r="B1710" i="19"/>
  <c r="B1711" i="19"/>
  <c r="B1712" i="19"/>
  <c r="B1713" i="19"/>
  <c r="B1714" i="19"/>
  <c r="B1715" i="19"/>
  <c r="B1716" i="19"/>
  <c r="B1717" i="19"/>
  <c r="B1718" i="19"/>
  <c r="B1719" i="19"/>
  <c r="B1720" i="19"/>
  <c r="B1721" i="19"/>
  <c r="B1722" i="19"/>
  <c r="B1723" i="19"/>
  <c r="B1724" i="19"/>
  <c r="B1725" i="19"/>
  <c r="B1726" i="19"/>
  <c r="B1727" i="19"/>
  <c r="B1728" i="19"/>
  <c r="B1729" i="19"/>
  <c r="B1730" i="19"/>
  <c r="B1731" i="19"/>
  <c r="B1732" i="19"/>
  <c r="B1733" i="19"/>
  <c r="B1734" i="19"/>
  <c r="B1735" i="19"/>
  <c r="B1736" i="19"/>
  <c r="B1737" i="19"/>
  <c r="B1738" i="19"/>
  <c r="B1739" i="19"/>
  <c r="B1740" i="19"/>
  <c r="B1741" i="19"/>
  <c r="B1742" i="19"/>
  <c r="B1743" i="19"/>
  <c r="B1744" i="19"/>
  <c r="B1745" i="19"/>
  <c r="B1746" i="19"/>
  <c r="B1747" i="19"/>
  <c r="B1748" i="19"/>
  <c r="B1749" i="19"/>
  <c r="B1750" i="19"/>
  <c r="B1751" i="19"/>
  <c r="B1752" i="19"/>
  <c r="B1753" i="19"/>
  <c r="B1754" i="19"/>
  <c r="B1755" i="19"/>
  <c r="B1756" i="19"/>
  <c r="B1757" i="19"/>
  <c r="B1758" i="19"/>
  <c r="B1759" i="19"/>
  <c r="B1760" i="19"/>
  <c r="B1761" i="19"/>
  <c r="B1762" i="19"/>
  <c r="B1763" i="19"/>
  <c r="B1764" i="19"/>
  <c r="B1765" i="19"/>
  <c r="B1766" i="19"/>
  <c r="B1767" i="19"/>
  <c r="B1768" i="19"/>
  <c r="B1769" i="19"/>
  <c r="B1770" i="19"/>
  <c r="B1771" i="19"/>
  <c r="B1772" i="19"/>
  <c r="B1773" i="19"/>
  <c r="B1774" i="19"/>
  <c r="B1775" i="19"/>
  <c r="B1776" i="19"/>
  <c r="B1777" i="19"/>
  <c r="B1778" i="19"/>
  <c r="B1779" i="19"/>
  <c r="B1780" i="19"/>
  <c r="B1781" i="19"/>
  <c r="B1782" i="19"/>
  <c r="B1783" i="19"/>
  <c r="B1784" i="19"/>
  <c r="B1785" i="19"/>
  <c r="B1786" i="19"/>
  <c r="B1787" i="19"/>
  <c r="B1788"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H137" i="19"/>
  <c r="H138" i="19"/>
  <c r="H139" i="19"/>
  <c r="H140" i="19"/>
  <c r="H141" i="19"/>
  <c r="H142" i="19"/>
  <c r="H143" i="19"/>
  <c r="H144" i="19"/>
  <c r="H145" i="19"/>
  <c r="H146" i="19"/>
  <c r="H147" i="19"/>
  <c r="H148" i="19"/>
  <c r="H149" i="19"/>
  <c r="H150" i="19"/>
  <c r="H151" i="19"/>
  <c r="H152" i="19"/>
  <c r="H153" i="19"/>
  <c r="H154" i="19"/>
  <c r="H155" i="19"/>
  <c r="H156" i="19"/>
  <c r="H157" i="19"/>
  <c r="H158" i="19"/>
  <c r="H159" i="19"/>
  <c r="H160" i="19"/>
  <c r="H161" i="19"/>
  <c r="H162" i="19"/>
  <c r="H163" i="19"/>
  <c r="H164" i="19"/>
  <c r="H165" i="19"/>
  <c r="H166" i="19"/>
  <c r="H167" i="19"/>
  <c r="H168" i="19"/>
  <c r="H169" i="19"/>
  <c r="H170" i="19"/>
  <c r="H171" i="19"/>
  <c r="H172" i="19"/>
  <c r="H173" i="19"/>
  <c r="H174" i="19"/>
  <c r="H175" i="19"/>
  <c r="H176" i="19"/>
  <c r="H177" i="19"/>
  <c r="H178" i="19"/>
  <c r="H179" i="19"/>
  <c r="H180" i="19"/>
  <c r="H181" i="19"/>
  <c r="H182" i="19"/>
  <c r="H183" i="19"/>
  <c r="H184" i="19"/>
  <c r="H185" i="19"/>
  <c r="H186" i="19"/>
  <c r="H187" i="19"/>
  <c r="H188" i="19"/>
  <c r="H189" i="19"/>
  <c r="H190" i="19"/>
  <c r="H191" i="19"/>
  <c r="H192" i="19"/>
  <c r="H193" i="19"/>
  <c r="H194" i="19"/>
  <c r="H195" i="19"/>
  <c r="H196" i="19"/>
  <c r="H197" i="19"/>
  <c r="H198" i="19"/>
  <c r="H199" i="19"/>
  <c r="H200" i="19"/>
  <c r="H201" i="19"/>
  <c r="H202" i="19"/>
  <c r="H203" i="19"/>
  <c r="H204" i="19"/>
  <c r="H205" i="19"/>
  <c r="H206" i="19"/>
  <c r="H207" i="19"/>
  <c r="H208" i="19"/>
  <c r="H209" i="19"/>
  <c r="H210" i="19"/>
  <c r="H211" i="19"/>
  <c r="H212" i="19"/>
  <c r="H213" i="19"/>
  <c r="H214" i="19"/>
  <c r="H215" i="19"/>
  <c r="H216" i="19"/>
  <c r="H217" i="19"/>
  <c r="H218" i="19"/>
  <c r="H219" i="19"/>
  <c r="H220" i="19"/>
  <c r="H221" i="19"/>
  <c r="H222" i="19"/>
  <c r="H223" i="19"/>
  <c r="H224" i="19"/>
  <c r="H225" i="19"/>
  <c r="H226" i="19"/>
  <c r="H227" i="19"/>
  <c r="H228" i="19"/>
  <c r="H229" i="19"/>
  <c r="H230" i="19"/>
  <c r="H231" i="19"/>
  <c r="H232" i="19"/>
  <c r="H233" i="19"/>
  <c r="H234" i="19"/>
  <c r="H235" i="19"/>
  <c r="H236" i="19"/>
  <c r="H237" i="19"/>
  <c r="H238" i="19"/>
  <c r="H239" i="19"/>
  <c r="H240" i="19"/>
  <c r="H241" i="19"/>
  <c r="H242" i="19"/>
  <c r="H243" i="19"/>
  <c r="H244" i="19"/>
  <c r="H245" i="19"/>
  <c r="H246" i="19"/>
  <c r="H247" i="19"/>
  <c r="H248" i="19"/>
  <c r="H249" i="19"/>
  <c r="H250" i="19"/>
  <c r="H251" i="19"/>
  <c r="H252" i="19"/>
  <c r="H253" i="19"/>
  <c r="H254" i="19"/>
  <c r="H255" i="19"/>
  <c r="H256" i="19"/>
  <c r="H257" i="19"/>
  <c r="H258" i="19"/>
  <c r="H259" i="19"/>
  <c r="H260" i="19"/>
  <c r="H261" i="19"/>
  <c r="H262" i="19"/>
  <c r="H263" i="19"/>
  <c r="H264" i="19"/>
  <c r="H265" i="19"/>
  <c r="H266" i="19"/>
  <c r="H267" i="19"/>
  <c r="H268" i="19"/>
  <c r="H269" i="19"/>
  <c r="H270" i="19"/>
  <c r="H271" i="19"/>
  <c r="H272" i="19"/>
  <c r="H273" i="19"/>
  <c r="H274" i="19"/>
  <c r="H275" i="19"/>
  <c r="H276" i="19"/>
  <c r="H277" i="19"/>
  <c r="H278" i="19"/>
  <c r="H279" i="19"/>
  <c r="H280" i="19"/>
  <c r="H281" i="19"/>
  <c r="H282" i="19"/>
  <c r="H283" i="19"/>
  <c r="H284" i="19"/>
  <c r="H285" i="19"/>
  <c r="H286" i="19"/>
  <c r="H287" i="19"/>
  <c r="H288" i="19"/>
  <c r="H289" i="19"/>
  <c r="H290" i="19"/>
  <c r="H291" i="19"/>
  <c r="H292" i="19"/>
  <c r="H293" i="19"/>
  <c r="H294" i="19"/>
  <c r="H295" i="19"/>
  <c r="H296" i="19"/>
  <c r="H297" i="19"/>
  <c r="H298" i="19"/>
  <c r="H299" i="19"/>
  <c r="H300" i="19"/>
  <c r="H301" i="19"/>
  <c r="H302" i="19"/>
  <c r="H303" i="19"/>
  <c r="H304" i="19"/>
  <c r="H305" i="19"/>
  <c r="H306" i="19"/>
  <c r="H307" i="19"/>
  <c r="H308" i="19"/>
  <c r="H309" i="19"/>
  <c r="H310" i="19"/>
  <c r="H311" i="19"/>
  <c r="H312" i="19"/>
  <c r="H313" i="19"/>
  <c r="H314" i="19"/>
  <c r="H315" i="19"/>
  <c r="H316" i="19"/>
  <c r="H317" i="19"/>
  <c r="H318" i="19"/>
  <c r="H319" i="19"/>
  <c r="H320" i="19"/>
  <c r="H321" i="19"/>
  <c r="H322" i="19"/>
  <c r="H323" i="19"/>
  <c r="H324" i="19"/>
  <c r="H325" i="19"/>
  <c r="H326" i="19"/>
  <c r="H327" i="19"/>
  <c r="H328" i="19"/>
  <c r="H329" i="19"/>
  <c r="H330" i="19"/>
  <c r="H331" i="19"/>
  <c r="H332" i="19"/>
  <c r="H333" i="19"/>
  <c r="H334" i="19"/>
  <c r="H335" i="19"/>
  <c r="H336" i="19"/>
  <c r="H337" i="19"/>
  <c r="H338" i="19"/>
  <c r="H339" i="19"/>
  <c r="H340" i="19"/>
  <c r="H341" i="19"/>
  <c r="H342" i="19"/>
  <c r="H343" i="19"/>
  <c r="H344" i="19"/>
  <c r="H345" i="19"/>
  <c r="H346" i="19"/>
  <c r="H347" i="19"/>
  <c r="H348" i="19"/>
  <c r="H349" i="19"/>
  <c r="H350" i="19"/>
  <c r="H351" i="19"/>
  <c r="H352" i="19"/>
  <c r="H353" i="19"/>
  <c r="H354" i="19"/>
  <c r="H355" i="19"/>
  <c r="H356" i="19"/>
  <c r="H357" i="19"/>
  <c r="H358" i="19"/>
  <c r="H359" i="19"/>
  <c r="H360" i="19"/>
  <c r="H361" i="19"/>
  <c r="H362" i="19"/>
  <c r="H363" i="19"/>
  <c r="H364" i="19"/>
  <c r="H365" i="19"/>
  <c r="H366" i="19"/>
  <c r="H367" i="19"/>
  <c r="H368" i="19"/>
  <c r="H369" i="19"/>
  <c r="H370" i="19"/>
  <c r="H371" i="19"/>
  <c r="H372" i="19"/>
  <c r="H373" i="19"/>
  <c r="H374" i="19"/>
  <c r="H375" i="19"/>
  <c r="H376" i="19"/>
  <c r="H377" i="19"/>
  <c r="H378" i="19"/>
  <c r="H379" i="19"/>
  <c r="H380" i="19"/>
  <c r="H381" i="19"/>
  <c r="H382" i="19"/>
  <c r="H383" i="19"/>
  <c r="H384" i="19"/>
  <c r="H385" i="19"/>
  <c r="H386" i="19"/>
  <c r="H387" i="19"/>
  <c r="H388" i="19"/>
  <c r="H389" i="19"/>
  <c r="H390" i="19"/>
  <c r="H391" i="19"/>
  <c r="H392" i="19"/>
  <c r="H393" i="19"/>
  <c r="H394" i="19"/>
  <c r="H395" i="19"/>
  <c r="H396" i="19"/>
  <c r="H397" i="19"/>
  <c r="H398" i="19"/>
  <c r="H399" i="19"/>
  <c r="H400" i="19"/>
  <c r="H401" i="19"/>
  <c r="H402" i="19"/>
  <c r="H403" i="19"/>
  <c r="H404" i="19"/>
  <c r="H405" i="19"/>
  <c r="H406" i="19"/>
  <c r="H407" i="19"/>
  <c r="H408" i="19"/>
  <c r="H409" i="19"/>
  <c r="H410" i="19"/>
  <c r="H411" i="19"/>
  <c r="H412" i="19"/>
  <c r="H413" i="19"/>
  <c r="H414" i="19"/>
  <c r="H415" i="19"/>
  <c r="H416" i="19"/>
  <c r="H417" i="19"/>
  <c r="H418" i="19"/>
  <c r="H419" i="19"/>
  <c r="H420" i="19"/>
  <c r="H421" i="19"/>
  <c r="H422" i="19"/>
  <c r="H423" i="19"/>
  <c r="H424" i="19"/>
  <c r="H425" i="19"/>
  <c r="H426" i="19"/>
  <c r="H427" i="19"/>
  <c r="H428" i="19"/>
  <c r="H429" i="19"/>
  <c r="H430" i="19"/>
  <c r="H431" i="19"/>
  <c r="H432" i="19"/>
  <c r="H433" i="19"/>
  <c r="H434" i="19"/>
  <c r="H435" i="19"/>
  <c r="H436" i="19"/>
  <c r="H437" i="19"/>
  <c r="H438" i="19"/>
  <c r="H439" i="19"/>
  <c r="H440" i="19"/>
  <c r="H441" i="19"/>
  <c r="H442" i="19"/>
  <c r="H443" i="19"/>
  <c r="H444" i="19"/>
  <c r="H445" i="19"/>
  <c r="H446" i="19"/>
  <c r="H447" i="19"/>
  <c r="H448" i="19"/>
  <c r="H449" i="19"/>
  <c r="H450" i="19"/>
  <c r="H451" i="19"/>
  <c r="H452" i="19"/>
  <c r="H453" i="19"/>
  <c r="H454" i="19"/>
  <c r="H455" i="19"/>
  <c r="H456" i="19"/>
  <c r="H457" i="19"/>
  <c r="H458" i="19"/>
  <c r="H459" i="19"/>
  <c r="H460" i="19"/>
  <c r="H461" i="19"/>
  <c r="H462" i="19"/>
  <c r="H463" i="19"/>
  <c r="H464" i="19"/>
  <c r="H465" i="19"/>
  <c r="H466" i="19"/>
  <c r="H467" i="19"/>
  <c r="H468" i="19"/>
  <c r="H469" i="19"/>
  <c r="H470" i="19"/>
  <c r="H471" i="19"/>
  <c r="H472" i="19"/>
  <c r="H473" i="19"/>
  <c r="H474" i="19"/>
  <c r="H475" i="19"/>
  <c r="H476" i="19"/>
  <c r="H477" i="19"/>
  <c r="H478" i="19"/>
  <c r="H479" i="19"/>
  <c r="H480" i="19"/>
  <c r="H481" i="19"/>
  <c r="H482" i="19"/>
  <c r="H483" i="19"/>
  <c r="H484" i="19"/>
  <c r="H485" i="19"/>
  <c r="H486" i="19"/>
  <c r="H487" i="19"/>
  <c r="H488" i="19"/>
  <c r="H489" i="19"/>
  <c r="H490" i="19"/>
  <c r="H491" i="19"/>
  <c r="H492" i="19"/>
  <c r="H493" i="19"/>
  <c r="H494" i="19"/>
  <c r="H495" i="19"/>
  <c r="H496" i="19"/>
  <c r="H497" i="19"/>
  <c r="H498" i="19"/>
  <c r="H499" i="19"/>
  <c r="H500" i="19"/>
  <c r="H501" i="19"/>
  <c r="H502" i="19"/>
  <c r="H503" i="19"/>
  <c r="H504" i="19"/>
  <c r="H505" i="19"/>
  <c r="H506" i="19"/>
  <c r="H507" i="19"/>
  <c r="H508" i="19"/>
  <c r="H509" i="19"/>
  <c r="H510" i="19"/>
  <c r="H511" i="19"/>
  <c r="H512" i="19"/>
  <c r="H513" i="19"/>
  <c r="H514" i="19"/>
  <c r="H515" i="19"/>
  <c r="H516" i="19"/>
  <c r="H517" i="19"/>
  <c r="H518" i="19"/>
  <c r="H519" i="19"/>
  <c r="H520" i="19"/>
  <c r="H521" i="19"/>
  <c r="H522" i="19"/>
  <c r="H523" i="19"/>
  <c r="H524" i="19"/>
  <c r="H525" i="19"/>
  <c r="H526" i="19"/>
  <c r="H527" i="19"/>
  <c r="H528" i="19"/>
  <c r="H529" i="19"/>
  <c r="H530" i="19"/>
  <c r="H531" i="19"/>
  <c r="H532" i="19"/>
  <c r="H533" i="19"/>
  <c r="H534" i="19"/>
  <c r="H535" i="19"/>
  <c r="H536" i="19"/>
  <c r="H537" i="19"/>
  <c r="H538" i="19"/>
  <c r="H539" i="19"/>
  <c r="H540" i="19"/>
  <c r="H541" i="19"/>
  <c r="H542" i="19"/>
  <c r="H543" i="19"/>
  <c r="H544" i="19"/>
  <c r="H545" i="19"/>
  <c r="H546" i="19"/>
  <c r="H547" i="19"/>
  <c r="H548" i="19"/>
  <c r="H549" i="19"/>
  <c r="H550" i="19"/>
  <c r="H551" i="19"/>
  <c r="H552" i="19"/>
  <c r="H553" i="19"/>
  <c r="H554" i="19"/>
  <c r="H555" i="19"/>
  <c r="H556" i="19"/>
  <c r="H557" i="19"/>
  <c r="H558" i="19"/>
  <c r="H559" i="19"/>
  <c r="H560" i="19"/>
  <c r="H561" i="19"/>
  <c r="H562" i="19"/>
  <c r="H563" i="19"/>
  <c r="H564" i="19"/>
  <c r="H565" i="19"/>
  <c r="H566" i="19"/>
  <c r="H567" i="19"/>
  <c r="H568" i="19"/>
  <c r="H569" i="19"/>
  <c r="H570" i="19"/>
  <c r="H571" i="19"/>
  <c r="H572" i="19"/>
  <c r="H573" i="19"/>
  <c r="H574" i="19"/>
  <c r="H575" i="19"/>
  <c r="H576" i="19"/>
  <c r="H577" i="19"/>
  <c r="H578" i="19"/>
  <c r="H579" i="19"/>
  <c r="H580" i="19"/>
  <c r="H581" i="19"/>
  <c r="H582" i="19"/>
  <c r="H583" i="19"/>
  <c r="H584" i="19"/>
  <c r="H585" i="19"/>
  <c r="H586" i="19"/>
  <c r="H587" i="19"/>
  <c r="H588" i="19"/>
  <c r="H589" i="19"/>
  <c r="H590" i="19"/>
  <c r="H591" i="19"/>
  <c r="H592" i="19"/>
  <c r="H593" i="19"/>
  <c r="H594" i="19"/>
  <c r="H595" i="19"/>
  <c r="H596" i="19"/>
  <c r="H597" i="19"/>
  <c r="H598" i="19"/>
  <c r="H599" i="19"/>
  <c r="H600" i="19"/>
  <c r="H601" i="19"/>
  <c r="H602" i="19"/>
  <c r="H603" i="19"/>
  <c r="H604" i="19"/>
  <c r="H605" i="19"/>
  <c r="H606" i="19"/>
  <c r="H607" i="19"/>
  <c r="H608" i="19"/>
  <c r="H609" i="19"/>
  <c r="H610" i="19"/>
  <c r="H611" i="19"/>
  <c r="H612" i="19"/>
  <c r="H613" i="19"/>
  <c r="H614" i="19"/>
  <c r="H615" i="19"/>
  <c r="H616" i="19"/>
  <c r="H617" i="19"/>
  <c r="H618" i="19"/>
  <c r="H619" i="19"/>
  <c r="H620" i="19"/>
  <c r="H621" i="19"/>
  <c r="H622" i="19"/>
  <c r="H623" i="19"/>
  <c r="H624" i="19"/>
  <c r="H625" i="19"/>
  <c r="H626" i="19"/>
  <c r="H627" i="19"/>
  <c r="H628" i="19"/>
  <c r="H629" i="19"/>
  <c r="H630" i="19"/>
  <c r="H631" i="19"/>
  <c r="H632" i="19"/>
  <c r="H633" i="19"/>
  <c r="H634" i="19"/>
  <c r="H635" i="19"/>
  <c r="H636" i="19"/>
  <c r="H637" i="19"/>
  <c r="H638" i="19"/>
  <c r="H639" i="19"/>
  <c r="H640" i="19"/>
  <c r="H641" i="19"/>
  <c r="H642" i="19"/>
  <c r="H643" i="19"/>
  <c r="H644" i="19"/>
  <c r="H645" i="19"/>
  <c r="H646" i="19"/>
  <c r="H647" i="19"/>
  <c r="H648" i="19"/>
  <c r="H649" i="19"/>
  <c r="H650" i="19"/>
  <c r="H651" i="19"/>
  <c r="H652" i="19"/>
  <c r="H653" i="19"/>
  <c r="H654" i="19"/>
  <c r="H655" i="19"/>
  <c r="H656" i="19"/>
  <c r="H657" i="19"/>
  <c r="H658" i="19"/>
  <c r="H659" i="19"/>
  <c r="H660" i="19"/>
  <c r="H661" i="19"/>
  <c r="H662" i="19"/>
  <c r="H663" i="19"/>
  <c r="H664" i="19"/>
  <c r="H665" i="19"/>
  <c r="H666" i="19"/>
  <c r="H667" i="19"/>
  <c r="H668" i="19"/>
  <c r="H669" i="19"/>
  <c r="H670" i="19"/>
  <c r="H671" i="19"/>
  <c r="H672" i="19"/>
  <c r="H673" i="19"/>
  <c r="H674" i="19"/>
  <c r="H675" i="19"/>
  <c r="H676" i="19"/>
  <c r="H677" i="19"/>
  <c r="H678" i="19"/>
  <c r="H679" i="19"/>
  <c r="H680" i="19"/>
  <c r="H681" i="19"/>
  <c r="H682" i="19"/>
  <c r="H683" i="19"/>
  <c r="H684" i="19"/>
  <c r="H685" i="19"/>
  <c r="H686" i="19"/>
  <c r="H687" i="19"/>
  <c r="H688" i="19"/>
  <c r="H689" i="19"/>
  <c r="H690" i="19"/>
  <c r="H691" i="19"/>
  <c r="H692" i="19"/>
  <c r="H693" i="19"/>
  <c r="H694" i="19"/>
  <c r="H695" i="19"/>
  <c r="H696" i="19"/>
  <c r="H697" i="19"/>
  <c r="H698" i="19"/>
  <c r="H699" i="19"/>
  <c r="H700" i="19"/>
  <c r="H701" i="19"/>
  <c r="H702" i="19"/>
  <c r="H703" i="19"/>
  <c r="H704" i="19"/>
  <c r="H705" i="19"/>
  <c r="H706" i="19"/>
  <c r="H707" i="19"/>
  <c r="H708" i="19"/>
  <c r="H709" i="19"/>
  <c r="H710" i="19"/>
  <c r="H711" i="19"/>
  <c r="H712" i="19"/>
  <c r="H713" i="19"/>
  <c r="H714" i="19"/>
  <c r="H715" i="19"/>
  <c r="H716" i="19"/>
  <c r="H717" i="19"/>
  <c r="H718" i="19"/>
  <c r="H719" i="19"/>
  <c r="H720" i="19"/>
  <c r="H721" i="19"/>
  <c r="H722" i="19"/>
  <c r="H723" i="19"/>
  <c r="H724" i="19"/>
  <c r="H725" i="19"/>
  <c r="H726" i="19"/>
  <c r="H727" i="19"/>
  <c r="H728" i="19"/>
  <c r="H729" i="19"/>
  <c r="H730" i="19"/>
  <c r="H731" i="19"/>
  <c r="H732" i="19"/>
  <c r="H733" i="19"/>
  <c r="H734" i="19"/>
  <c r="H735" i="19"/>
  <c r="H736" i="19"/>
  <c r="H737" i="19"/>
  <c r="H738" i="19"/>
  <c r="H739" i="19"/>
  <c r="H740" i="19"/>
  <c r="H741" i="19"/>
  <c r="H742" i="19"/>
  <c r="H743" i="19"/>
  <c r="H744" i="19"/>
  <c r="H745" i="19"/>
  <c r="H746" i="19"/>
  <c r="H747" i="19"/>
  <c r="H748" i="19"/>
  <c r="H749" i="19"/>
  <c r="H750" i="19"/>
  <c r="H751" i="19"/>
  <c r="H752" i="19"/>
  <c r="H753" i="19"/>
  <c r="H754" i="19"/>
  <c r="H755" i="19"/>
  <c r="H756" i="19"/>
  <c r="H757" i="19"/>
  <c r="H758" i="19"/>
  <c r="H759" i="19"/>
  <c r="H760" i="19"/>
  <c r="H761" i="19"/>
  <c r="H762" i="19"/>
  <c r="H763" i="19"/>
  <c r="H764" i="19"/>
  <c r="H765" i="19"/>
  <c r="H766" i="19"/>
  <c r="H767" i="19"/>
  <c r="H768" i="19"/>
  <c r="H769" i="19"/>
  <c r="H770" i="19"/>
  <c r="H771" i="19"/>
  <c r="H772" i="19"/>
  <c r="H773" i="19"/>
  <c r="H774" i="19"/>
  <c r="H775" i="19"/>
  <c r="H776" i="19"/>
  <c r="H777" i="19"/>
  <c r="H778" i="19"/>
  <c r="H779" i="19"/>
  <c r="H780" i="19"/>
  <c r="H781" i="19"/>
  <c r="H782" i="19"/>
  <c r="H783" i="19"/>
  <c r="H784" i="19"/>
  <c r="H785" i="19"/>
  <c r="H786" i="19"/>
  <c r="H787" i="19"/>
  <c r="H788" i="19"/>
  <c r="H789" i="19"/>
  <c r="H790" i="19"/>
  <c r="H791" i="19"/>
  <c r="H792" i="19"/>
  <c r="H793" i="19"/>
  <c r="H794" i="19"/>
  <c r="H795" i="19"/>
  <c r="H796" i="19"/>
  <c r="H797" i="19"/>
  <c r="H798" i="19"/>
  <c r="H799" i="19"/>
  <c r="H800" i="19"/>
  <c r="H801" i="19"/>
  <c r="H802" i="19"/>
  <c r="H803" i="19"/>
  <c r="H804" i="19"/>
  <c r="H805" i="19"/>
  <c r="H806" i="19"/>
  <c r="H807" i="19"/>
  <c r="H808" i="19"/>
  <c r="H809" i="19"/>
  <c r="H810" i="19"/>
  <c r="H811" i="19"/>
  <c r="H812" i="19"/>
  <c r="H813" i="19"/>
  <c r="H814" i="19"/>
  <c r="H815" i="19"/>
  <c r="H816" i="19"/>
  <c r="H817" i="19"/>
  <c r="H818" i="19"/>
  <c r="H819" i="19"/>
  <c r="H820" i="19"/>
  <c r="H821" i="19"/>
  <c r="H822" i="19"/>
  <c r="H823" i="19"/>
  <c r="H824" i="19"/>
  <c r="H825" i="19"/>
  <c r="H826" i="19"/>
  <c r="H827" i="19"/>
  <c r="H828" i="19"/>
  <c r="H829" i="19"/>
  <c r="H830" i="19"/>
  <c r="H831" i="19"/>
  <c r="H832" i="19"/>
  <c r="H833" i="19"/>
  <c r="H834" i="19"/>
  <c r="H835" i="19"/>
  <c r="H836" i="19"/>
  <c r="H837" i="19"/>
  <c r="H838" i="19"/>
  <c r="H839" i="19"/>
  <c r="H840" i="19"/>
  <c r="H841" i="19"/>
  <c r="H842" i="19"/>
  <c r="H843" i="19"/>
  <c r="H844" i="19"/>
  <c r="H845" i="19"/>
  <c r="H846" i="19"/>
  <c r="H847" i="19"/>
  <c r="H848" i="19"/>
  <c r="H849" i="19"/>
  <c r="H850" i="19"/>
  <c r="H851" i="19"/>
  <c r="H852" i="19"/>
  <c r="H853" i="19"/>
  <c r="H854" i="19"/>
  <c r="H855" i="19"/>
  <c r="H856" i="19"/>
  <c r="H857" i="19"/>
  <c r="H858" i="19"/>
  <c r="H859" i="19"/>
  <c r="H860" i="19"/>
  <c r="H861" i="19"/>
  <c r="H862" i="19"/>
  <c r="H863" i="19"/>
  <c r="H864" i="19"/>
  <c r="H865" i="19"/>
  <c r="H866" i="19"/>
  <c r="H867" i="19"/>
  <c r="H868" i="19"/>
  <c r="H869" i="19"/>
  <c r="H870" i="19"/>
  <c r="H871" i="19"/>
  <c r="H872" i="19"/>
  <c r="H873" i="19"/>
  <c r="H874" i="19"/>
  <c r="H875" i="19"/>
  <c r="H876" i="19"/>
  <c r="H877" i="19"/>
  <c r="H878" i="19"/>
  <c r="H879" i="19"/>
  <c r="H880" i="19"/>
  <c r="H881" i="19"/>
  <c r="H882" i="19"/>
  <c r="H883" i="19"/>
  <c r="H884" i="19"/>
  <c r="H885" i="19"/>
  <c r="H886" i="19"/>
  <c r="H887" i="19"/>
  <c r="H888" i="19"/>
  <c r="H889" i="19"/>
  <c r="H890" i="19"/>
  <c r="H891" i="19"/>
  <c r="H892" i="19"/>
  <c r="H893" i="19"/>
  <c r="H894" i="19"/>
  <c r="H895" i="19"/>
  <c r="H896" i="19"/>
  <c r="H897" i="19"/>
  <c r="H898" i="19"/>
  <c r="H899" i="19"/>
  <c r="H900" i="19"/>
  <c r="H901" i="19"/>
  <c r="H902" i="19"/>
  <c r="H903" i="19"/>
  <c r="H904" i="19"/>
  <c r="H905" i="19"/>
  <c r="H906" i="19"/>
  <c r="H907" i="19"/>
  <c r="H908" i="19"/>
  <c r="H909" i="19"/>
  <c r="H910" i="19"/>
  <c r="H911" i="19"/>
  <c r="H912" i="19"/>
  <c r="H913" i="19"/>
  <c r="H914" i="19"/>
  <c r="H915" i="19"/>
  <c r="H916" i="19"/>
  <c r="H917" i="19"/>
  <c r="H918" i="19"/>
  <c r="H919" i="19"/>
  <c r="H920" i="19"/>
  <c r="H921" i="19"/>
  <c r="H922" i="19"/>
  <c r="H923" i="19"/>
  <c r="H924" i="19"/>
  <c r="H925" i="19"/>
  <c r="H926" i="19"/>
  <c r="H927" i="19"/>
  <c r="H928" i="19"/>
  <c r="H929" i="19"/>
  <c r="H930" i="19"/>
  <c r="H931" i="19"/>
  <c r="H932" i="19"/>
  <c r="H933" i="19"/>
  <c r="H934" i="19"/>
  <c r="H935" i="19"/>
  <c r="H936" i="19"/>
  <c r="H937" i="19"/>
  <c r="H938" i="19"/>
  <c r="H939" i="19"/>
  <c r="H940" i="19"/>
  <c r="H941" i="19"/>
  <c r="H942" i="19"/>
  <c r="H943" i="19"/>
  <c r="H944" i="19"/>
  <c r="H945" i="19"/>
  <c r="H946" i="19"/>
  <c r="H947" i="19"/>
  <c r="H948" i="19"/>
  <c r="H949" i="19"/>
  <c r="H950" i="19"/>
  <c r="H951" i="19"/>
  <c r="H952" i="19"/>
  <c r="H953" i="19"/>
  <c r="H954" i="19"/>
  <c r="H955" i="19"/>
  <c r="H956" i="19"/>
  <c r="H957" i="19"/>
  <c r="H958" i="19"/>
  <c r="H959" i="19"/>
  <c r="H960" i="19"/>
  <c r="H961" i="19"/>
  <c r="H962" i="19"/>
  <c r="H963" i="19"/>
  <c r="H964" i="19"/>
  <c r="H965" i="19"/>
  <c r="H966" i="19"/>
  <c r="H967" i="19"/>
  <c r="H968" i="19"/>
  <c r="H969" i="19"/>
  <c r="H970" i="19"/>
  <c r="H971" i="19"/>
  <c r="H972" i="19"/>
  <c r="H973" i="19"/>
  <c r="H974" i="19"/>
  <c r="H975" i="19"/>
  <c r="H976" i="19"/>
  <c r="H977" i="19"/>
  <c r="H978" i="19"/>
  <c r="H979" i="19"/>
  <c r="H980" i="19"/>
  <c r="H981" i="19"/>
  <c r="H982" i="19"/>
  <c r="H983" i="19"/>
  <c r="H984" i="19"/>
  <c r="H985" i="19"/>
  <c r="H986" i="19"/>
  <c r="H987" i="19"/>
  <c r="H988" i="19"/>
  <c r="H989" i="19"/>
  <c r="H990" i="19"/>
  <c r="H991" i="19"/>
  <c r="H992" i="19"/>
  <c r="H993" i="19"/>
  <c r="H994" i="19"/>
  <c r="H995" i="19"/>
  <c r="H996" i="19"/>
  <c r="H997" i="19"/>
  <c r="H998" i="19"/>
  <c r="H999" i="19"/>
  <c r="H1000" i="19"/>
  <c r="H1001" i="19"/>
  <c r="H1002" i="19"/>
  <c r="H1003" i="19"/>
  <c r="H1004" i="19"/>
  <c r="H1005" i="19"/>
  <c r="H1006" i="19"/>
  <c r="H1007" i="19"/>
  <c r="H1008" i="19"/>
  <c r="H1009" i="19"/>
  <c r="H1010" i="19"/>
  <c r="H1011" i="19"/>
  <c r="H1012" i="19"/>
  <c r="H1013" i="19"/>
  <c r="H1014" i="19"/>
  <c r="H1015" i="19"/>
  <c r="H1016" i="19"/>
  <c r="H1017" i="19"/>
  <c r="H1018" i="19"/>
  <c r="H1019" i="19"/>
  <c r="H1020" i="19"/>
  <c r="H1021" i="19"/>
  <c r="H1022" i="19"/>
  <c r="H1023" i="19"/>
  <c r="H1024" i="19"/>
  <c r="H1025" i="19"/>
  <c r="H1026" i="19"/>
  <c r="H1027" i="19"/>
  <c r="H1028" i="19"/>
  <c r="H1029" i="19"/>
  <c r="H1030" i="19"/>
  <c r="H1031" i="19"/>
  <c r="H1032" i="19"/>
  <c r="H1033" i="19"/>
  <c r="H1034" i="19"/>
  <c r="H1035" i="19"/>
  <c r="H1036" i="19"/>
  <c r="H1037" i="19"/>
  <c r="H1038" i="19"/>
  <c r="H1039" i="19"/>
  <c r="H1040" i="19"/>
  <c r="H1041" i="19"/>
  <c r="H1042" i="19"/>
  <c r="H1043" i="19"/>
  <c r="H1044" i="19"/>
  <c r="H1045" i="19"/>
  <c r="H1046" i="19"/>
  <c r="H1047" i="19"/>
  <c r="H1048" i="19"/>
  <c r="H1049" i="19"/>
  <c r="H1050" i="19"/>
  <c r="H1051" i="19"/>
  <c r="H1052" i="19"/>
  <c r="H1053" i="19"/>
  <c r="H1054" i="19"/>
  <c r="H1055" i="19"/>
  <c r="H1056" i="19"/>
  <c r="H1057" i="19"/>
  <c r="H1058" i="19"/>
  <c r="H1059" i="19"/>
  <c r="H1060" i="19"/>
  <c r="H1061" i="19"/>
  <c r="H1062" i="19"/>
  <c r="H1063" i="19"/>
  <c r="H1064" i="19"/>
  <c r="H1065" i="19"/>
  <c r="H1066" i="19"/>
  <c r="H1067" i="19"/>
  <c r="H1068" i="19"/>
  <c r="H1069" i="19"/>
  <c r="H1070" i="19"/>
  <c r="H1071" i="19"/>
  <c r="H1072" i="19"/>
  <c r="H1073" i="19"/>
  <c r="H1074" i="19"/>
  <c r="H1075" i="19"/>
  <c r="H1076" i="19"/>
  <c r="H1077" i="19"/>
  <c r="H1078" i="19"/>
  <c r="H1079" i="19"/>
  <c r="H1080" i="19"/>
  <c r="H1081" i="19"/>
  <c r="H1082" i="19"/>
  <c r="H1083" i="19"/>
  <c r="H1084" i="19"/>
  <c r="H1085" i="19"/>
  <c r="H1086" i="19"/>
  <c r="H1087" i="19"/>
  <c r="H1088" i="19"/>
  <c r="H1089" i="19"/>
  <c r="H1090" i="19"/>
  <c r="H1091" i="19"/>
  <c r="H1092" i="19"/>
  <c r="H1093" i="19"/>
  <c r="H1094" i="19"/>
  <c r="H1095" i="19"/>
  <c r="H1096" i="19"/>
  <c r="H1097" i="19"/>
  <c r="H1098" i="19"/>
  <c r="H1099" i="19"/>
  <c r="H1100" i="19"/>
  <c r="H1101" i="19"/>
  <c r="H1102" i="19"/>
  <c r="H1103" i="19"/>
  <c r="H1104" i="19"/>
  <c r="H1105" i="19"/>
  <c r="H1106" i="19"/>
  <c r="H1107" i="19"/>
  <c r="H1108" i="19"/>
  <c r="H1109" i="19"/>
  <c r="H1110" i="19"/>
  <c r="H1111" i="19"/>
  <c r="H1112" i="19"/>
  <c r="H1113" i="19"/>
  <c r="H1114" i="19"/>
  <c r="H1115" i="19"/>
  <c r="H1116" i="19"/>
  <c r="H1117" i="19"/>
  <c r="H1118" i="19"/>
  <c r="H1119" i="19"/>
  <c r="H1120" i="19"/>
  <c r="H1121" i="19"/>
  <c r="H1122" i="19"/>
  <c r="H1123" i="19"/>
  <c r="H1124" i="19"/>
  <c r="H1125" i="19"/>
  <c r="H1126" i="19"/>
  <c r="H1127" i="19"/>
  <c r="H1128" i="19"/>
  <c r="H1129" i="19"/>
  <c r="H1130" i="19"/>
  <c r="H1131" i="19"/>
  <c r="H1132" i="19"/>
  <c r="H1133" i="19"/>
  <c r="H1134" i="19"/>
  <c r="H1135" i="19"/>
  <c r="H1136" i="19"/>
  <c r="H1137" i="19"/>
  <c r="H1138" i="19"/>
  <c r="H1139" i="19"/>
  <c r="H1140" i="19"/>
  <c r="H1141" i="19"/>
  <c r="H1142" i="19"/>
  <c r="H1143" i="19"/>
  <c r="H1144" i="19"/>
  <c r="H1145" i="19"/>
  <c r="H1146" i="19"/>
  <c r="H1147" i="19"/>
  <c r="H1148" i="19"/>
  <c r="H1149" i="19"/>
  <c r="H1150" i="19"/>
  <c r="H1151" i="19"/>
  <c r="H1152" i="19"/>
  <c r="H1153" i="19"/>
  <c r="H1154" i="19"/>
  <c r="H1155" i="19"/>
  <c r="H1156" i="19"/>
  <c r="H1157" i="19"/>
  <c r="H1158" i="19"/>
  <c r="H1159" i="19"/>
  <c r="H1160" i="19"/>
  <c r="H1161" i="19"/>
  <c r="H1162" i="19"/>
  <c r="H1163" i="19"/>
  <c r="H1164" i="19"/>
  <c r="H1165" i="19"/>
  <c r="H1166" i="19"/>
  <c r="H1167" i="19"/>
  <c r="H1168" i="19"/>
  <c r="H1169" i="19"/>
  <c r="H1170" i="19"/>
  <c r="H1171" i="19"/>
  <c r="H1172" i="19"/>
  <c r="H1173" i="19"/>
  <c r="H1174" i="19"/>
  <c r="H1175" i="19"/>
  <c r="H1176" i="19"/>
  <c r="H1177" i="19"/>
  <c r="H1178" i="19"/>
  <c r="H1179" i="19"/>
  <c r="H1180" i="19"/>
  <c r="H1181" i="19"/>
  <c r="H1182" i="19"/>
  <c r="H1183" i="19"/>
  <c r="H1184" i="19"/>
  <c r="H1185" i="19"/>
  <c r="H1186" i="19"/>
  <c r="H1187" i="19"/>
  <c r="H1188" i="19"/>
  <c r="H1189" i="19"/>
  <c r="H1190" i="19"/>
  <c r="H1191" i="19"/>
  <c r="H1192" i="19"/>
  <c r="H1193" i="19"/>
  <c r="H1194" i="19"/>
  <c r="H1195" i="19"/>
  <c r="H1196" i="19"/>
  <c r="H1197" i="19"/>
  <c r="H1198" i="19"/>
  <c r="H1199" i="19"/>
  <c r="H1200" i="19"/>
  <c r="H1201" i="19"/>
  <c r="H1202" i="19"/>
  <c r="H1203" i="19"/>
  <c r="H1204" i="19"/>
  <c r="H1205" i="19"/>
  <c r="H1206" i="19"/>
  <c r="H1207" i="19"/>
  <c r="H1208" i="19"/>
  <c r="H1209" i="19"/>
  <c r="H1210" i="19"/>
  <c r="H1211" i="19"/>
  <c r="H1212" i="19"/>
  <c r="H1213" i="19"/>
  <c r="H1214" i="19"/>
  <c r="H1215" i="19"/>
  <c r="H1216" i="19"/>
  <c r="H1217" i="19"/>
  <c r="H1218" i="19"/>
  <c r="H1219" i="19"/>
  <c r="H1220" i="19"/>
  <c r="H1221" i="19"/>
  <c r="H1222" i="19"/>
  <c r="H1223" i="19"/>
  <c r="H1224" i="19"/>
  <c r="H1225" i="19"/>
  <c r="H1226" i="19"/>
  <c r="H1227" i="19"/>
  <c r="H1228" i="19"/>
  <c r="H1229" i="19"/>
  <c r="H1230" i="19"/>
  <c r="H1231" i="19"/>
  <c r="H1232" i="19"/>
  <c r="H1233" i="19"/>
  <c r="H1234" i="19"/>
  <c r="H1235" i="19"/>
  <c r="H1236" i="19"/>
  <c r="H1237" i="19"/>
  <c r="H1238" i="19"/>
  <c r="H1239" i="19"/>
  <c r="H1240" i="19"/>
  <c r="H1241" i="19"/>
  <c r="H1242" i="19"/>
  <c r="H1243" i="19"/>
  <c r="H1244" i="19"/>
  <c r="H1245" i="19"/>
  <c r="H1246" i="19"/>
  <c r="H1247" i="19"/>
  <c r="H1248" i="19"/>
  <c r="H1249" i="19"/>
  <c r="H1250" i="19"/>
  <c r="H1251" i="19"/>
  <c r="H1252" i="19"/>
  <c r="H1253" i="19"/>
  <c r="H1254" i="19"/>
  <c r="H1255" i="19"/>
  <c r="H1256" i="19"/>
  <c r="H1257" i="19"/>
  <c r="H1258" i="19"/>
  <c r="H1259" i="19"/>
  <c r="H1260" i="19"/>
  <c r="H1261" i="19"/>
  <c r="H1262" i="19"/>
  <c r="H1263" i="19"/>
  <c r="H1264" i="19"/>
  <c r="H1265" i="19"/>
  <c r="H1266" i="19"/>
  <c r="H1267" i="19"/>
  <c r="H1268" i="19"/>
  <c r="H1269" i="19"/>
  <c r="H1270" i="19"/>
  <c r="H1271" i="19"/>
  <c r="H1272" i="19"/>
  <c r="H1273" i="19"/>
  <c r="H1274" i="19"/>
  <c r="H1275" i="19"/>
  <c r="H1276" i="19"/>
  <c r="H1277" i="19"/>
  <c r="H1278" i="19"/>
  <c r="H1279" i="19"/>
  <c r="H1280" i="19"/>
  <c r="H1281" i="19"/>
  <c r="H1282" i="19"/>
  <c r="H1283" i="19"/>
  <c r="H1284" i="19"/>
  <c r="H1285" i="19"/>
  <c r="H1286" i="19"/>
  <c r="H1287" i="19"/>
  <c r="H1288" i="19"/>
  <c r="H1289" i="19"/>
  <c r="H1290" i="19"/>
  <c r="H1291" i="19"/>
  <c r="H1292" i="19"/>
  <c r="H1293" i="19"/>
  <c r="H1294" i="19"/>
  <c r="H1295" i="19"/>
  <c r="H1296" i="19"/>
  <c r="H1297" i="19"/>
  <c r="H1298" i="19"/>
  <c r="H1299" i="19"/>
  <c r="H1300" i="19"/>
  <c r="H1301" i="19"/>
  <c r="H1302" i="19"/>
  <c r="H1303" i="19"/>
  <c r="H1304" i="19"/>
  <c r="H1305" i="19"/>
  <c r="H1306" i="19"/>
  <c r="H1307" i="19"/>
  <c r="H1308" i="19"/>
  <c r="H1309" i="19"/>
  <c r="H1310" i="19"/>
  <c r="H1311" i="19"/>
  <c r="H1312" i="19"/>
  <c r="H1313" i="19"/>
  <c r="H1314" i="19"/>
  <c r="H1315" i="19"/>
  <c r="H1316" i="19"/>
  <c r="H1317" i="19"/>
  <c r="H1318" i="19"/>
  <c r="H1319" i="19"/>
  <c r="H1320" i="19"/>
  <c r="H1321" i="19"/>
  <c r="H1322" i="19"/>
  <c r="H1323" i="19"/>
  <c r="H1324" i="19"/>
  <c r="H1325" i="19"/>
  <c r="H1326" i="19"/>
  <c r="H1327" i="19"/>
  <c r="H1328" i="19"/>
  <c r="H1329" i="19"/>
  <c r="H1330" i="19"/>
  <c r="H1331" i="19"/>
  <c r="H1332" i="19"/>
  <c r="H1333" i="19"/>
  <c r="H1334" i="19"/>
  <c r="H1335" i="19"/>
  <c r="H1336" i="19"/>
  <c r="H1337" i="19"/>
  <c r="H1338" i="19"/>
  <c r="H1339" i="19"/>
  <c r="H1340" i="19"/>
  <c r="H1341" i="19"/>
  <c r="H1342" i="19"/>
  <c r="H1343" i="19"/>
  <c r="H1344" i="19"/>
  <c r="H1345" i="19"/>
  <c r="H1346" i="19"/>
  <c r="H1347" i="19"/>
  <c r="H1348" i="19"/>
  <c r="H1349" i="19"/>
  <c r="H1350" i="19"/>
  <c r="H1351" i="19"/>
  <c r="H1352" i="19"/>
  <c r="H1353" i="19"/>
  <c r="H1354" i="19"/>
  <c r="H1355" i="19"/>
  <c r="H1356" i="19"/>
  <c r="H1357" i="19"/>
  <c r="H1358" i="19"/>
  <c r="H1359" i="19"/>
  <c r="H1360" i="19"/>
  <c r="H1361" i="19"/>
  <c r="H1362" i="19"/>
  <c r="H1363" i="19"/>
  <c r="H1364" i="19"/>
  <c r="H1365" i="19"/>
  <c r="H1366" i="19"/>
  <c r="H1367" i="19"/>
  <c r="H1368" i="19"/>
  <c r="H1369" i="19"/>
  <c r="H1370" i="19"/>
  <c r="H1371" i="19"/>
  <c r="H1372" i="19"/>
  <c r="H1373" i="19"/>
  <c r="H1374" i="19"/>
  <c r="H1375" i="19"/>
  <c r="H1376" i="19"/>
  <c r="H1377" i="19"/>
  <c r="H1378" i="19"/>
  <c r="H1379" i="19"/>
  <c r="H1380" i="19"/>
  <c r="H1381" i="19"/>
  <c r="H1382" i="19"/>
  <c r="H1383" i="19"/>
  <c r="H1384" i="19"/>
  <c r="H1385" i="19"/>
  <c r="H1386" i="19"/>
  <c r="H1387" i="19"/>
  <c r="H1388" i="19"/>
  <c r="H1389" i="19"/>
  <c r="H1390" i="19"/>
  <c r="H1391" i="19"/>
  <c r="H1392" i="19"/>
  <c r="H1393" i="19"/>
  <c r="H1394" i="19"/>
  <c r="H1395" i="19"/>
  <c r="H1396" i="19"/>
  <c r="H1397" i="19"/>
  <c r="H1398" i="19"/>
  <c r="H1399" i="19"/>
  <c r="H1400" i="19"/>
  <c r="H1401" i="19"/>
  <c r="H1402" i="19"/>
  <c r="H1403" i="19"/>
  <c r="H1404" i="19"/>
  <c r="H1405" i="19"/>
  <c r="H1406" i="19"/>
  <c r="H1407" i="19"/>
  <c r="H1408" i="19"/>
  <c r="H1409" i="19"/>
  <c r="H1410" i="19"/>
  <c r="H1411" i="19"/>
  <c r="H1412" i="19"/>
  <c r="H1413" i="19"/>
  <c r="H1414" i="19"/>
  <c r="H1415" i="19"/>
  <c r="H1416" i="19"/>
  <c r="H1417" i="19"/>
  <c r="H1418" i="19"/>
  <c r="H1419" i="19"/>
  <c r="H1420" i="19"/>
  <c r="H1421" i="19"/>
  <c r="H1422" i="19"/>
  <c r="H1423" i="19"/>
  <c r="H1424" i="19"/>
  <c r="H1425" i="19"/>
  <c r="H1426" i="19"/>
  <c r="H1427" i="19"/>
  <c r="H1428" i="19"/>
  <c r="H1429" i="19"/>
  <c r="H1430" i="19"/>
  <c r="H1431" i="19"/>
  <c r="H1432" i="19"/>
  <c r="H1433" i="19"/>
  <c r="H1434" i="19"/>
  <c r="H1435" i="19"/>
  <c r="H1436" i="19"/>
  <c r="H1437" i="19"/>
  <c r="H1438" i="19"/>
  <c r="H1439" i="19"/>
  <c r="H1440" i="19"/>
  <c r="H1441" i="19"/>
  <c r="H1442" i="19"/>
  <c r="H1443" i="19"/>
  <c r="H1444" i="19"/>
  <c r="H1445" i="19"/>
  <c r="H1446" i="19"/>
  <c r="H1447" i="19"/>
  <c r="H1448" i="19"/>
  <c r="H1449" i="19"/>
  <c r="H1450" i="19"/>
  <c r="H1451" i="19"/>
  <c r="H1452" i="19"/>
  <c r="H1453" i="19"/>
  <c r="H1454" i="19"/>
  <c r="H1455" i="19"/>
  <c r="H1456" i="19"/>
  <c r="H1457" i="19"/>
  <c r="H1458" i="19"/>
  <c r="H1459" i="19"/>
  <c r="H1460" i="19"/>
  <c r="H1461" i="19"/>
  <c r="H1462" i="19"/>
  <c r="H1463" i="19"/>
  <c r="H1464" i="19"/>
  <c r="H1465" i="19"/>
  <c r="H1466" i="19"/>
  <c r="H1467" i="19"/>
  <c r="H1468" i="19"/>
  <c r="H1469" i="19"/>
  <c r="H1470" i="19"/>
  <c r="H1471" i="19"/>
  <c r="H1472" i="19"/>
  <c r="H1473" i="19"/>
  <c r="H1474" i="19"/>
  <c r="H1475" i="19"/>
  <c r="H1477" i="19"/>
  <c r="H1479" i="19"/>
  <c r="H1481" i="19"/>
  <c r="H1483" i="19"/>
  <c r="H1484" i="19"/>
  <c r="H1485" i="19"/>
  <c r="H1486" i="19"/>
  <c r="H1487" i="19"/>
  <c r="H1488" i="19"/>
  <c r="H1489" i="19"/>
  <c r="H1490" i="19"/>
  <c r="H1491" i="19"/>
  <c r="H1492" i="19"/>
  <c r="H1493" i="19"/>
  <c r="H1494" i="19"/>
  <c r="H1495" i="19"/>
  <c r="H1496" i="19"/>
  <c r="H1497" i="19"/>
  <c r="H1498" i="19"/>
  <c r="H1499" i="19"/>
  <c r="H1500" i="19"/>
  <c r="H1501" i="19"/>
  <c r="H1502" i="19"/>
  <c r="H1503" i="19"/>
  <c r="H1510" i="19"/>
  <c r="H1511" i="19"/>
  <c r="H1512" i="19"/>
  <c r="H1513" i="19"/>
  <c r="H1514" i="19"/>
  <c r="H1515" i="19"/>
  <c r="H1516" i="19"/>
  <c r="H1517" i="19"/>
  <c r="H1518" i="19"/>
  <c r="H1519" i="19"/>
  <c r="H1520" i="19"/>
  <c r="H1521" i="19"/>
  <c r="H1522" i="19"/>
  <c r="H1523" i="19"/>
  <c r="H1524" i="19"/>
  <c r="H1525" i="19"/>
  <c r="H1526" i="19"/>
  <c r="H1527" i="19"/>
  <c r="H1528" i="19"/>
  <c r="H1529" i="19"/>
  <c r="H1530" i="19"/>
  <c r="H1531" i="19"/>
  <c r="H1532" i="19"/>
  <c r="H1533" i="19"/>
  <c r="H1534" i="19"/>
  <c r="H1535" i="19"/>
  <c r="H1536" i="19"/>
  <c r="H1537" i="19"/>
  <c r="H1538" i="19"/>
  <c r="H1539" i="19"/>
  <c r="H1540" i="19"/>
  <c r="H1541" i="19"/>
  <c r="H1542" i="19"/>
  <c r="H1543" i="19"/>
  <c r="H1544" i="19"/>
  <c r="H1545" i="19"/>
  <c r="H1546" i="19"/>
  <c r="H1547" i="19"/>
  <c r="H1548" i="19"/>
  <c r="H1549" i="19"/>
  <c r="H1550" i="19"/>
  <c r="H1551" i="19"/>
  <c r="H1552" i="19"/>
  <c r="H1553" i="19"/>
  <c r="H1554" i="19"/>
  <c r="H1555" i="19"/>
  <c r="H1556" i="19"/>
  <c r="H1557" i="19"/>
  <c r="H1558" i="19"/>
  <c r="H1559" i="19"/>
  <c r="H1560" i="19"/>
  <c r="H1561" i="19"/>
  <c r="H1562" i="19"/>
  <c r="H1563" i="19"/>
  <c r="H1564" i="19"/>
  <c r="H1565" i="19"/>
  <c r="H1566" i="19"/>
  <c r="H1567" i="19"/>
  <c r="H1568" i="19"/>
  <c r="H1569" i="19"/>
  <c r="H1570" i="19"/>
  <c r="H1571" i="19"/>
  <c r="H1572" i="19"/>
  <c r="H1573" i="19"/>
  <c r="H1574" i="19"/>
  <c r="H1575" i="19"/>
  <c r="H1576" i="19"/>
  <c r="H1577" i="19"/>
  <c r="H1578" i="19"/>
  <c r="H1579" i="19"/>
  <c r="H1580" i="19"/>
  <c r="H1581" i="19"/>
  <c r="H1582" i="19"/>
  <c r="H1583" i="19"/>
  <c r="H1584" i="19"/>
  <c r="H1585" i="19"/>
  <c r="H1586" i="19"/>
  <c r="H1587" i="19"/>
  <c r="H1588" i="19"/>
  <c r="H1589" i="19"/>
  <c r="H1590" i="19"/>
  <c r="H1591" i="19"/>
  <c r="H1592" i="19"/>
  <c r="H1593" i="19"/>
  <c r="H1594" i="19"/>
  <c r="H1595" i="19"/>
  <c r="H1596" i="19"/>
  <c r="H1597" i="19"/>
  <c r="H1598" i="19"/>
  <c r="H1599" i="19"/>
  <c r="H1600" i="19"/>
  <c r="H1601" i="19"/>
  <c r="H1602" i="19"/>
  <c r="H1603" i="19"/>
  <c r="H1604" i="19"/>
  <c r="H1605" i="19"/>
  <c r="H1606" i="19"/>
  <c r="H1607" i="19"/>
  <c r="H1608" i="19"/>
  <c r="H1609" i="19"/>
  <c r="H1610" i="19"/>
  <c r="H1611" i="19"/>
  <c r="H1612" i="19"/>
  <c r="H1613" i="19"/>
  <c r="H1614" i="19"/>
  <c r="H1615" i="19"/>
  <c r="H1616" i="19"/>
  <c r="H1617" i="19"/>
  <c r="H1618" i="19"/>
  <c r="H1619" i="19"/>
  <c r="H1620" i="19"/>
  <c r="H1621" i="19"/>
  <c r="H1622" i="19"/>
  <c r="H1623" i="19"/>
  <c r="H1624" i="19"/>
  <c r="H1625" i="19"/>
  <c r="H1626" i="19"/>
  <c r="H1627" i="19"/>
  <c r="H1628" i="19"/>
  <c r="H1629" i="19"/>
  <c r="H1630" i="19"/>
  <c r="H1631" i="19"/>
  <c r="H1632" i="19"/>
  <c r="H1633" i="19"/>
  <c r="H1634" i="19"/>
  <c r="H1635" i="19"/>
  <c r="H1636" i="19"/>
  <c r="H1637" i="19"/>
  <c r="H1638" i="19"/>
  <c r="H1639" i="19"/>
  <c r="H1640" i="19"/>
  <c r="H1641" i="19"/>
  <c r="H1642" i="19"/>
  <c r="H1643" i="19"/>
  <c r="H1644" i="19"/>
  <c r="H1645" i="19"/>
  <c r="H1646" i="19"/>
  <c r="H1647" i="19"/>
  <c r="H1648" i="19"/>
  <c r="H1649" i="19"/>
  <c r="H1650" i="19"/>
  <c r="H1651" i="19"/>
  <c r="H1652" i="19"/>
  <c r="H1653" i="19"/>
  <c r="H1654" i="19"/>
  <c r="H1655" i="19"/>
  <c r="H1656" i="19"/>
  <c r="H1657" i="19"/>
  <c r="H1658" i="19"/>
  <c r="H1659" i="19"/>
  <c r="H1660" i="19"/>
  <c r="H1661" i="19"/>
  <c r="H1662" i="19"/>
  <c r="H1663" i="19"/>
  <c r="H1664" i="19"/>
  <c r="H1665" i="19"/>
  <c r="H1666" i="19"/>
  <c r="H1667" i="19"/>
  <c r="H1668" i="19"/>
  <c r="H1669" i="19"/>
  <c r="H1670" i="19"/>
  <c r="H1671" i="19"/>
  <c r="H1672" i="19"/>
  <c r="H1673" i="19"/>
  <c r="H1674" i="19"/>
  <c r="H1675" i="19"/>
  <c r="H1676" i="19"/>
  <c r="H1677" i="19"/>
  <c r="H1678" i="19"/>
  <c r="H1679" i="19"/>
  <c r="H1680" i="19"/>
  <c r="H1681" i="19"/>
  <c r="H1682" i="19"/>
  <c r="H1683" i="19"/>
  <c r="H1684" i="19"/>
  <c r="H1685" i="19"/>
  <c r="H1686" i="19"/>
  <c r="H1687" i="19"/>
  <c r="H1688" i="19"/>
  <c r="H1689" i="19"/>
  <c r="H1690" i="19"/>
  <c r="H1691" i="19"/>
  <c r="H1692" i="19"/>
  <c r="H1693" i="19"/>
  <c r="H1694" i="19"/>
  <c r="H1695" i="19"/>
  <c r="H1696" i="19"/>
  <c r="H1697" i="19"/>
  <c r="H1698" i="19"/>
  <c r="H1699" i="19"/>
  <c r="H1700" i="19"/>
  <c r="H1701" i="19"/>
  <c r="H1702" i="19"/>
  <c r="H1703" i="19"/>
  <c r="H1704" i="19"/>
  <c r="H1705" i="19"/>
  <c r="H1706" i="19"/>
  <c r="H1707" i="19"/>
  <c r="H1708" i="19"/>
  <c r="H1709" i="19"/>
  <c r="H1710" i="19"/>
  <c r="H1711" i="19"/>
  <c r="H1712" i="19"/>
  <c r="H1713" i="19"/>
  <c r="H1714" i="19"/>
  <c r="H1715" i="19"/>
  <c r="H1716" i="19"/>
  <c r="H1717" i="19"/>
  <c r="H1718" i="19"/>
  <c r="H1719" i="19"/>
  <c r="H1720" i="19"/>
  <c r="H1721" i="19"/>
  <c r="H1722" i="19"/>
  <c r="H1723" i="19"/>
  <c r="H1724" i="19"/>
  <c r="H1725" i="19"/>
  <c r="H1726" i="19"/>
  <c r="H1727" i="19"/>
  <c r="H1728" i="19"/>
  <c r="H1729" i="19"/>
  <c r="H1730" i="19"/>
  <c r="H1731" i="19"/>
  <c r="H1732" i="19"/>
  <c r="H1733" i="19"/>
  <c r="H1734" i="19"/>
  <c r="H1735" i="19"/>
  <c r="H1736" i="19"/>
  <c r="H1737" i="19"/>
  <c r="H1738" i="19"/>
  <c r="H1739" i="19"/>
  <c r="H1740" i="19"/>
  <c r="H1741" i="19"/>
  <c r="H1742" i="19"/>
  <c r="H1743" i="19"/>
  <c r="H1744" i="19"/>
  <c r="H1745" i="19"/>
  <c r="H1746" i="19"/>
  <c r="H1747" i="19"/>
  <c r="H1748" i="19"/>
  <c r="H1749" i="19"/>
  <c r="H1750" i="19"/>
  <c r="H1751" i="19"/>
  <c r="H1752" i="19"/>
  <c r="H1753" i="19"/>
  <c r="H1754" i="19"/>
  <c r="H1755" i="19"/>
  <c r="H1756" i="19"/>
  <c r="H1757" i="19"/>
  <c r="H1758" i="19"/>
  <c r="H1759" i="19"/>
  <c r="H1760" i="19"/>
  <c r="H1761" i="19"/>
  <c r="H1762" i="19"/>
  <c r="H1763" i="19"/>
  <c r="H1764" i="19"/>
  <c r="H1765" i="19"/>
  <c r="H1766" i="19"/>
  <c r="H1767" i="19"/>
  <c r="H1768" i="19"/>
  <c r="H1769" i="19"/>
  <c r="H1770" i="19"/>
  <c r="H1771" i="19"/>
  <c r="H1772" i="19"/>
  <c r="H1773" i="19"/>
  <c r="H1774" i="19"/>
  <c r="H1775" i="19"/>
  <c r="H1776" i="19"/>
  <c r="H1777" i="19"/>
  <c r="H1778" i="19"/>
  <c r="H1779" i="19"/>
  <c r="H1780" i="19"/>
  <c r="H1781" i="19"/>
  <c r="H1782" i="19"/>
  <c r="H1783" i="19"/>
  <c r="H1784" i="19"/>
  <c r="H1785" i="19"/>
  <c r="H1786" i="19"/>
  <c r="H1787" i="19"/>
  <c r="H1788" i="19"/>
  <c r="W15" i="29"/>
  <c r="W14" i="29"/>
  <c r="W13" i="29"/>
  <c r="W12" i="29"/>
  <c r="W11" i="29"/>
  <c r="R7" i="32"/>
  <c r="Q7" i="32"/>
  <c r="P7" i="32"/>
  <c r="O7" i="32"/>
  <c r="N7" i="32"/>
  <c r="M7" i="32"/>
  <c r="L7" i="32"/>
  <c r="K7" i="32"/>
  <c r="J7" i="32"/>
  <c r="I7" i="32"/>
  <c r="H7" i="32"/>
  <c r="G7" i="32"/>
  <c r="E2" i="32"/>
  <c r="G1507" i="19"/>
  <c r="H1507" i="19" s="1"/>
  <c r="G1508" i="19"/>
  <c r="H1508" i="19" s="1"/>
  <c r="G1509" i="19"/>
  <c r="H1509" i="19" s="1"/>
  <c r="C1560" i="19"/>
  <c r="C1559" i="19"/>
  <c r="C1558" i="19"/>
  <c r="C1557" i="19"/>
  <c r="C1556" i="19"/>
  <c r="C1555" i="19"/>
  <c r="C1554" i="19"/>
  <c r="C1553" i="19"/>
  <c r="C1552" i="19"/>
  <c r="C1551" i="19"/>
  <c r="C1550" i="19"/>
  <c r="C1549" i="19"/>
  <c r="C1548" i="19"/>
  <c r="C1547" i="19"/>
  <c r="C1546" i="19"/>
  <c r="C1545" i="19"/>
  <c r="C1544" i="19"/>
  <c r="C1543" i="19"/>
  <c r="C1542" i="19"/>
  <c r="C1541" i="19"/>
  <c r="C1540" i="19"/>
  <c r="C1539" i="19"/>
  <c r="C1538" i="19"/>
  <c r="C1537" i="19"/>
  <c r="C1536" i="19"/>
  <c r="C1535" i="19"/>
  <c r="C1534" i="19"/>
  <c r="C1533" i="19"/>
  <c r="C1532" i="19"/>
  <c r="C1531" i="19"/>
  <c r="C1530" i="19"/>
  <c r="C1529" i="19"/>
  <c r="C1528" i="19"/>
  <c r="C1527" i="19"/>
  <c r="C1526" i="19"/>
  <c r="C1525" i="19"/>
  <c r="C1524" i="19"/>
  <c r="C1523" i="19"/>
  <c r="C1522" i="19"/>
  <c r="C1521" i="19"/>
  <c r="C1520" i="19"/>
  <c r="C1519" i="19"/>
  <c r="C1518" i="19"/>
  <c r="C1517" i="19"/>
  <c r="C1516" i="19"/>
  <c r="C1515" i="19"/>
  <c r="C1514" i="19"/>
  <c r="C1513" i="19"/>
  <c r="C1512" i="19"/>
  <c r="C1511" i="19"/>
  <c r="C1510" i="19"/>
  <c r="C1509" i="19"/>
  <c r="C1508" i="19"/>
  <c r="C1507" i="19"/>
  <c r="C1506" i="19"/>
  <c r="C1505" i="19"/>
  <c r="C1504" i="19"/>
  <c r="C1503" i="19"/>
  <c r="C1502" i="19"/>
  <c r="C1501" i="19"/>
  <c r="G1506" i="19"/>
  <c r="H1506" i="19" s="1"/>
  <c r="G1505" i="19"/>
  <c r="H1505" i="19" s="1"/>
  <c r="G1504" i="19"/>
  <c r="H1504" i="19" s="1"/>
  <c r="K5" i="31" l="1"/>
  <c r="K13" i="31"/>
  <c r="K9" i="31"/>
  <c r="B25" i="63"/>
  <c r="H27" i="64"/>
  <c r="G44" i="72"/>
  <c r="I44" i="72"/>
  <c r="K44" i="72"/>
  <c r="M44" i="72"/>
  <c r="O44" i="72"/>
  <c r="Q44" i="72"/>
  <c r="N44" i="72"/>
  <c r="H44" i="72"/>
  <c r="J44" i="72"/>
  <c r="P44" i="72"/>
  <c r="R33" i="72"/>
  <c r="Q33" i="72"/>
  <c r="P33" i="72"/>
  <c r="L44" i="72"/>
  <c r="N43" i="72"/>
  <c r="J43" i="72"/>
  <c r="F43" i="72"/>
  <c r="Q43" i="72"/>
  <c r="M43" i="72"/>
  <c r="I43" i="72"/>
  <c r="P43" i="72"/>
  <c r="L43" i="72"/>
  <c r="H43" i="72"/>
  <c r="G43" i="72"/>
  <c r="O43" i="72"/>
  <c r="K43" i="72"/>
  <c r="S18" i="55"/>
  <c r="Q36" i="72"/>
  <c r="P36" i="72"/>
  <c r="Q28" i="72"/>
  <c r="P28" i="72"/>
  <c r="N42" i="72"/>
  <c r="J42" i="72"/>
  <c r="F42" i="72"/>
  <c r="Q42" i="72"/>
  <c r="M42" i="72"/>
  <c r="I42" i="72"/>
  <c r="P42" i="72"/>
  <c r="L42" i="72"/>
  <c r="H42" i="72"/>
  <c r="O42" i="72"/>
  <c r="K42" i="72"/>
  <c r="S17" i="55"/>
  <c r="Q27" i="72"/>
  <c r="P27" i="72"/>
  <c r="N45" i="72"/>
  <c r="J45" i="72"/>
  <c r="F45" i="72"/>
  <c r="Q45" i="72"/>
  <c r="M45" i="72"/>
  <c r="I45" i="72"/>
  <c r="P45" i="72"/>
  <c r="L45" i="72"/>
  <c r="H45" i="72"/>
  <c r="K45" i="72"/>
  <c r="G45" i="72"/>
  <c r="O45" i="72"/>
  <c r="S16" i="55"/>
  <c r="E16" i="39"/>
  <c r="N34" i="43"/>
  <c r="F45" i="43"/>
  <c r="K45" i="43"/>
  <c r="N45" i="43"/>
  <c r="I46" i="43"/>
  <c r="M46" i="43"/>
  <c r="G43" i="53"/>
  <c r="I43" i="53"/>
  <c r="K43" i="53"/>
  <c r="M43" i="53"/>
  <c r="O43" i="53"/>
  <c r="F46" i="43"/>
  <c r="O44" i="53"/>
  <c r="K44" i="53"/>
  <c r="G44" i="53"/>
  <c r="N44" i="53"/>
  <c r="J44" i="53"/>
  <c r="F44" i="53"/>
  <c r="M44" i="53"/>
  <c r="I44" i="53"/>
  <c r="E44" i="53"/>
  <c r="L44" i="53"/>
  <c r="H44" i="53"/>
  <c r="P44" i="53"/>
  <c r="O42" i="53"/>
  <c r="K42" i="53"/>
  <c r="G42" i="53"/>
  <c r="N42" i="53"/>
  <c r="J42" i="53"/>
  <c r="F42" i="53"/>
  <c r="L42" i="53"/>
  <c r="I42" i="53"/>
  <c r="P42" i="53"/>
  <c r="H42" i="53"/>
  <c r="M42" i="53"/>
  <c r="E42" i="53"/>
  <c r="P31" i="52"/>
  <c r="O35" i="53"/>
  <c r="P35" i="53"/>
  <c r="O27" i="53"/>
  <c r="P27" i="53"/>
  <c r="O41" i="53"/>
  <c r="K41" i="53"/>
  <c r="G41" i="53"/>
  <c r="N41" i="53"/>
  <c r="J41" i="53"/>
  <c r="P41" i="53"/>
  <c r="H41" i="53"/>
  <c r="M41" i="53"/>
  <c r="E41" i="53"/>
  <c r="L41" i="53"/>
  <c r="I41" i="53"/>
  <c r="P29" i="52"/>
  <c r="O32" i="53"/>
  <c r="Q32" i="53"/>
  <c r="P32" i="53"/>
  <c r="P30" i="52"/>
  <c r="O26" i="53"/>
  <c r="P26" i="53"/>
  <c r="F43" i="53"/>
  <c r="H43" i="53"/>
  <c r="J43" i="53"/>
  <c r="L43" i="53"/>
  <c r="N43" i="53"/>
  <c r="P43" i="53"/>
  <c r="H25" i="51"/>
  <c r="G33" i="37"/>
  <c r="G24" i="37"/>
  <c r="J43" i="43"/>
  <c r="M44" i="43"/>
  <c r="E46" i="43"/>
  <c r="H46" i="43"/>
  <c r="L46" i="43"/>
  <c r="D46" i="43"/>
  <c r="O46" i="43"/>
  <c r="K46" i="43"/>
  <c r="G46" i="43"/>
  <c r="H44" i="43"/>
  <c r="E45" i="43"/>
  <c r="G45" i="43"/>
  <c r="O45" i="43"/>
  <c r="N46" i="43"/>
  <c r="J46" i="43"/>
  <c r="P32" i="42"/>
  <c r="P31" i="42"/>
  <c r="I31" i="29"/>
  <c r="H45" i="43"/>
  <c r="M31" i="29"/>
  <c r="L45" i="43"/>
  <c r="Q31" i="29"/>
  <c r="N29" i="43"/>
  <c r="O28" i="43"/>
  <c r="O34" i="43"/>
  <c r="N37" i="43"/>
  <c r="O43" i="43"/>
  <c r="G43" i="43"/>
  <c r="P30" i="42"/>
  <c r="O29" i="43"/>
  <c r="D43" i="43"/>
  <c r="F44" i="43"/>
  <c r="J44" i="43"/>
  <c r="N44" i="43"/>
  <c r="G44" i="43"/>
  <c r="K44" i="43"/>
  <c r="O44" i="43"/>
  <c r="E44" i="43"/>
  <c r="D44" i="43"/>
  <c r="H43" i="43"/>
  <c r="L43" i="43"/>
  <c r="I43" i="43"/>
  <c r="M43" i="43"/>
  <c r="N28" i="43"/>
  <c r="P34" i="43"/>
  <c r="O37" i="43"/>
  <c r="J45" i="43"/>
  <c r="L44" i="43"/>
  <c r="N43" i="43"/>
  <c r="F43" i="43"/>
  <c r="I45" i="43"/>
  <c r="M45" i="43"/>
  <c r="I44" i="43"/>
  <c r="K43" i="43"/>
  <c r="D16" i="40"/>
  <c r="E16" i="40" s="1"/>
  <c r="D8" i="31"/>
  <c r="E13" i="31"/>
  <c r="J7" i="31"/>
  <c r="K12" i="31"/>
  <c r="K8" i="31"/>
  <c r="K11" i="31"/>
  <c r="J6" i="31"/>
  <c r="K14" i="31"/>
  <c r="K10" i="31"/>
  <c r="J30" i="29"/>
  <c r="L29" i="29"/>
  <c r="K31" i="29"/>
  <c r="J31" i="29"/>
  <c r="P31" i="29"/>
  <c r="R31" i="29"/>
  <c r="Q30" i="29"/>
  <c r="K29" i="29"/>
  <c r="O31" i="29"/>
  <c r="H31" i="29"/>
  <c r="L31" i="29"/>
  <c r="N31" i="29"/>
  <c r="M30" i="29"/>
  <c r="I30" i="29"/>
  <c r="P30" i="29"/>
  <c r="L30" i="29"/>
  <c r="R29" i="29"/>
  <c r="N29" i="29"/>
  <c r="J29" i="29"/>
  <c r="O29" i="29"/>
  <c r="G29" i="29"/>
  <c r="H30" i="29"/>
  <c r="O30" i="29"/>
  <c r="K30" i="29"/>
  <c r="Q29" i="29"/>
  <c r="M29" i="29"/>
  <c r="I29" i="29"/>
  <c r="G30" i="29"/>
  <c r="R30" i="29"/>
  <c r="N30" i="29"/>
  <c r="P29" i="29"/>
  <c r="K15" i="31"/>
  <c r="K24" i="39" l="1"/>
  <c r="K31" i="39"/>
  <c r="D40" i="40"/>
  <c r="G23" i="39"/>
  <c r="G24" i="39"/>
  <c r="D42" i="40"/>
  <c r="E42" i="40"/>
  <c r="E43" i="40"/>
  <c r="D43" i="40"/>
  <c r="D41" i="40"/>
  <c r="E41" i="40"/>
  <c r="E14" i="31"/>
  <c r="D9" i="31"/>
  <c r="Q25" i="29"/>
  <c r="J25" i="29"/>
  <c r="M25" i="29"/>
  <c r="R25" i="29"/>
  <c r="K25" i="29"/>
  <c r="L25" i="29"/>
  <c r="O25" i="29"/>
  <c r="P25" i="29"/>
  <c r="I25" i="29"/>
  <c r="N25" i="29"/>
  <c r="H2" i="19"/>
  <c r="H3" i="19"/>
  <c r="H4" i="19"/>
  <c r="H6" i="19"/>
  <c r="H7" i="19"/>
  <c r="C7" i="19"/>
  <c r="C6" i="19"/>
  <c r="H5" i="19"/>
  <c r="C5" i="19"/>
  <c r="C4" i="19"/>
  <c r="C3" i="19"/>
  <c r="C2" i="19"/>
  <c r="B2" i="19"/>
  <c r="C11" i="19"/>
  <c r="C12" i="19"/>
  <c r="A8" i="19"/>
  <c r="A9" i="19"/>
  <c r="A10" i="19"/>
  <c r="H7" i="26"/>
  <c r="I7" i="26"/>
  <c r="J7" i="26"/>
  <c r="K7" i="26"/>
  <c r="L7" i="26"/>
  <c r="M7" i="26"/>
  <c r="N7" i="26"/>
  <c r="O7" i="26"/>
  <c r="P7" i="26"/>
  <c r="Q7" i="26"/>
  <c r="R7" i="26"/>
  <c r="G7" i="26"/>
  <c r="C461" i="19"/>
  <c r="C226" i="19"/>
  <c r="G1342" i="19"/>
  <c r="G54" i="19"/>
  <c r="E2" i="29"/>
  <c r="A13" i="19"/>
  <c r="A29" i="19"/>
  <c r="B29" i="19" s="1"/>
  <c r="A30" i="19"/>
  <c r="B30" i="19" s="1"/>
  <c r="E2" i="28"/>
  <c r="F14" i="3"/>
  <c r="G14" i="3"/>
  <c r="H14" i="3"/>
  <c r="I14" i="3"/>
  <c r="J14" i="3"/>
  <c r="K14" i="3"/>
  <c r="L14" i="3"/>
  <c r="M14" i="3"/>
  <c r="N14" i="3"/>
  <c r="F15" i="3"/>
  <c r="G15" i="3"/>
  <c r="H15" i="3"/>
  <c r="I15" i="3"/>
  <c r="J15" i="3"/>
  <c r="K15" i="3"/>
  <c r="L15" i="3"/>
  <c r="M15" i="3"/>
  <c r="N15" i="3"/>
  <c r="F16" i="3"/>
  <c r="G16" i="3"/>
  <c r="H16" i="3"/>
  <c r="I16" i="3"/>
  <c r="J16" i="3"/>
  <c r="K16" i="3"/>
  <c r="L16" i="3"/>
  <c r="M16" i="3"/>
  <c r="N16" i="3"/>
  <c r="F17" i="3"/>
  <c r="G17" i="3"/>
  <c r="H17" i="3"/>
  <c r="I17" i="3"/>
  <c r="J17" i="3"/>
  <c r="K17" i="3"/>
  <c r="L17" i="3"/>
  <c r="M17" i="3"/>
  <c r="N17" i="3"/>
  <c r="F18" i="3"/>
  <c r="G18" i="3"/>
  <c r="H18" i="3"/>
  <c r="I18" i="3"/>
  <c r="J18" i="3"/>
  <c r="K18" i="3"/>
  <c r="L18" i="3"/>
  <c r="M18" i="3"/>
  <c r="N18" i="3"/>
  <c r="F19" i="3"/>
  <c r="G19" i="3"/>
  <c r="H19" i="3"/>
  <c r="I19" i="3"/>
  <c r="J19" i="3"/>
  <c r="K19" i="3"/>
  <c r="L19" i="3"/>
  <c r="M19" i="3"/>
  <c r="N19" i="3"/>
  <c r="F20" i="3"/>
  <c r="G20" i="3"/>
  <c r="H20" i="3"/>
  <c r="I20" i="3"/>
  <c r="J20" i="3"/>
  <c r="K20" i="3"/>
  <c r="L20" i="3"/>
  <c r="M20" i="3"/>
  <c r="N20" i="3"/>
  <c r="F21" i="3"/>
  <c r="G21" i="3"/>
  <c r="H21" i="3"/>
  <c r="I21" i="3"/>
  <c r="J21" i="3"/>
  <c r="K21" i="3"/>
  <c r="L21" i="3"/>
  <c r="M21" i="3"/>
  <c r="N21" i="3"/>
  <c r="F22" i="3"/>
  <c r="G22" i="3"/>
  <c r="H22" i="3"/>
  <c r="I22" i="3"/>
  <c r="J22" i="3"/>
  <c r="K22" i="3"/>
  <c r="L22" i="3"/>
  <c r="M22" i="3"/>
  <c r="N22" i="3"/>
  <c r="F23" i="3"/>
  <c r="G23" i="3"/>
  <c r="H23" i="3"/>
  <c r="I23" i="3"/>
  <c r="J23" i="3"/>
  <c r="K23" i="3"/>
  <c r="L23" i="3"/>
  <c r="M23" i="3"/>
  <c r="N23" i="3"/>
  <c r="E15" i="3"/>
  <c r="E16" i="3"/>
  <c r="E17" i="3"/>
  <c r="E18" i="3"/>
  <c r="E19" i="3"/>
  <c r="E20" i="3"/>
  <c r="E21" i="3"/>
  <c r="E22" i="3"/>
  <c r="E23" i="3"/>
  <c r="E14" i="3"/>
  <c r="D14" i="3"/>
  <c r="D23" i="3"/>
  <c r="D15" i="3"/>
  <c r="D16" i="3"/>
  <c r="D17" i="3"/>
  <c r="D19" i="3"/>
  <c r="D20" i="3"/>
  <c r="D21" i="3"/>
  <c r="D22" i="3"/>
  <c r="G42" i="72" l="1"/>
  <c r="J37" i="72"/>
  <c r="I37" i="72"/>
  <c r="K37" i="72"/>
  <c r="P37" i="72"/>
  <c r="G37" i="72"/>
  <c r="Q37" i="72"/>
  <c r="L37" i="72"/>
  <c r="O37" i="72"/>
  <c r="N37" i="72"/>
  <c r="M37" i="72"/>
  <c r="H37" i="72"/>
  <c r="R32" i="72"/>
  <c r="G42" i="40"/>
  <c r="G43" i="40"/>
  <c r="G26" i="39"/>
  <c r="G41" i="40"/>
  <c r="F41" i="53"/>
  <c r="E36" i="40"/>
  <c r="K36" i="53"/>
  <c r="F36" i="53"/>
  <c r="H36" i="53"/>
  <c r="G36" i="53"/>
  <c r="L36" i="53"/>
  <c r="M36" i="53"/>
  <c r="N36" i="53"/>
  <c r="I36" i="53"/>
  <c r="O36" i="53"/>
  <c r="J36" i="53"/>
  <c r="P36" i="53"/>
  <c r="Q31" i="53"/>
  <c r="H29" i="29"/>
  <c r="H25" i="29" s="1"/>
  <c r="E43" i="43"/>
  <c r="E40" i="40"/>
  <c r="G40" i="40" s="1"/>
  <c r="O38" i="43"/>
  <c r="J38" i="43"/>
  <c r="E38" i="43"/>
  <c r="F38" i="43"/>
  <c r="I38" i="43"/>
  <c r="G38" i="43"/>
  <c r="H38" i="43"/>
  <c r="N38" i="43"/>
  <c r="L38" i="43"/>
  <c r="M38" i="43"/>
  <c r="K38" i="43"/>
  <c r="P33" i="43"/>
  <c r="E15" i="31"/>
  <c r="D10" i="31"/>
  <c r="D36" i="40"/>
  <c r="C10" i="19"/>
  <c r="C8" i="19"/>
  <c r="C9" i="19"/>
  <c r="C29" i="19"/>
  <c r="C30" i="19"/>
  <c r="C13" i="19"/>
  <c r="G27" i="39" l="1"/>
  <c r="D11" i="31"/>
  <c r="E16" i="31"/>
  <c r="C1062" i="19"/>
  <c r="O36" i="72" s="1"/>
  <c r="C1063" i="19"/>
  <c r="O33" i="72" s="1"/>
  <c r="C1059" i="19"/>
  <c r="C1060" i="19"/>
  <c r="O28" i="72" s="1"/>
  <c r="C1061" i="19"/>
  <c r="O27" i="72" s="1"/>
  <c r="C936" i="19"/>
  <c r="N36" i="72" s="1"/>
  <c r="C937" i="19"/>
  <c r="N33" i="72" s="1"/>
  <c r="C933" i="19"/>
  <c r="C934" i="19"/>
  <c r="N28" i="72" s="1"/>
  <c r="C935" i="19"/>
  <c r="N27" i="72" s="1"/>
  <c r="C826" i="19"/>
  <c r="M36" i="72" s="1"/>
  <c r="C827" i="19"/>
  <c r="M33" i="72" s="1"/>
  <c r="C817" i="19"/>
  <c r="C818" i="19"/>
  <c r="M28" i="72" s="1"/>
  <c r="C819" i="19"/>
  <c r="M27" i="72" s="1"/>
  <c r="C689" i="19"/>
  <c r="L36" i="72" s="1"/>
  <c r="C690" i="19"/>
  <c r="L33" i="72" s="1"/>
  <c r="C686" i="19"/>
  <c r="C687" i="19"/>
  <c r="L28" i="72" s="1"/>
  <c r="C688" i="19"/>
  <c r="L27" i="72" s="1"/>
  <c r="C579" i="19"/>
  <c r="C580" i="19"/>
  <c r="C576" i="19"/>
  <c r="C577" i="19"/>
  <c r="C578" i="19"/>
  <c r="C467" i="19"/>
  <c r="C468" i="19"/>
  <c r="C458" i="19"/>
  <c r="C459" i="19"/>
  <c r="C460" i="19"/>
  <c r="C327" i="19"/>
  <c r="I36" i="72" s="1"/>
  <c r="C328" i="19"/>
  <c r="I33" i="72" s="1"/>
  <c r="C324" i="19"/>
  <c r="C325" i="19"/>
  <c r="I28" i="72" s="1"/>
  <c r="C326" i="19"/>
  <c r="I27" i="72" s="1"/>
  <c r="C218" i="19"/>
  <c r="H36" i="72" s="1"/>
  <c r="C219" i="19"/>
  <c r="H33" i="72" s="1"/>
  <c r="C215" i="19"/>
  <c r="C216" i="19"/>
  <c r="H28" i="72" s="1"/>
  <c r="C217" i="19"/>
  <c r="H27" i="72" s="1"/>
  <c r="C122" i="19"/>
  <c r="G36" i="72" s="1"/>
  <c r="C123" i="19"/>
  <c r="G33" i="72" s="1"/>
  <c r="C119" i="19"/>
  <c r="C120" i="19"/>
  <c r="G28" i="72" s="1"/>
  <c r="C121" i="19"/>
  <c r="G27" i="72" s="1"/>
  <c r="C15" i="19"/>
  <c r="F28" i="72" s="1"/>
  <c r="C14" i="19"/>
  <c r="C32" i="19"/>
  <c r="F33" i="72" s="1"/>
  <c r="C31" i="19"/>
  <c r="F36" i="72" s="1"/>
  <c r="C22" i="19"/>
  <c r="F27" i="72" s="1"/>
  <c r="E2" i="26"/>
  <c r="E2" i="25"/>
  <c r="E2" i="24"/>
  <c r="E2" i="22"/>
  <c r="G25" i="24" s="1"/>
  <c r="C33" i="19"/>
  <c r="C34" i="19"/>
  <c r="C35" i="19"/>
  <c r="C36" i="19"/>
  <c r="C37" i="19"/>
  <c r="C38" i="19"/>
  <c r="C39" i="19"/>
  <c r="C40" i="19"/>
  <c r="C41" i="19"/>
  <c r="C42" i="19"/>
  <c r="C43" i="19"/>
  <c r="C44" i="19"/>
  <c r="C45" i="19"/>
  <c r="C46" i="19"/>
  <c r="C47" i="19"/>
  <c r="C48" i="19"/>
  <c r="C49" i="19"/>
  <c r="C50" i="19"/>
  <c r="C57" i="19"/>
  <c r="C58" i="19"/>
  <c r="C59" i="19"/>
  <c r="C60" i="19"/>
  <c r="C61" i="19"/>
  <c r="C62" i="19"/>
  <c r="C51" i="19"/>
  <c r="C52" i="19"/>
  <c r="C53" i="19"/>
  <c r="C54" i="19"/>
  <c r="C55" i="19"/>
  <c r="C56" i="19"/>
  <c r="C63" i="19"/>
  <c r="C64" i="19"/>
  <c r="C65" i="19"/>
  <c r="C66" i="19"/>
  <c r="C69" i="19"/>
  <c r="C68" i="19"/>
  <c r="C70" i="19"/>
  <c r="C67" i="19"/>
  <c r="C73" i="19"/>
  <c r="C72" i="19"/>
  <c r="C74" i="19"/>
  <c r="D87" i="51" s="1"/>
  <c r="C71" i="19"/>
  <c r="C79" i="19"/>
  <c r="C80" i="19"/>
  <c r="C77" i="19"/>
  <c r="C78" i="19"/>
  <c r="C81" i="19"/>
  <c r="C82" i="19"/>
  <c r="D84" i="51" s="1"/>
  <c r="C75" i="19"/>
  <c r="D58" i="45" s="1"/>
  <c r="C76" i="19"/>
  <c r="C85" i="19"/>
  <c r="C84" i="19"/>
  <c r="C86" i="19"/>
  <c r="D85" i="51" s="1"/>
  <c r="C83" i="19"/>
  <c r="D61" i="45" s="1"/>
  <c r="C89" i="19"/>
  <c r="C88" i="19"/>
  <c r="C90" i="19"/>
  <c r="D90" i="51" s="1"/>
  <c r="C87" i="19"/>
  <c r="D66" i="45" s="1"/>
  <c r="C93" i="19"/>
  <c r="C92" i="19"/>
  <c r="C94" i="19"/>
  <c r="C91" i="19"/>
  <c r="C97" i="19"/>
  <c r="C96" i="19"/>
  <c r="C98" i="19"/>
  <c r="D86" i="51" s="1"/>
  <c r="C95" i="19"/>
  <c r="C101" i="19"/>
  <c r="C100" i="19"/>
  <c r="C102" i="19"/>
  <c r="C99" i="19"/>
  <c r="C105" i="19"/>
  <c r="C104" i="19"/>
  <c r="C106" i="19"/>
  <c r="D88" i="51" s="1"/>
  <c r="C103" i="19"/>
  <c r="C118" i="19"/>
  <c r="C108" i="19"/>
  <c r="C124" i="19"/>
  <c r="C125" i="19"/>
  <c r="C126" i="19"/>
  <c r="C127" i="19"/>
  <c r="E52" i="47" s="1"/>
  <c r="C128" i="19"/>
  <c r="C129" i="19"/>
  <c r="C130" i="19"/>
  <c r="C131" i="19"/>
  <c r="C132" i="19"/>
  <c r="C133" i="19"/>
  <c r="C134" i="19"/>
  <c r="C135" i="19"/>
  <c r="C136" i="19"/>
  <c r="C137" i="19"/>
  <c r="C138" i="19"/>
  <c r="C139" i="19"/>
  <c r="C140" i="19"/>
  <c r="C141" i="19"/>
  <c r="C148" i="19"/>
  <c r="C149" i="19"/>
  <c r="C150" i="19"/>
  <c r="C151" i="19"/>
  <c r="C152" i="19"/>
  <c r="C153" i="19"/>
  <c r="C142" i="19"/>
  <c r="C143" i="19"/>
  <c r="C144" i="19"/>
  <c r="C145" i="19"/>
  <c r="C146" i="19"/>
  <c r="C147" i="19"/>
  <c r="C156" i="19"/>
  <c r="C157" i="19"/>
  <c r="C159" i="19"/>
  <c r="C161" i="19"/>
  <c r="C158" i="19"/>
  <c r="C155" i="19"/>
  <c r="C160" i="19"/>
  <c r="C154" i="19"/>
  <c r="C163" i="19"/>
  <c r="C162" i="19"/>
  <c r="C164" i="19"/>
  <c r="E83" i="51" s="1"/>
  <c r="C199" i="19"/>
  <c r="C167" i="19"/>
  <c r="C166" i="19"/>
  <c r="C168" i="19"/>
  <c r="E86" i="51" s="1"/>
  <c r="C165" i="19"/>
  <c r="C171" i="19"/>
  <c r="C170" i="19"/>
  <c r="C172" i="19"/>
  <c r="E81" i="51" s="1"/>
  <c r="C169" i="19"/>
  <c r="E57" i="45" s="1"/>
  <c r="C178" i="19"/>
  <c r="C177" i="19"/>
  <c r="C175" i="19"/>
  <c r="C176" i="19"/>
  <c r="C179" i="19"/>
  <c r="E84" i="51" s="1"/>
  <c r="C180" i="19"/>
  <c r="E87" i="51" s="1"/>
  <c r="C173" i="19"/>
  <c r="E60" i="45" s="1"/>
  <c r="C174" i="19"/>
  <c r="C183" i="19"/>
  <c r="C182" i="19"/>
  <c r="C184" i="19"/>
  <c r="E90" i="51" s="1"/>
  <c r="C181" i="19"/>
  <c r="C189" i="19"/>
  <c r="C190" i="19"/>
  <c r="C187" i="19"/>
  <c r="C188" i="19"/>
  <c r="C191" i="19"/>
  <c r="E82" i="51" s="1"/>
  <c r="C192" i="19"/>
  <c r="E89" i="51" s="1"/>
  <c r="C185" i="19"/>
  <c r="C186" i="19"/>
  <c r="E65" i="45" s="1"/>
  <c r="C193" i="19"/>
  <c r="C194" i="19"/>
  <c r="C197" i="19"/>
  <c r="C196" i="19"/>
  <c r="C198" i="19"/>
  <c r="E85" i="51" s="1"/>
  <c r="C195" i="19"/>
  <c r="C212" i="19"/>
  <c r="C201" i="19"/>
  <c r="C266" i="19"/>
  <c r="C202" i="19"/>
  <c r="C213" i="19"/>
  <c r="C214" i="19"/>
  <c r="C220" i="19"/>
  <c r="C221" i="19"/>
  <c r="C222" i="19"/>
  <c r="C223" i="19"/>
  <c r="C224" i="19"/>
  <c r="C225" i="19"/>
  <c r="C227" i="19"/>
  <c r="C228" i="19"/>
  <c r="C229" i="19"/>
  <c r="C230" i="19"/>
  <c r="C231" i="19"/>
  <c r="C232" i="19"/>
  <c r="C233" i="19"/>
  <c r="C234" i="19"/>
  <c r="C235" i="19"/>
  <c r="C236" i="19"/>
  <c r="C237" i="19"/>
  <c r="C244" i="19"/>
  <c r="C245" i="19"/>
  <c r="C246" i="19"/>
  <c r="C247" i="19"/>
  <c r="C248" i="19"/>
  <c r="C249" i="19"/>
  <c r="C238" i="19"/>
  <c r="C239" i="19"/>
  <c r="C240" i="19"/>
  <c r="C241" i="19"/>
  <c r="C242" i="19"/>
  <c r="C243" i="19"/>
  <c r="C252" i="19"/>
  <c r="C253" i="19"/>
  <c r="C254" i="19"/>
  <c r="C255" i="19"/>
  <c r="C250" i="19"/>
  <c r="C251" i="19"/>
  <c r="C258" i="19"/>
  <c r="C257" i="19"/>
  <c r="C259" i="19"/>
  <c r="C256" i="19"/>
  <c r="C264" i="19"/>
  <c r="C263" i="19"/>
  <c r="C265" i="19"/>
  <c r="F86" i="51" s="1"/>
  <c r="C261" i="19"/>
  <c r="C260" i="19"/>
  <c r="C262" i="19"/>
  <c r="C268" i="19"/>
  <c r="C267" i="19"/>
  <c r="C269" i="19"/>
  <c r="F83" i="51" s="1"/>
  <c r="C473" i="19"/>
  <c r="C278" i="19"/>
  <c r="C276" i="19"/>
  <c r="C277" i="19"/>
  <c r="C273" i="19"/>
  <c r="C274" i="19"/>
  <c r="C275" i="19"/>
  <c r="C279" i="19"/>
  <c r="F81" i="51" s="1"/>
  <c r="C280" i="19"/>
  <c r="F87" i="51" s="1"/>
  <c r="C281" i="19"/>
  <c r="F90" i="51" s="1"/>
  <c r="C270" i="19"/>
  <c r="C271" i="19"/>
  <c r="C272" i="19"/>
  <c r="C284" i="19"/>
  <c r="C283" i="19"/>
  <c r="C285" i="19"/>
  <c r="F85" i="51" s="1"/>
  <c r="C282" i="19"/>
  <c r="C288" i="19"/>
  <c r="C287" i="19"/>
  <c r="C289" i="19"/>
  <c r="F84" i="51" s="1"/>
  <c r="C286" i="19"/>
  <c r="C290" i="19"/>
  <c r="C291" i="19"/>
  <c r="C294" i="19"/>
  <c r="C293" i="19"/>
  <c r="C295" i="19"/>
  <c r="F88" i="51" s="1"/>
  <c r="C292" i="19"/>
  <c r="F64" i="45" s="1"/>
  <c r="C296" i="19"/>
  <c r="C297" i="19"/>
  <c r="C298" i="19"/>
  <c r="C299" i="19"/>
  <c r="C306" i="19"/>
  <c r="C305" i="19"/>
  <c r="C307" i="19"/>
  <c r="F82" i="51" s="1"/>
  <c r="C301" i="19"/>
  <c r="F58" i="45" s="1"/>
  <c r="C300" i="19"/>
  <c r="C303" i="19"/>
  <c r="C302" i="19"/>
  <c r="C304" i="19"/>
  <c r="C308" i="19"/>
  <c r="C309" i="19"/>
  <c r="C323" i="19"/>
  <c r="C312" i="19"/>
  <c r="C310" i="19"/>
  <c r="C313" i="19"/>
  <c r="C329" i="19"/>
  <c r="C330" i="19"/>
  <c r="C331" i="19"/>
  <c r="C332" i="19"/>
  <c r="C333"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7" i="19"/>
  <c r="C368" i="19"/>
  <c r="C369" i="19"/>
  <c r="C370" i="19"/>
  <c r="C371" i="19"/>
  <c r="C372" i="19"/>
  <c r="C361" i="19"/>
  <c r="C362" i="19"/>
  <c r="C363" i="19"/>
  <c r="C364" i="19"/>
  <c r="C365" i="19"/>
  <c r="C366" i="19"/>
  <c r="C373" i="19"/>
  <c r="C374" i="19"/>
  <c r="C375" i="19"/>
  <c r="C376" i="19"/>
  <c r="C383" i="19"/>
  <c r="C382" i="19"/>
  <c r="C380" i="19"/>
  <c r="C381" i="19"/>
  <c r="C384" i="19"/>
  <c r="C385" i="19"/>
  <c r="G89" i="51" s="1"/>
  <c r="C532" i="19"/>
  <c r="G59" i="45" s="1"/>
  <c r="C377" i="19"/>
  <c r="C378" i="19"/>
  <c r="C379" i="19"/>
  <c r="C392" i="19"/>
  <c r="C391" i="19"/>
  <c r="C393" i="19"/>
  <c r="G84" i="51" s="1"/>
  <c r="C386" i="19"/>
  <c r="C387" i="19"/>
  <c r="C388" i="19"/>
  <c r="C389" i="19"/>
  <c r="C390" i="19"/>
  <c r="C396" i="19"/>
  <c r="C395" i="19"/>
  <c r="C397" i="19"/>
  <c r="G86" i="51" s="1"/>
  <c r="C394" i="19"/>
  <c r="G62" i="45" s="1"/>
  <c r="C400" i="19"/>
  <c r="C399" i="19"/>
  <c r="C401" i="19"/>
  <c r="G87" i="51" s="1"/>
  <c r="C398" i="19"/>
  <c r="C404" i="19"/>
  <c r="C403" i="19"/>
  <c r="C405" i="19"/>
  <c r="G88" i="51" s="1"/>
  <c r="C402" i="19"/>
  <c r="C410" i="19"/>
  <c r="C409" i="19"/>
  <c r="C411" i="19"/>
  <c r="G85" i="51" s="1"/>
  <c r="C407" i="19"/>
  <c r="C406" i="19"/>
  <c r="C408" i="19"/>
  <c r="C412" i="19"/>
  <c r="C413" i="19"/>
  <c r="C414" i="19"/>
  <c r="C415" i="19"/>
  <c r="C416" i="19"/>
  <c r="C417" i="19"/>
  <c r="C426" i="19"/>
  <c r="C425" i="19"/>
  <c r="C427" i="19"/>
  <c r="G81" i="51" s="1"/>
  <c r="C418" i="19"/>
  <c r="C419" i="19"/>
  <c r="C420" i="19"/>
  <c r="C421" i="19"/>
  <c r="C422" i="19"/>
  <c r="C423" i="19"/>
  <c r="C424" i="19"/>
  <c r="C432" i="19"/>
  <c r="C433" i="19"/>
  <c r="C430" i="19"/>
  <c r="C431" i="19"/>
  <c r="C434" i="19"/>
  <c r="G82" i="51" s="1"/>
  <c r="C435" i="19"/>
  <c r="G90" i="51" s="1"/>
  <c r="C428" i="19"/>
  <c r="C429" i="19"/>
  <c r="C436" i="19"/>
  <c r="C438" i="19"/>
  <c r="C449" i="19"/>
  <c r="C439" i="19"/>
  <c r="C450" i="19"/>
  <c r="C451" i="19"/>
  <c r="C452" i="19"/>
  <c r="C453" i="19"/>
  <c r="H52" i="47" s="1"/>
  <c r="C454" i="19"/>
  <c r="C455" i="19"/>
  <c r="C462" i="19"/>
  <c r="C463" i="19"/>
  <c r="C464" i="19"/>
  <c r="C465" i="19"/>
  <c r="C466" i="19"/>
  <c r="C456" i="19"/>
  <c r="C457" i="19"/>
  <c r="C469" i="19"/>
  <c r="C471" i="19"/>
  <c r="C470" i="19"/>
  <c r="C472" i="19"/>
  <c r="C711" i="19"/>
  <c r="C474" i="19"/>
  <c r="C475" i="19"/>
  <c r="C476" i="19"/>
  <c r="C477" i="19"/>
  <c r="C478" i="19"/>
  <c r="C479" i="19"/>
  <c r="C480" i="19"/>
  <c r="C487" i="19"/>
  <c r="C488" i="19"/>
  <c r="C489" i="19"/>
  <c r="C490" i="19"/>
  <c r="C491" i="19"/>
  <c r="C492" i="19"/>
  <c r="C481" i="19"/>
  <c r="C482" i="19"/>
  <c r="C483" i="19"/>
  <c r="C484" i="19"/>
  <c r="C485" i="19"/>
  <c r="C486" i="19"/>
  <c r="C495" i="19"/>
  <c r="C496" i="19"/>
  <c r="C497" i="19"/>
  <c r="C500" i="19"/>
  <c r="C498" i="19"/>
  <c r="C494" i="19"/>
  <c r="C499" i="19"/>
  <c r="C493" i="19"/>
  <c r="C507" i="19"/>
  <c r="C508" i="19"/>
  <c r="C505" i="19"/>
  <c r="C506" i="19"/>
  <c r="C509" i="19"/>
  <c r="C510" i="19"/>
  <c r="C501" i="19"/>
  <c r="C502" i="19"/>
  <c r="C503" i="19"/>
  <c r="C504" i="19"/>
  <c r="C515" i="19"/>
  <c r="C514" i="19"/>
  <c r="C516" i="19"/>
  <c r="C512" i="19"/>
  <c r="H60" i="45" s="1"/>
  <c r="C511" i="19"/>
  <c r="C513" i="19"/>
  <c r="C521" i="19"/>
  <c r="C520" i="19"/>
  <c r="C522" i="19"/>
  <c r="C517" i="19"/>
  <c r="C518" i="19"/>
  <c r="C519" i="19"/>
  <c r="C523" i="19"/>
  <c r="C524" i="19"/>
  <c r="C525" i="19"/>
  <c r="C526" i="19"/>
  <c r="C527" i="19"/>
  <c r="C528" i="19"/>
  <c r="C529" i="19"/>
  <c r="C530" i="19"/>
  <c r="C763" i="19"/>
  <c r="C531" i="19"/>
  <c r="C537" i="19"/>
  <c r="C536" i="19"/>
  <c r="C534" i="19"/>
  <c r="C535" i="19"/>
  <c r="C538" i="19"/>
  <c r="C539" i="19"/>
  <c r="C784" i="19"/>
  <c r="C533" i="19"/>
  <c r="C540" i="19"/>
  <c r="C541" i="19"/>
  <c r="C542" i="19"/>
  <c r="C543" i="19"/>
  <c r="C550" i="19"/>
  <c r="C551" i="19"/>
  <c r="C552" i="19"/>
  <c r="C547" i="19"/>
  <c r="C548" i="19"/>
  <c r="C549" i="19"/>
  <c r="C553" i="19"/>
  <c r="C554" i="19"/>
  <c r="C555" i="19"/>
  <c r="C544" i="19"/>
  <c r="H63" i="45" s="1"/>
  <c r="C545" i="19"/>
  <c r="H65" i="45" s="1"/>
  <c r="C546" i="19"/>
  <c r="C556" i="19"/>
  <c r="C557" i="19"/>
  <c r="C558" i="19"/>
  <c r="C559" i="19"/>
  <c r="C571" i="19"/>
  <c r="C561" i="19"/>
  <c r="C572" i="19"/>
  <c r="C574" i="19"/>
  <c r="C573" i="19"/>
  <c r="C575"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15" i="19"/>
  <c r="C616" i="19"/>
  <c r="C617" i="19"/>
  <c r="C618" i="19"/>
  <c r="C619" i="19"/>
  <c r="C620" i="19"/>
  <c r="C609" i="19"/>
  <c r="C610" i="19"/>
  <c r="C611" i="19"/>
  <c r="C612" i="19"/>
  <c r="C613" i="19"/>
  <c r="C614" i="19"/>
  <c r="C623" i="19"/>
  <c r="C624" i="19"/>
  <c r="C626" i="19"/>
  <c r="C628" i="19"/>
  <c r="C625" i="19"/>
  <c r="C622" i="19"/>
  <c r="C627" i="19"/>
  <c r="C621" i="19"/>
  <c r="C633" i="19"/>
  <c r="C632" i="19"/>
  <c r="C634" i="19"/>
  <c r="C629" i="19"/>
  <c r="C630" i="19"/>
  <c r="C631" i="19"/>
  <c r="C640" i="19"/>
  <c r="C639" i="19"/>
  <c r="C637" i="19"/>
  <c r="C638" i="19"/>
  <c r="C641" i="19"/>
  <c r="C642" i="19"/>
  <c r="C635" i="19"/>
  <c r="C636" i="19"/>
  <c r="I61" i="45" s="1"/>
  <c r="C647" i="19"/>
  <c r="C646" i="19"/>
  <c r="C648" i="19"/>
  <c r="C643" i="19"/>
  <c r="C644" i="19"/>
  <c r="C645" i="19"/>
  <c r="C651" i="19"/>
  <c r="C650" i="19"/>
  <c r="C652" i="19"/>
  <c r="C649" i="19"/>
  <c r="I63" i="45" s="1"/>
  <c r="C653" i="19"/>
  <c r="C654" i="19"/>
  <c r="C659" i="19"/>
  <c r="C660" i="19"/>
  <c r="C657" i="19"/>
  <c r="C658" i="19"/>
  <c r="C661" i="19"/>
  <c r="C662" i="19"/>
  <c r="C655" i="19"/>
  <c r="I60" i="45" s="1"/>
  <c r="C656" i="19"/>
  <c r="C665" i="19"/>
  <c r="C664" i="19"/>
  <c r="C666" i="19"/>
  <c r="C663" i="19"/>
  <c r="C667" i="19"/>
  <c r="C668" i="19"/>
  <c r="C672" i="19"/>
  <c r="C671" i="19"/>
  <c r="C673" i="19"/>
  <c r="C904" i="19"/>
  <c r="I59" i="45" s="1"/>
  <c r="C669" i="19"/>
  <c r="C670" i="19"/>
  <c r="C685" i="19"/>
  <c r="C675" i="19"/>
  <c r="C691" i="19"/>
  <c r="C692" i="19"/>
  <c r="C693" i="19"/>
  <c r="C694" i="19"/>
  <c r="C695" i="19"/>
  <c r="C696" i="19"/>
  <c r="C697" i="19"/>
  <c r="C698" i="19"/>
  <c r="C699" i="19"/>
  <c r="C700" i="19"/>
  <c r="C701" i="19"/>
  <c r="C702" i="19"/>
  <c r="C703" i="19"/>
  <c r="C704" i="19"/>
  <c r="C705" i="19"/>
  <c r="C707" i="19"/>
  <c r="C706" i="19"/>
  <c r="C708" i="19"/>
  <c r="C709" i="19"/>
  <c r="C710" i="19"/>
  <c r="C1009" i="19"/>
  <c r="C712" i="19"/>
  <c r="C717" i="19"/>
  <c r="C718" i="19"/>
  <c r="C719" i="19"/>
  <c r="C720" i="19"/>
  <c r="C721" i="19"/>
  <c r="C722" i="19"/>
  <c r="C729" i="19"/>
  <c r="C730" i="19"/>
  <c r="C731" i="19"/>
  <c r="C732" i="19"/>
  <c r="C733" i="19"/>
  <c r="C734" i="19"/>
  <c r="C723" i="19"/>
  <c r="C724" i="19"/>
  <c r="C725" i="19"/>
  <c r="C726" i="19"/>
  <c r="C727" i="19"/>
  <c r="C728" i="19"/>
  <c r="C713" i="19"/>
  <c r="C715" i="19"/>
  <c r="C714" i="19"/>
  <c r="C716" i="19"/>
  <c r="C735" i="19"/>
  <c r="C736" i="19"/>
  <c r="C737" i="19"/>
  <c r="C738" i="19"/>
  <c r="C739" i="19"/>
  <c r="C740" i="19"/>
  <c r="C741" i="19"/>
  <c r="C742" i="19"/>
  <c r="C748" i="19"/>
  <c r="C747" i="19"/>
  <c r="C745" i="19"/>
  <c r="C746" i="19"/>
  <c r="C749" i="19"/>
  <c r="C750" i="19"/>
  <c r="J89" i="51" s="1"/>
  <c r="C743" i="19"/>
  <c r="C744" i="19"/>
  <c r="C753" i="19"/>
  <c r="C752" i="19"/>
  <c r="C754" i="19"/>
  <c r="J90" i="51" s="1"/>
  <c r="C751" i="19"/>
  <c r="J66" i="45" s="1"/>
  <c r="C755" i="19"/>
  <c r="C756" i="19"/>
  <c r="C757" i="19"/>
  <c r="C758" i="19"/>
  <c r="C759" i="19"/>
  <c r="C760" i="19"/>
  <c r="C761" i="19"/>
  <c r="C762" i="19"/>
  <c r="C770" i="19"/>
  <c r="C769" i="19"/>
  <c r="C767" i="19"/>
  <c r="C768" i="19"/>
  <c r="C771" i="19"/>
  <c r="J83" i="51" s="1"/>
  <c r="C772" i="19"/>
  <c r="J85" i="51" s="1"/>
  <c r="C1038" i="19"/>
  <c r="C764" i="19"/>
  <c r="C765" i="19"/>
  <c r="C766" i="19"/>
  <c r="C773" i="19"/>
  <c r="C774" i="19"/>
  <c r="C780" i="19"/>
  <c r="C779" i="19"/>
  <c r="C777" i="19"/>
  <c r="C778" i="19"/>
  <c r="C781" i="19"/>
  <c r="J81" i="51" s="1"/>
  <c r="C782" i="19"/>
  <c r="J84" i="51" s="1"/>
  <c r="C775" i="19"/>
  <c r="J57" i="45" s="1"/>
  <c r="C776" i="19"/>
  <c r="C787" i="19"/>
  <c r="C786" i="19"/>
  <c r="C788" i="19"/>
  <c r="J87" i="51" s="1"/>
  <c r="C783" i="19"/>
  <c r="C1162" i="19"/>
  <c r="C785" i="19"/>
  <c r="C793" i="19"/>
  <c r="C794" i="19"/>
  <c r="C791" i="19"/>
  <c r="C792" i="19"/>
  <c r="C795" i="19"/>
  <c r="J82" i="51" s="1"/>
  <c r="C796" i="19"/>
  <c r="J86" i="51" s="1"/>
  <c r="C789" i="19"/>
  <c r="C790" i="19"/>
  <c r="C810" i="19"/>
  <c r="C799" i="19"/>
  <c r="C797" i="19"/>
  <c r="C800" i="19"/>
  <c r="C811" i="19"/>
  <c r="C812" i="19"/>
  <c r="C813" i="19"/>
  <c r="C814" i="19"/>
  <c r="K52" i="47" s="1"/>
  <c r="C815" i="19"/>
  <c r="C816" i="19"/>
  <c r="C820" i="19"/>
  <c r="C821" i="19"/>
  <c r="C822" i="19"/>
  <c r="C823" i="19"/>
  <c r="C824" i="19"/>
  <c r="C825" i="19"/>
  <c r="C828" i="19"/>
  <c r="C829" i="19"/>
  <c r="C831" i="19"/>
  <c r="C832" i="19"/>
  <c r="C830" i="19"/>
  <c r="C833" i="19"/>
  <c r="C836" i="19"/>
  <c r="C837" i="19"/>
  <c r="C838" i="19"/>
  <c r="C839" i="19"/>
  <c r="C840" i="19"/>
  <c r="C841" i="19"/>
  <c r="C848" i="19"/>
  <c r="C849" i="19"/>
  <c r="C850" i="19"/>
  <c r="C851" i="19"/>
  <c r="C852" i="19"/>
  <c r="C853" i="19"/>
  <c r="C842" i="19"/>
  <c r="C843" i="19"/>
  <c r="C844" i="19"/>
  <c r="C845" i="19"/>
  <c r="C846" i="19"/>
  <c r="C847" i="19"/>
  <c r="C834" i="19"/>
  <c r="C835" i="19"/>
  <c r="C856" i="19"/>
  <c r="C857" i="19"/>
  <c r="C858" i="19"/>
  <c r="C861" i="19"/>
  <c r="C859" i="19"/>
  <c r="C855" i="19"/>
  <c r="C860" i="19"/>
  <c r="C854" i="19"/>
  <c r="C864" i="19"/>
  <c r="C863" i="19"/>
  <c r="C865" i="19"/>
  <c r="K89" i="51" s="1"/>
  <c r="C862" i="19"/>
  <c r="K65" i="45" s="1"/>
  <c r="C866" i="19"/>
  <c r="C867" i="19"/>
  <c r="C875" i="19"/>
  <c r="C873" i="19"/>
  <c r="C874" i="19"/>
  <c r="C870" i="19"/>
  <c r="C871" i="19"/>
  <c r="C872" i="19"/>
  <c r="C876" i="19"/>
  <c r="K83" i="51" s="1"/>
  <c r="C877" i="19"/>
  <c r="K86" i="51" s="1"/>
  <c r="C878" i="19"/>
  <c r="K88" i="51" s="1"/>
  <c r="C1394" i="19"/>
  <c r="C868" i="19"/>
  <c r="K62" i="45" s="1"/>
  <c r="C869" i="19"/>
  <c r="K64" i="45" s="1"/>
  <c r="C886" i="19"/>
  <c r="C885" i="19"/>
  <c r="C883" i="19"/>
  <c r="C884" i="19"/>
  <c r="C887" i="19"/>
  <c r="K84" i="51" s="1"/>
  <c r="C888" i="19"/>
  <c r="K85" i="51" s="1"/>
  <c r="C880" i="19"/>
  <c r="C881" i="19"/>
  <c r="C879" i="19"/>
  <c r="C882" i="19"/>
  <c r="C895" i="19"/>
  <c r="C894" i="19"/>
  <c r="C896" i="19"/>
  <c r="K90" i="51" s="1"/>
  <c r="C889" i="19"/>
  <c r="C890" i="19"/>
  <c r="C891" i="19"/>
  <c r="C892" i="19"/>
  <c r="C893" i="19"/>
  <c r="C897" i="19"/>
  <c r="C899" i="19"/>
  <c r="C898" i="19"/>
  <c r="C900" i="19"/>
  <c r="C901" i="19"/>
  <c r="C902" i="19"/>
  <c r="C907" i="19"/>
  <c r="C906" i="19"/>
  <c r="C908" i="19"/>
  <c r="K82" i="51" s="1"/>
  <c r="C903" i="19"/>
  <c r="C1403" i="19"/>
  <c r="C905" i="19"/>
  <c r="C913" i="19"/>
  <c r="C912" i="19"/>
  <c r="C914" i="19"/>
  <c r="K87" i="51" s="1"/>
  <c r="C909" i="19"/>
  <c r="K63" i="45" s="1"/>
  <c r="C910" i="19"/>
  <c r="C911" i="19"/>
  <c r="C915" i="19"/>
  <c r="C916" i="19"/>
  <c r="C928" i="19"/>
  <c r="C918" i="19"/>
  <c r="C929" i="19"/>
  <c r="C931" i="19"/>
  <c r="C930" i="19"/>
  <c r="C932" i="19"/>
  <c r="C938" i="19"/>
  <c r="C939" i="19"/>
  <c r="C940" i="19"/>
  <c r="C941" i="19"/>
  <c r="C942" i="19"/>
  <c r="C944" i="19"/>
  <c r="C943" i="19"/>
  <c r="C945" i="19"/>
  <c r="C946" i="19"/>
  <c r="C947" i="19"/>
  <c r="C948" i="19"/>
  <c r="C949" i="19"/>
  <c r="C950" i="19"/>
  <c r="C951" i="19"/>
  <c r="C954" i="19"/>
  <c r="C955" i="19"/>
  <c r="C956" i="19"/>
  <c r="C957" i="19"/>
  <c r="C958" i="19"/>
  <c r="C959" i="19"/>
  <c r="C952" i="19"/>
  <c r="C953" i="19"/>
  <c r="C960" i="19"/>
  <c r="C961" i="19"/>
  <c r="C962" i="19"/>
  <c r="C963" i="19"/>
  <c r="C964" i="19"/>
  <c r="C965" i="19"/>
  <c r="C968" i="19"/>
  <c r="C969" i="19"/>
  <c r="C970" i="19"/>
  <c r="C971" i="19"/>
  <c r="C972" i="19"/>
  <c r="C973" i="19"/>
  <c r="C980" i="19"/>
  <c r="C981" i="19"/>
  <c r="C982" i="19"/>
  <c r="C983" i="19"/>
  <c r="C984" i="19"/>
  <c r="C985" i="19"/>
  <c r="C974" i="19"/>
  <c r="C975" i="19"/>
  <c r="C976" i="19"/>
  <c r="C977" i="19"/>
  <c r="C978" i="19"/>
  <c r="C979" i="19"/>
  <c r="C966" i="19"/>
  <c r="C967" i="19"/>
  <c r="C986" i="19"/>
  <c r="C987" i="19"/>
  <c r="C988" i="19"/>
  <c r="C989" i="19"/>
  <c r="C992" i="19"/>
  <c r="C991" i="19"/>
  <c r="C993" i="19"/>
  <c r="C990" i="19"/>
  <c r="C994" i="19"/>
  <c r="C995" i="19"/>
  <c r="C1457" i="19"/>
  <c r="C996" i="19"/>
  <c r="C997" i="19"/>
  <c r="C998" i="19"/>
  <c r="C1003" i="19"/>
  <c r="C1002" i="19"/>
  <c r="C1004" i="19"/>
  <c r="L90" i="51" s="1"/>
  <c r="C1000" i="19"/>
  <c r="L66" i="45" s="1"/>
  <c r="C999" i="19"/>
  <c r="C1001" i="19"/>
  <c r="C1007" i="19"/>
  <c r="C1006" i="19"/>
  <c r="C1008" i="19"/>
  <c r="L84" i="51" s="1"/>
  <c r="C1005" i="19"/>
  <c r="L60" i="45" s="1"/>
  <c r="C1011" i="19"/>
  <c r="C1010" i="19"/>
  <c r="C1012" i="19"/>
  <c r="L83" i="51" s="1"/>
  <c r="C1497" i="19"/>
  <c r="C1013" i="19"/>
  <c r="C1014" i="19"/>
  <c r="C1015" i="19"/>
  <c r="C1016" i="19"/>
  <c r="C1019" i="19"/>
  <c r="C1018" i="19"/>
  <c r="C1020" i="19"/>
  <c r="L82" i="51" s="1"/>
  <c r="C1017" i="19"/>
  <c r="L58" i="45" s="1"/>
  <c r="C1029" i="19"/>
  <c r="C1030" i="19"/>
  <c r="C1027" i="19"/>
  <c r="C1028" i="19"/>
  <c r="C1031" i="19"/>
  <c r="L87" i="51" s="1"/>
  <c r="C1032" i="19"/>
  <c r="L88" i="51" s="1"/>
  <c r="C1022" i="19"/>
  <c r="C1023" i="19"/>
  <c r="C1021" i="19"/>
  <c r="C1025" i="19"/>
  <c r="C1024" i="19"/>
  <c r="C1026" i="19"/>
  <c r="C1035" i="19"/>
  <c r="C1034" i="19"/>
  <c r="C1036" i="19"/>
  <c r="L86" i="51" s="1"/>
  <c r="C1033" i="19"/>
  <c r="C1041" i="19"/>
  <c r="C1040" i="19"/>
  <c r="C1042" i="19"/>
  <c r="L81" i="51" s="1"/>
  <c r="C1037" i="19"/>
  <c r="L57" i="45" s="1"/>
  <c r="C1561" i="19"/>
  <c r="C1039" i="19"/>
  <c r="C1055" i="19"/>
  <c r="C1051" i="19"/>
  <c r="C1057" i="19"/>
  <c r="L89" i="51" s="1"/>
  <c r="C1043" i="19"/>
  <c r="C1058" i="19"/>
  <c r="C1045" i="19"/>
  <c r="C1064" i="19"/>
  <c r="C1065" i="19"/>
  <c r="C1066" i="19"/>
  <c r="C1067" i="19"/>
  <c r="M52" i="47" s="1"/>
  <c r="C1068" i="19"/>
  <c r="C1069" i="19"/>
  <c r="C1072" i="19"/>
  <c r="C1073" i="19"/>
  <c r="C1074" i="19"/>
  <c r="C1075" i="19"/>
  <c r="C1076" i="19"/>
  <c r="C1077" i="19"/>
  <c r="C1070" i="19"/>
  <c r="C1071" i="19"/>
  <c r="C1078" i="19"/>
  <c r="C1079" i="19"/>
  <c r="C1080" i="19"/>
  <c r="C1081" i="19"/>
  <c r="C1082" i="19"/>
  <c r="C1083" i="19"/>
  <c r="C1086" i="19"/>
  <c r="C1087" i="19"/>
  <c r="C1088" i="19"/>
  <c r="C1089" i="19"/>
  <c r="C1090" i="19"/>
  <c r="C1091" i="19"/>
  <c r="C1098" i="19"/>
  <c r="C1099" i="19"/>
  <c r="C1100" i="19"/>
  <c r="C1101" i="19"/>
  <c r="C1102" i="19"/>
  <c r="C1103" i="19"/>
  <c r="C1092" i="19"/>
  <c r="C1093" i="19"/>
  <c r="C1094" i="19"/>
  <c r="C1095" i="19"/>
  <c r="C1096" i="19"/>
  <c r="C1097" i="19"/>
  <c r="C1084" i="19"/>
  <c r="C1085" i="19"/>
  <c r="C1104" i="19"/>
  <c r="C1105" i="19"/>
  <c r="C1106" i="19"/>
  <c r="C1107" i="19"/>
  <c r="C1110" i="19"/>
  <c r="C1109" i="19"/>
  <c r="C1111" i="19"/>
  <c r="C1108" i="19"/>
  <c r="C1112" i="19"/>
  <c r="C1113" i="19"/>
  <c r="C1116" i="19"/>
  <c r="C1115" i="19"/>
  <c r="C1117" i="19"/>
  <c r="M86" i="51" s="1"/>
  <c r="C1114" i="19"/>
  <c r="C1120" i="19"/>
  <c r="C1119" i="19"/>
  <c r="C1121" i="19"/>
  <c r="M84" i="51" s="1"/>
  <c r="C1118" i="19"/>
  <c r="C1126" i="19"/>
  <c r="C1125" i="19"/>
  <c r="C1127" i="19"/>
  <c r="M82" i="51" s="1"/>
  <c r="C1122" i="19"/>
  <c r="C1123" i="19"/>
  <c r="C1124" i="19"/>
  <c r="C1128" i="19"/>
  <c r="C1129" i="19"/>
  <c r="C1130" i="19"/>
  <c r="C1131" i="19"/>
  <c r="C1136" i="19"/>
  <c r="C1135" i="19"/>
  <c r="C1137" i="19"/>
  <c r="M89" i="51" s="1"/>
  <c r="C1132" i="19"/>
  <c r="C1133" i="19"/>
  <c r="C1134" i="19"/>
  <c r="C1142" i="19"/>
  <c r="C1141" i="19"/>
  <c r="C1143" i="19"/>
  <c r="M85" i="51" s="1"/>
  <c r="C1139" i="19"/>
  <c r="C1138" i="19"/>
  <c r="C1140" i="19"/>
  <c r="C1144" i="19"/>
  <c r="C1145" i="19"/>
  <c r="C1148" i="19"/>
  <c r="C1147" i="19"/>
  <c r="C1149" i="19"/>
  <c r="M87" i="51" s="1"/>
  <c r="C1146" i="19"/>
  <c r="C1152" i="19"/>
  <c r="C1151" i="19"/>
  <c r="C1153" i="19"/>
  <c r="M88" i="51" s="1"/>
  <c r="C1150" i="19"/>
  <c r="C1156" i="19"/>
  <c r="C1155" i="19"/>
  <c r="C1157" i="19"/>
  <c r="M90" i="51" s="1"/>
  <c r="C1154" i="19"/>
  <c r="C1158" i="19"/>
  <c r="C1160" i="19"/>
  <c r="C1159" i="19"/>
  <c r="C1161" i="19"/>
  <c r="C1166" i="19"/>
  <c r="C1165" i="19"/>
  <c r="C1167" i="19"/>
  <c r="M83" i="51" s="1"/>
  <c r="C1562" i="19"/>
  <c r="M59" i="45" s="1"/>
  <c r="C1163" i="19"/>
  <c r="C1164" i="19"/>
  <c r="C1168" i="19"/>
  <c r="C1169" i="19"/>
  <c r="C1170" i="19"/>
  <c r="C1172" i="19"/>
  <c r="C1171" i="19"/>
  <c r="C1173" i="19"/>
  <c r="C1185" i="19"/>
  <c r="C1175" i="19"/>
  <c r="C1186" i="19"/>
  <c r="C1187" i="19"/>
  <c r="C1188" i="19"/>
  <c r="C1189" i="19"/>
  <c r="C1190" i="19"/>
  <c r="C1191" i="19"/>
  <c r="C1195" i="19"/>
  <c r="C1196" i="19"/>
  <c r="C1197" i="19"/>
  <c r="C1198" i="19"/>
  <c r="C1199" i="19"/>
  <c r="C1200" i="19"/>
  <c r="C1203" i="19"/>
  <c r="C1204" i="19"/>
  <c r="C1205" i="19"/>
  <c r="C1207" i="19"/>
  <c r="C1206" i="19"/>
  <c r="C1208" i="19"/>
  <c r="C1209" i="19"/>
  <c r="C1210" i="19"/>
  <c r="C1211" i="19"/>
  <c r="C1212" i="19"/>
  <c r="C1213" i="19"/>
  <c r="C1214" i="19"/>
  <c r="C1221" i="19"/>
  <c r="C1222" i="19"/>
  <c r="C1223" i="19"/>
  <c r="C1224" i="19"/>
  <c r="C1225" i="19"/>
  <c r="C1226" i="19"/>
  <c r="C1215" i="19"/>
  <c r="C1216" i="19"/>
  <c r="C1217" i="19"/>
  <c r="C1218" i="19"/>
  <c r="C1219" i="19"/>
  <c r="C1220" i="19"/>
  <c r="C1229" i="19"/>
  <c r="C1230" i="19"/>
  <c r="C1232" i="19"/>
  <c r="C1234" i="19"/>
  <c r="C1231" i="19"/>
  <c r="C1228" i="19"/>
  <c r="C1233" i="19"/>
  <c r="C1227" i="19"/>
  <c r="C1235" i="19"/>
  <c r="C1236" i="19"/>
  <c r="C1242" i="19"/>
  <c r="C1241" i="19"/>
  <c r="C1239" i="19"/>
  <c r="C1240" i="19"/>
  <c r="C1243" i="19"/>
  <c r="N88" i="51" s="1"/>
  <c r="C1244" i="19"/>
  <c r="N89" i="51" s="1"/>
  <c r="C1237" i="19"/>
  <c r="C1238" i="19"/>
  <c r="N65" i="45" s="1"/>
  <c r="C1247" i="19"/>
  <c r="C1246" i="19"/>
  <c r="C1248" i="19"/>
  <c r="N87" i="51" s="1"/>
  <c r="C1245" i="19"/>
  <c r="C1249" i="19"/>
  <c r="C1250" i="19"/>
  <c r="C1253" i="19"/>
  <c r="C1252" i="19"/>
  <c r="C1254" i="19"/>
  <c r="N90" i="51" s="1"/>
  <c r="C1251" i="19"/>
  <c r="N66" i="45" s="1"/>
  <c r="C1258" i="19"/>
  <c r="C1257" i="19"/>
  <c r="C1259" i="19"/>
  <c r="N83" i="51" s="1"/>
  <c r="C1563" i="19"/>
  <c r="N59" i="45" s="1"/>
  <c r="C1255" i="19"/>
  <c r="C1256" i="19"/>
  <c r="C1262" i="19"/>
  <c r="C1261" i="19"/>
  <c r="C1263" i="19"/>
  <c r="N82" i="51" s="1"/>
  <c r="C1260" i="19"/>
  <c r="N58" i="45" s="1"/>
  <c r="C1264" i="19"/>
  <c r="C1265" i="19"/>
  <c r="C1266" i="19"/>
  <c r="C1267" i="19"/>
  <c r="C1270" i="19"/>
  <c r="C1269" i="19"/>
  <c r="C1271" i="19"/>
  <c r="N84" i="51" s="1"/>
  <c r="C1268" i="19"/>
  <c r="N60" i="45" s="1"/>
  <c r="C1272" i="19"/>
  <c r="C1275" i="19"/>
  <c r="C1273" i="19"/>
  <c r="C1274" i="19"/>
  <c r="C1276" i="19"/>
  <c r="C1277" i="19"/>
  <c r="C1280" i="19"/>
  <c r="C1279" i="19"/>
  <c r="C1281" i="19"/>
  <c r="N85" i="51" s="1"/>
  <c r="C1278" i="19"/>
  <c r="N61" i="45" s="1"/>
  <c r="C1284" i="19"/>
  <c r="C1283" i="19"/>
  <c r="C1285" i="19"/>
  <c r="N81" i="51" s="1"/>
  <c r="C1282" i="19"/>
  <c r="C1297" i="19"/>
  <c r="C1287" i="19"/>
  <c r="C1303" i="19"/>
  <c r="C1304" i="19"/>
  <c r="C1305" i="19"/>
  <c r="C1306" i="19"/>
  <c r="C1307" i="19"/>
  <c r="C1308" i="19"/>
  <c r="C1309" i="19"/>
  <c r="C1310" i="19"/>
  <c r="C1311" i="19"/>
  <c r="C1312" i="19"/>
  <c r="C1313" i="19"/>
  <c r="C1314" i="19"/>
  <c r="C1315" i="19"/>
  <c r="C1316" i="19"/>
  <c r="C1317" i="19"/>
  <c r="C1318" i="19"/>
  <c r="C1319" i="19"/>
  <c r="C1320" i="19"/>
  <c r="C1321" i="19"/>
  <c r="C1322" i="19"/>
  <c r="C1323" i="19"/>
  <c r="C1324" i="19"/>
  <c r="C1325" i="19"/>
  <c r="C1326" i="19"/>
  <c r="C1327" i="19"/>
  <c r="C1328" i="19"/>
  <c r="C1329" i="19"/>
  <c r="C1330" i="19"/>
  <c r="C1333" i="19"/>
  <c r="C1334" i="19"/>
  <c r="C1335" i="19"/>
  <c r="C1336" i="19"/>
  <c r="C1337" i="19"/>
  <c r="C1338" i="19"/>
  <c r="C1345" i="19"/>
  <c r="C1346" i="19"/>
  <c r="C1347" i="19"/>
  <c r="C1348" i="19"/>
  <c r="C1349" i="19"/>
  <c r="C1350" i="19"/>
  <c r="C1339" i="19"/>
  <c r="C1340" i="19"/>
  <c r="C1341" i="19"/>
  <c r="C1342" i="19"/>
  <c r="C1343" i="19"/>
  <c r="C1344" i="19"/>
  <c r="C1331" i="19"/>
  <c r="C1332" i="19"/>
  <c r="C1353" i="19"/>
  <c r="C1354" i="19"/>
  <c r="C1355" i="19"/>
  <c r="C1356" i="19"/>
  <c r="C1351" i="19"/>
  <c r="C1352" i="19"/>
  <c r="C1365" i="19"/>
  <c r="C1363" i="19"/>
  <c r="C1364" i="19"/>
  <c r="C1360" i="19"/>
  <c r="C1361" i="19"/>
  <c r="C1362" i="19"/>
  <c r="C1366" i="19"/>
  <c r="C1367" i="19"/>
  <c r="O85" i="51" s="1"/>
  <c r="C1368" i="19"/>
  <c r="O88" i="51" s="1"/>
  <c r="C1357" i="19"/>
  <c r="O57" i="45" s="1"/>
  <c r="C1358" i="19"/>
  <c r="C1359" i="19"/>
  <c r="O64" i="45" s="1"/>
  <c r="C1369" i="19"/>
  <c r="C1370" i="19"/>
  <c r="C1373" i="19"/>
  <c r="C1372" i="19"/>
  <c r="C1374" i="19"/>
  <c r="O90" i="51" s="1"/>
  <c r="C1371" i="19"/>
  <c r="C1380" i="19"/>
  <c r="C1379" i="19"/>
  <c r="C1377" i="19"/>
  <c r="C1378" i="19"/>
  <c r="C1381" i="19"/>
  <c r="O86" i="51" s="1"/>
  <c r="C1382" i="19"/>
  <c r="O87" i="51" s="1"/>
  <c r="C1375" i="19"/>
  <c r="C1376" i="19"/>
  <c r="O63" i="45" s="1"/>
  <c r="C1385" i="19"/>
  <c r="C1384" i="19"/>
  <c r="C1386" i="19"/>
  <c r="O84" i="51" s="1"/>
  <c r="C1383" i="19"/>
  <c r="C1387" i="19"/>
  <c r="C1388" i="19"/>
  <c r="C1389" i="19"/>
  <c r="C1390" i="19"/>
  <c r="C1391" i="19"/>
  <c r="C1392" i="19"/>
  <c r="C1399" i="19"/>
  <c r="C1398" i="19"/>
  <c r="C1400" i="19"/>
  <c r="O83" i="51" s="1"/>
  <c r="C1564" i="19"/>
  <c r="C1393" i="19"/>
  <c r="C1396" i="19"/>
  <c r="C1395" i="19"/>
  <c r="C1397" i="19"/>
  <c r="C1401" i="19"/>
  <c r="C1402" i="19"/>
  <c r="C1565" i="19"/>
  <c r="C1404" i="19"/>
  <c r="C1566" i="19"/>
  <c r="C1405" i="19"/>
  <c r="C1412" i="19"/>
  <c r="C1413" i="19"/>
  <c r="C1410" i="19"/>
  <c r="C1411" i="19"/>
  <c r="C1414" i="19"/>
  <c r="O82" i="51" s="1"/>
  <c r="C1415" i="19"/>
  <c r="O89" i="51" s="1"/>
  <c r="C1406" i="19"/>
  <c r="C1407" i="19"/>
  <c r="C1408" i="19"/>
  <c r="C1409" i="19"/>
  <c r="C1432" i="19"/>
  <c r="C1420" i="19"/>
  <c r="C1433" i="19"/>
  <c r="C1434" i="19"/>
  <c r="C1435" i="19"/>
  <c r="C1436" i="19"/>
  <c r="C1437" i="19"/>
  <c r="C1438" i="19"/>
  <c r="C1439" i="19"/>
  <c r="C1440" i="19"/>
  <c r="C1441" i="19"/>
  <c r="C1442" i="19"/>
  <c r="C1443" i="19"/>
  <c r="C1444" i="19"/>
  <c r="C1445" i="19"/>
  <c r="C1446" i="19"/>
  <c r="C1447" i="19"/>
  <c r="C1448" i="19"/>
  <c r="C1449" i="19"/>
  <c r="C1450" i="19"/>
  <c r="C1451" i="19"/>
  <c r="C1452" i="19"/>
  <c r="C1453" i="19"/>
  <c r="C1455" i="19"/>
  <c r="C1454" i="19"/>
  <c r="C1456" i="19"/>
  <c r="C1567" i="19"/>
  <c r="C1458" i="19"/>
  <c r="C1459" i="19"/>
  <c r="C1460" i="19"/>
  <c r="C1461" i="19"/>
  <c r="C1463" i="19"/>
  <c r="C1462" i="19"/>
  <c r="C1464" i="19"/>
  <c r="C1465" i="19"/>
  <c r="C1466" i="19"/>
  <c r="C1467" i="19"/>
  <c r="C1468" i="19"/>
  <c r="C1469" i="19"/>
  <c r="C1470" i="19"/>
  <c r="C1471" i="19"/>
  <c r="C1472" i="19"/>
  <c r="C1473" i="19"/>
  <c r="C1474" i="19"/>
  <c r="C1475" i="19"/>
  <c r="C1476" i="19"/>
  <c r="C1477" i="19"/>
  <c r="C1478" i="19"/>
  <c r="C1479" i="19"/>
  <c r="C1480" i="19"/>
  <c r="C1481" i="19"/>
  <c r="C1482" i="19"/>
  <c r="C1483" i="19"/>
  <c r="C1484" i="19"/>
  <c r="C1485" i="19"/>
  <c r="C1486" i="19"/>
  <c r="C1487" i="19"/>
  <c r="C1488" i="19"/>
  <c r="C1489" i="19"/>
  <c r="C1490" i="19"/>
  <c r="C1491" i="19"/>
  <c r="C1492" i="19"/>
  <c r="C1493" i="19"/>
  <c r="C1494" i="19"/>
  <c r="C1495" i="19"/>
  <c r="C1496" i="19"/>
  <c r="C1568" i="19"/>
  <c r="C1498" i="19"/>
  <c r="C1499" i="19"/>
  <c r="C1500" i="19"/>
  <c r="C117" i="19"/>
  <c r="G16" i="55" s="1"/>
  <c r="C109" i="19"/>
  <c r="C211" i="19"/>
  <c r="C203" i="19"/>
  <c r="C322" i="19"/>
  <c r="C314" i="19"/>
  <c r="C448" i="19"/>
  <c r="C440" i="19"/>
  <c r="C570" i="19"/>
  <c r="H29" i="52" s="1"/>
  <c r="C562" i="19"/>
  <c r="C684" i="19"/>
  <c r="C676" i="19"/>
  <c r="C809" i="19"/>
  <c r="D30" i="56" s="1"/>
  <c r="C801" i="19"/>
  <c r="C927" i="19"/>
  <c r="C919" i="19"/>
  <c r="C1056" i="19"/>
  <c r="C1046" i="19"/>
  <c r="C1184" i="19"/>
  <c r="C1176" i="19"/>
  <c r="C1296" i="19"/>
  <c r="C1288" i="19"/>
  <c r="C1430" i="19"/>
  <c r="C1421" i="19"/>
  <c r="C114" i="19"/>
  <c r="G17" i="55" s="1"/>
  <c r="C110" i="19"/>
  <c r="C208" i="19"/>
  <c r="C204" i="19"/>
  <c r="C319" i="19"/>
  <c r="C315" i="19"/>
  <c r="C445" i="19"/>
  <c r="C441" i="19"/>
  <c r="C567" i="19"/>
  <c r="H30" i="52" s="1"/>
  <c r="C563" i="19"/>
  <c r="C681" i="19"/>
  <c r="C677" i="19"/>
  <c r="C806" i="19"/>
  <c r="D31" i="56" s="1"/>
  <c r="C802" i="19"/>
  <c r="C924" i="19"/>
  <c r="C920" i="19"/>
  <c r="C1052" i="19"/>
  <c r="C1047" i="19"/>
  <c r="C1181" i="19"/>
  <c r="C1177" i="19"/>
  <c r="C1293" i="19"/>
  <c r="C1289" i="19"/>
  <c r="C1426" i="19"/>
  <c r="C1422" i="19"/>
  <c r="C107" i="19"/>
  <c r="G18" i="55" s="1"/>
  <c r="C111" i="19"/>
  <c r="C200" i="19"/>
  <c r="C205" i="19"/>
  <c r="C311" i="19"/>
  <c r="C316" i="19"/>
  <c r="C437" i="19"/>
  <c r="C442" i="19"/>
  <c r="C560" i="19"/>
  <c r="H31" i="52" s="1"/>
  <c r="C564" i="19"/>
  <c r="C674" i="19"/>
  <c r="C678" i="19"/>
  <c r="C798" i="19"/>
  <c r="D32" i="56" s="1"/>
  <c r="C803" i="19"/>
  <c r="C917" i="19"/>
  <c r="C921" i="19"/>
  <c r="C1044" i="19"/>
  <c r="C1048" i="19"/>
  <c r="C1174" i="19"/>
  <c r="C1178" i="19"/>
  <c r="C1286" i="19"/>
  <c r="C1290" i="19"/>
  <c r="C1416" i="19"/>
  <c r="C1423" i="19"/>
  <c r="C116" i="19"/>
  <c r="G22" i="55" s="1"/>
  <c r="C112" i="19"/>
  <c r="C210" i="19"/>
  <c r="C206" i="19"/>
  <c r="C321" i="19"/>
  <c r="C317" i="19"/>
  <c r="C447" i="19"/>
  <c r="C443" i="19"/>
  <c r="C569" i="19"/>
  <c r="H35" i="52" s="1"/>
  <c r="C565" i="19"/>
  <c r="C683" i="19"/>
  <c r="E36" i="56" s="1"/>
  <c r="C679" i="19"/>
  <c r="C808" i="19"/>
  <c r="D36" i="56" s="1"/>
  <c r="C804" i="19"/>
  <c r="C926" i="19"/>
  <c r="C922" i="19"/>
  <c r="C1054" i="19"/>
  <c r="C1049" i="19"/>
  <c r="C1183" i="19"/>
  <c r="C1179" i="19"/>
  <c r="C1295" i="19"/>
  <c r="C1291" i="19"/>
  <c r="C1428" i="19"/>
  <c r="C1424" i="19"/>
  <c r="C115" i="19"/>
  <c r="G23" i="55" s="1"/>
  <c r="C113" i="19"/>
  <c r="C209" i="19"/>
  <c r="C207" i="19"/>
  <c r="C320" i="19"/>
  <c r="C318" i="19"/>
  <c r="C446" i="19"/>
  <c r="C444" i="19"/>
  <c r="C568" i="19"/>
  <c r="H36" i="52" s="1"/>
  <c r="C566" i="19"/>
  <c r="C682" i="19"/>
  <c r="E37" i="56" s="1"/>
  <c r="C680" i="19"/>
  <c r="C807" i="19"/>
  <c r="D37" i="56" s="1"/>
  <c r="C805" i="19"/>
  <c r="C925" i="19"/>
  <c r="C923" i="19"/>
  <c r="C1053" i="19"/>
  <c r="C1050" i="19"/>
  <c r="C1182" i="19"/>
  <c r="C1180" i="19"/>
  <c r="C1294" i="19"/>
  <c r="C1292" i="19"/>
  <c r="C1427" i="19"/>
  <c r="C1425" i="19"/>
  <c r="D2" i="20"/>
  <c r="O62" i="45" l="1"/>
  <c r="N107" i="54"/>
  <c r="M105" i="54"/>
  <c r="I52" i="47"/>
  <c r="O107" i="54"/>
  <c r="L105" i="54"/>
  <c r="F26" i="72"/>
  <c r="F32" i="72"/>
  <c r="F34" i="72" s="1"/>
  <c r="I31" i="52"/>
  <c r="E32" i="56"/>
  <c r="G32" i="56" s="1"/>
  <c r="I30" i="52"/>
  <c r="E31" i="56"/>
  <c r="G31" i="56" s="1"/>
  <c r="I105" i="54"/>
  <c r="K24" i="72"/>
  <c r="H107" i="54"/>
  <c r="J24" i="72"/>
  <c r="J32" i="72"/>
  <c r="G104" i="54"/>
  <c r="I26" i="72"/>
  <c r="F104" i="54"/>
  <c r="I26" i="53"/>
  <c r="J27" i="72"/>
  <c r="I35" i="53"/>
  <c r="J36" i="72"/>
  <c r="J32" i="53"/>
  <c r="K33" i="72"/>
  <c r="L24" i="72"/>
  <c r="Q24" i="72"/>
  <c r="N103" i="54"/>
  <c r="G37" i="56"/>
  <c r="H32" i="52"/>
  <c r="Q32" i="72"/>
  <c r="Q34" i="72" s="1"/>
  <c r="Q26" i="72"/>
  <c r="N26" i="72"/>
  <c r="G21" i="61"/>
  <c r="D23" i="39"/>
  <c r="H23" i="39" s="1"/>
  <c r="L26" i="72"/>
  <c r="K32" i="72"/>
  <c r="J26" i="72"/>
  <c r="H32" i="72"/>
  <c r="H34" i="72" s="1"/>
  <c r="I24" i="72"/>
  <c r="I27" i="53"/>
  <c r="J28" i="72"/>
  <c r="J26" i="53"/>
  <c r="K27" i="72"/>
  <c r="J35" i="53"/>
  <c r="K36" i="72"/>
  <c r="M24" i="72"/>
  <c r="G36" i="56"/>
  <c r="P24" i="72"/>
  <c r="N24" i="72"/>
  <c r="I32" i="72"/>
  <c r="I34" i="72" s="1"/>
  <c r="H24" i="72"/>
  <c r="G26" i="72"/>
  <c r="J27" i="53"/>
  <c r="K28" i="72"/>
  <c r="I29" i="52"/>
  <c r="E30" i="56"/>
  <c r="G30" i="56" s="1"/>
  <c r="P26" i="72"/>
  <c r="P32" i="72"/>
  <c r="P34" i="72" s="1"/>
  <c r="O26" i="72"/>
  <c r="O32" i="72"/>
  <c r="O34" i="72" s="1"/>
  <c r="N32" i="72"/>
  <c r="N34" i="72" s="1"/>
  <c r="M26" i="72"/>
  <c r="M32" i="72"/>
  <c r="M34" i="72" s="1"/>
  <c r="L32" i="72"/>
  <c r="L34" i="72" s="1"/>
  <c r="H21" i="61"/>
  <c r="K26" i="72"/>
  <c r="H26" i="72"/>
  <c r="G32" i="72"/>
  <c r="G34" i="72" s="1"/>
  <c r="G10" i="55"/>
  <c r="G11" i="55"/>
  <c r="F24" i="72"/>
  <c r="G24" i="72"/>
  <c r="I32" i="53"/>
  <c r="J33" i="72"/>
  <c r="O24" i="72"/>
  <c r="O103" i="54"/>
  <c r="H103" i="54"/>
  <c r="E105" i="54"/>
  <c r="Y58" i="54"/>
  <c r="O106" i="54"/>
  <c r="O102" i="54"/>
  <c r="O101" i="54"/>
  <c r="N106" i="54"/>
  <c r="N101" i="54"/>
  <c r="N102" i="54"/>
  <c r="M104" i="54"/>
  <c r="L104" i="54"/>
  <c r="K106" i="54"/>
  <c r="K101" i="54"/>
  <c r="K102" i="54"/>
  <c r="J104" i="54"/>
  <c r="I104" i="54"/>
  <c r="H106" i="54"/>
  <c r="H101" i="54"/>
  <c r="H102" i="54"/>
  <c r="G107" i="54"/>
  <c r="G103" i="54"/>
  <c r="F107" i="54"/>
  <c r="F103" i="54"/>
  <c r="E104" i="54"/>
  <c r="Y57" i="54"/>
  <c r="D104" i="54"/>
  <c r="AC57" i="54"/>
  <c r="K107" i="54"/>
  <c r="K103" i="54"/>
  <c r="AC58" i="54"/>
  <c r="D105" i="54"/>
  <c r="O105" i="54"/>
  <c r="N105" i="54"/>
  <c r="M107" i="54"/>
  <c r="M103" i="54"/>
  <c r="L107" i="54"/>
  <c r="L103" i="54"/>
  <c r="K105" i="54"/>
  <c r="J107" i="54"/>
  <c r="J103" i="54"/>
  <c r="I107" i="54"/>
  <c r="I103" i="54"/>
  <c r="H105" i="54"/>
  <c r="G106" i="54"/>
  <c r="G102" i="54"/>
  <c r="G101" i="54"/>
  <c r="F106" i="54"/>
  <c r="F102" i="54"/>
  <c r="F101" i="54"/>
  <c r="Y60" i="54"/>
  <c r="E107" i="54"/>
  <c r="E103" i="54"/>
  <c r="Y56" i="54"/>
  <c r="AC60" i="54"/>
  <c r="D107" i="54"/>
  <c r="AC56" i="54"/>
  <c r="D103" i="54"/>
  <c r="J105" i="54"/>
  <c r="O104" i="54"/>
  <c r="N104" i="54"/>
  <c r="M106" i="54"/>
  <c r="M101" i="54"/>
  <c r="M102" i="54"/>
  <c r="M53" i="47"/>
  <c r="L106" i="54"/>
  <c r="L102" i="54"/>
  <c r="L101" i="54"/>
  <c r="K104" i="54"/>
  <c r="J106" i="54"/>
  <c r="J102" i="54"/>
  <c r="J101" i="54"/>
  <c r="J53" i="47"/>
  <c r="I106" i="54"/>
  <c r="I102" i="54"/>
  <c r="I101" i="54"/>
  <c r="H104" i="54"/>
  <c r="H59" i="45"/>
  <c r="G105" i="54"/>
  <c r="F105" i="54"/>
  <c r="Y59" i="54"/>
  <c r="E106" i="54"/>
  <c r="Y47" i="54" s="1"/>
  <c r="E102" i="54"/>
  <c r="Y43" i="54" s="1"/>
  <c r="E101" i="54"/>
  <c r="Y55" i="54"/>
  <c r="C42" i="54"/>
  <c r="AC59" i="54"/>
  <c r="D106" i="54"/>
  <c r="D101" i="54"/>
  <c r="E96" i="54" s="1"/>
  <c r="D102" i="54"/>
  <c r="AC55" i="54"/>
  <c r="D53" i="49"/>
  <c r="N53" i="47"/>
  <c r="L62" i="45"/>
  <c r="F65" i="45"/>
  <c r="J52" i="47"/>
  <c r="H53" i="47"/>
  <c r="D52" i="47"/>
  <c r="E25" i="53"/>
  <c r="D53" i="47"/>
  <c r="O37" i="42"/>
  <c r="O36" i="52"/>
  <c r="M37" i="42"/>
  <c r="M36" i="52"/>
  <c r="K37" i="42"/>
  <c r="K36" i="52"/>
  <c r="I37" i="42"/>
  <c r="I36" i="52"/>
  <c r="G37" i="42"/>
  <c r="G36" i="52"/>
  <c r="E37" i="42"/>
  <c r="E36" i="52"/>
  <c r="O36" i="42"/>
  <c r="O35" i="52"/>
  <c r="M36" i="42"/>
  <c r="M35" i="52"/>
  <c r="K36" i="42"/>
  <c r="K35" i="52"/>
  <c r="I36" i="42"/>
  <c r="I35" i="52"/>
  <c r="G36" i="42"/>
  <c r="G35" i="52"/>
  <c r="E36" i="42"/>
  <c r="E35" i="52"/>
  <c r="O32" i="42"/>
  <c r="O31" i="52"/>
  <c r="M32" i="42"/>
  <c r="M31" i="52"/>
  <c r="K32" i="42"/>
  <c r="K31" i="52"/>
  <c r="G32" i="42"/>
  <c r="G31" i="52"/>
  <c r="E32" i="42"/>
  <c r="E31" i="52"/>
  <c r="M31" i="42"/>
  <c r="M30" i="52"/>
  <c r="K31" i="42"/>
  <c r="K30" i="52"/>
  <c r="O144" i="51"/>
  <c r="O129" i="51"/>
  <c r="O150" i="51"/>
  <c r="O135" i="51"/>
  <c r="F36" i="42"/>
  <c r="F32" i="59" s="1"/>
  <c r="F35" i="52"/>
  <c r="D36" i="42"/>
  <c r="D35" i="52"/>
  <c r="N32" i="42"/>
  <c r="N31" i="52"/>
  <c r="L32" i="42"/>
  <c r="L31" i="52"/>
  <c r="J32" i="42"/>
  <c r="J31" i="52"/>
  <c r="G31" i="39" s="1"/>
  <c r="H33" i="52"/>
  <c r="H38" i="52" s="1"/>
  <c r="D30" i="42"/>
  <c r="D29" i="52"/>
  <c r="O142" i="51"/>
  <c r="O127" i="51"/>
  <c r="O143" i="51"/>
  <c r="O128" i="51"/>
  <c r="O146" i="51"/>
  <c r="O24" i="42"/>
  <c r="O80" i="51"/>
  <c r="O81" i="51"/>
  <c r="O57" i="49"/>
  <c r="O49" i="47"/>
  <c r="O47" i="47"/>
  <c r="O25" i="42"/>
  <c r="O41" i="49"/>
  <c r="O42" i="47"/>
  <c r="O53" i="49"/>
  <c r="O53" i="47"/>
  <c r="P31" i="53"/>
  <c r="P33" i="53" s="1"/>
  <c r="O51" i="47"/>
  <c r="O43" i="47"/>
  <c r="P25" i="53"/>
  <c r="N141" i="51"/>
  <c r="O111" i="51"/>
  <c r="O66" i="45"/>
  <c r="O56" i="49"/>
  <c r="O48" i="47"/>
  <c r="O52" i="47"/>
  <c r="N63" i="45"/>
  <c r="N48" i="47"/>
  <c r="N56" i="49"/>
  <c r="O23" i="53"/>
  <c r="M66" i="45"/>
  <c r="M64" i="45"/>
  <c r="M61" i="45"/>
  <c r="M58" i="45"/>
  <c r="M58" i="49"/>
  <c r="M54" i="49"/>
  <c r="L148" i="51"/>
  <c r="M118" i="51"/>
  <c r="L133" i="51"/>
  <c r="L58" i="49"/>
  <c r="L54" i="49"/>
  <c r="L53" i="47"/>
  <c r="M23" i="53"/>
  <c r="K66" i="45"/>
  <c r="K145" i="51"/>
  <c r="K130" i="51"/>
  <c r="L115" i="51"/>
  <c r="K59" i="45"/>
  <c r="K56" i="49"/>
  <c r="K48" i="47"/>
  <c r="J146" i="51"/>
  <c r="K116" i="51"/>
  <c r="J63" i="45"/>
  <c r="J65" i="45"/>
  <c r="J58" i="49"/>
  <c r="J54" i="49"/>
  <c r="Y40" i="51"/>
  <c r="I88" i="51"/>
  <c r="I85" i="51"/>
  <c r="J130" i="51" s="1"/>
  <c r="Y37" i="51"/>
  <c r="I58" i="49"/>
  <c r="I54" i="49"/>
  <c r="AC53" i="51"/>
  <c r="AC38" i="51"/>
  <c r="H86" i="51"/>
  <c r="AC55" i="51"/>
  <c r="AC40" i="51"/>
  <c r="H88" i="51"/>
  <c r="H48" i="47"/>
  <c r="H56" i="49"/>
  <c r="G49" i="47"/>
  <c r="G57" i="49"/>
  <c r="G47" i="47"/>
  <c r="G25" i="42"/>
  <c r="G41" i="49"/>
  <c r="G42" i="47"/>
  <c r="G53" i="49"/>
  <c r="G52" i="47"/>
  <c r="G43" i="47"/>
  <c r="H31" i="53"/>
  <c r="F144" i="51"/>
  <c r="G114" i="51"/>
  <c r="F129" i="51"/>
  <c r="F145" i="51"/>
  <c r="G115" i="51"/>
  <c r="F130" i="51"/>
  <c r="F141" i="51"/>
  <c r="G111" i="51"/>
  <c r="F126" i="51"/>
  <c r="F143" i="51"/>
  <c r="G113" i="51"/>
  <c r="F128" i="51"/>
  <c r="F49" i="47"/>
  <c r="F57" i="49"/>
  <c r="F53" i="49"/>
  <c r="F25" i="42"/>
  <c r="F47" i="47"/>
  <c r="F41" i="49"/>
  <c r="F42" i="47"/>
  <c r="F52" i="47"/>
  <c r="G23" i="53"/>
  <c r="E63" i="45"/>
  <c r="E62" i="45"/>
  <c r="E59" i="45"/>
  <c r="F25" i="53"/>
  <c r="E58" i="49"/>
  <c r="E54" i="49"/>
  <c r="D59" i="45"/>
  <c r="D58" i="49"/>
  <c r="D54" i="49"/>
  <c r="D34" i="43"/>
  <c r="E32" i="53"/>
  <c r="E29" i="43"/>
  <c r="F27" i="53"/>
  <c r="F28" i="43"/>
  <c r="G26" i="53"/>
  <c r="F37" i="43"/>
  <c r="G35" i="53"/>
  <c r="G34" i="43"/>
  <c r="H32" i="53"/>
  <c r="J28" i="43"/>
  <c r="K26" i="53"/>
  <c r="J37" i="43"/>
  <c r="K35" i="53"/>
  <c r="K34" i="43"/>
  <c r="L32" i="53"/>
  <c r="M29" i="43"/>
  <c r="N27" i="53"/>
  <c r="N144" i="51"/>
  <c r="O114" i="51"/>
  <c r="N129" i="51"/>
  <c r="O31" i="53"/>
  <c r="O33" i="53" s="1"/>
  <c r="N51" i="47"/>
  <c r="N43" i="47"/>
  <c r="M148" i="51"/>
  <c r="M133" i="51"/>
  <c r="N118" i="51"/>
  <c r="M147" i="51"/>
  <c r="M132" i="51"/>
  <c r="N117" i="51"/>
  <c r="M145" i="51"/>
  <c r="N115" i="51"/>
  <c r="M142" i="51"/>
  <c r="M127" i="51"/>
  <c r="N112" i="51"/>
  <c r="M144" i="51"/>
  <c r="N114" i="51"/>
  <c r="M129" i="51"/>
  <c r="M146" i="51"/>
  <c r="N116" i="51"/>
  <c r="M131" i="51"/>
  <c r="M57" i="49"/>
  <c r="M49" i="47"/>
  <c r="M25" i="42"/>
  <c r="M41" i="49"/>
  <c r="M47" i="47"/>
  <c r="M53" i="49"/>
  <c r="M42" i="47"/>
  <c r="N25" i="53"/>
  <c r="M43" i="47"/>
  <c r="N31" i="53"/>
  <c r="M51" i="47"/>
  <c r="L149" i="51"/>
  <c r="L164" i="51" s="1"/>
  <c r="M119" i="51"/>
  <c r="L134" i="51"/>
  <c r="L147" i="51"/>
  <c r="M117" i="51"/>
  <c r="L132" i="51"/>
  <c r="L150" i="51"/>
  <c r="L135" i="51"/>
  <c r="M120" i="51"/>
  <c r="L57" i="49"/>
  <c r="L49" i="47"/>
  <c r="L47" i="47"/>
  <c r="L25" i="42"/>
  <c r="L53" i="49"/>
  <c r="L42" i="47"/>
  <c r="L41" i="49"/>
  <c r="L51" i="47"/>
  <c r="L52" i="47"/>
  <c r="L43" i="47"/>
  <c r="M31" i="53"/>
  <c r="K147" i="51"/>
  <c r="K132" i="51"/>
  <c r="L117" i="51"/>
  <c r="K150" i="51"/>
  <c r="L120" i="51"/>
  <c r="K135" i="51"/>
  <c r="K144" i="51"/>
  <c r="K129" i="51"/>
  <c r="L114" i="51"/>
  <c r="K148" i="51"/>
  <c r="L118" i="51"/>
  <c r="K149" i="51"/>
  <c r="K134" i="51"/>
  <c r="L119" i="51"/>
  <c r="K80" i="51"/>
  <c r="K81" i="51"/>
  <c r="L126" i="51" s="1"/>
  <c r="K24" i="42"/>
  <c r="K55" i="49"/>
  <c r="L25" i="53"/>
  <c r="K53" i="47"/>
  <c r="K51" i="47"/>
  <c r="L31" i="53"/>
  <c r="K43" i="47"/>
  <c r="J142" i="51"/>
  <c r="K112" i="51"/>
  <c r="J147" i="51"/>
  <c r="K117" i="51"/>
  <c r="J150" i="51"/>
  <c r="J165" i="51" s="1"/>
  <c r="K120" i="51"/>
  <c r="J49" i="47"/>
  <c r="J57" i="49"/>
  <c r="J47" i="47"/>
  <c r="J41" i="49"/>
  <c r="J42" i="47"/>
  <c r="J25" i="42"/>
  <c r="J53" i="49"/>
  <c r="K31" i="53"/>
  <c r="J51" i="47"/>
  <c r="J43" i="47"/>
  <c r="I83" i="51"/>
  <c r="J128" i="51" s="1"/>
  <c r="Y35" i="51"/>
  <c r="I84" i="51"/>
  <c r="J129" i="51" s="1"/>
  <c r="Y36" i="51"/>
  <c r="I87" i="51"/>
  <c r="J132" i="51" s="1"/>
  <c r="Y39" i="51"/>
  <c r="I81" i="51"/>
  <c r="J126" i="51" s="1"/>
  <c r="Y33" i="51"/>
  <c r="Y41" i="51"/>
  <c r="I89" i="51"/>
  <c r="J134" i="51" s="1"/>
  <c r="I24" i="42"/>
  <c r="C22" i="51"/>
  <c r="I80" i="51"/>
  <c r="I86" i="51"/>
  <c r="C32" i="51"/>
  <c r="Y38" i="51"/>
  <c r="I57" i="49"/>
  <c r="I49" i="47"/>
  <c r="C20" i="54"/>
  <c r="I41" i="49"/>
  <c r="I47" i="47"/>
  <c r="I53" i="49"/>
  <c r="I42" i="47"/>
  <c r="I25" i="42"/>
  <c r="I58" i="45"/>
  <c r="J25" i="53"/>
  <c r="H90" i="51"/>
  <c r="AC57" i="51"/>
  <c r="AC42" i="51"/>
  <c r="H83" i="51"/>
  <c r="AC35" i="51"/>
  <c r="AC50" i="51"/>
  <c r="H84" i="51"/>
  <c r="AC51" i="51"/>
  <c r="AC36" i="51"/>
  <c r="H58" i="45"/>
  <c r="H85" i="51"/>
  <c r="AC52" i="51"/>
  <c r="AC37" i="51"/>
  <c r="H55" i="49"/>
  <c r="G150" i="51"/>
  <c r="H120" i="51"/>
  <c r="G135" i="51"/>
  <c r="G64" i="45"/>
  <c r="G60" i="45"/>
  <c r="G149" i="51"/>
  <c r="H119" i="51"/>
  <c r="G56" i="49"/>
  <c r="G48" i="47"/>
  <c r="F57" i="45"/>
  <c r="F48" i="47"/>
  <c r="F56" i="49"/>
  <c r="G25" i="53"/>
  <c r="E58" i="45"/>
  <c r="E150" i="51"/>
  <c r="F120" i="51"/>
  <c r="E135" i="51"/>
  <c r="E141" i="51"/>
  <c r="F111" i="51"/>
  <c r="E146" i="51"/>
  <c r="F116" i="51"/>
  <c r="E131" i="51"/>
  <c r="E143" i="51"/>
  <c r="F113" i="51"/>
  <c r="E80" i="51"/>
  <c r="E88" i="51"/>
  <c r="F133" i="51" s="1"/>
  <c r="E24" i="42"/>
  <c r="E57" i="49"/>
  <c r="E49" i="47"/>
  <c r="E42" i="47"/>
  <c r="E25" i="42"/>
  <c r="E41" i="49"/>
  <c r="E47" i="47"/>
  <c r="E53" i="49"/>
  <c r="E53" i="47"/>
  <c r="F31" i="53"/>
  <c r="E51" i="47"/>
  <c r="E43" i="47"/>
  <c r="D148" i="51"/>
  <c r="E118" i="51"/>
  <c r="D46" i="45"/>
  <c r="D81" i="51"/>
  <c r="D146" i="51"/>
  <c r="E116" i="51"/>
  <c r="D83" i="51"/>
  <c r="E128" i="51" s="1"/>
  <c r="D48" i="45"/>
  <c r="D150" i="51"/>
  <c r="E120" i="51"/>
  <c r="D145" i="51"/>
  <c r="E115" i="51"/>
  <c r="D147" i="51"/>
  <c r="E117" i="51"/>
  <c r="D80" i="51"/>
  <c r="E75" i="51" s="1"/>
  <c r="D89" i="51"/>
  <c r="E134" i="51" s="1"/>
  <c r="D24" i="42"/>
  <c r="D57" i="49"/>
  <c r="D49" i="47"/>
  <c r="D57" i="47" s="1"/>
  <c r="D41" i="49"/>
  <c r="G73" i="32"/>
  <c r="D42" i="47"/>
  <c r="D25" i="42"/>
  <c r="D51" i="47"/>
  <c r="E23" i="53"/>
  <c r="F23" i="53"/>
  <c r="F29" i="43"/>
  <c r="G27" i="53"/>
  <c r="G28" i="43"/>
  <c r="H26" i="53"/>
  <c r="G37" i="43"/>
  <c r="H35" i="53"/>
  <c r="J29" i="43"/>
  <c r="K27" i="53"/>
  <c r="K28" i="43"/>
  <c r="L26" i="53"/>
  <c r="K37" i="43"/>
  <c r="L35" i="53"/>
  <c r="L34" i="43"/>
  <c r="M32" i="53"/>
  <c r="N23" i="53"/>
  <c r="E30" i="42"/>
  <c r="E29" i="52"/>
  <c r="O148" i="51"/>
  <c r="O163" i="51" s="1"/>
  <c r="O133" i="51"/>
  <c r="O55" i="49"/>
  <c r="N142" i="51"/>
  <c r="O112" i="51"/>
  <c r="N127" i="51"/>
  <c r="O25" i="53"/>
  <c r="M150" i="51"/>
  <c r="M135" i="51"/>
  <c r="N120" i="51"/>
  <c r="O149" i="51"/>
  <c r="O134" i="51"/>
  <c r="O147" i="51"/>
  <c r="O132" i="51"/>
  <c r="O145" i="51"/>
  <c r="O130" i="51"/>
  <c r="O58" i="49"/>
  <c r="O54" i="49"/>
  <c r="P23" i="53"/>
  <c r="N149" i="51"/>
  <c r="O119" i="51"/>
  <c r="N134" i="51"/>
  <c r="N58" i="49"/>
  <c r="N54" i="49"/>
  <c r="N52" i="47"/>
  <c r="M56" i="49"/>
  <c r="M48" i="47"/>
  <c r="L48" i="47"/>
  <c r="L56" i="49"/>
  <c r="K146" i="51"/>
  <c r="K131" i="51"/>
  <c r="L116" i="51"/>
  <c r="K58" i="49"/>
  <c r="K54" i="49"/>
  <c r="J144" i="51"/>
  <c r="K114" i="51"/>
  <c r="J145" i="51"/>
  <c r="K115" i="51"/>
  <c r="J149" i="51"/>
  <c r="K119" i="51"/>
  <c r="J56" i="49"/>
  <c r="J48" i="47"/>
  <c r="I48" i="47"/>
  <c r="I56" i="49"/>
  <c r="J23" i="53"/>
  <c r="AC56" i="51"/>
  <c r="H89" i="51"/>
  <c r="AC41" i="51"/>
  <c r="H58" i="49"/>
  <c r="H54" i="49"/>
  <c r="I23" i="53"/>
  <c r="H43" i="47"/>
  <c r="H51" i="47"/>
  <c r="I31" i="53"/>
  <c r="I33" i="53" s="1"/>
  <c r="G142" i="51"/>
  <c r="G127" i="51"/>
  <c r="H112" i="51"/>
  <c r="G141" i="51"/>
  <c r="G126" i="51"/>
  <c r="H111" i="51"/>
  <c r="G145" i="51"/>
  <c r="G130" i="51"/>
  <c r="H115" i="51"/>
  <c r="G148" i="51"/>
  <c r="G133" i="51"/>
  <c r="H118" i="51"/>
  <c r="G147" i="51"/>
  <c r="H117" i="51"/>
  <c r="G132" i="51"/>
  <c r="G146" i="51"/>
  <c r="H116" i="51"/>
  <c r="G131" i="51"/>
  <c r="G144" i="51"/>
  <c r="G129" i="51"/>
  <c r="H114" i="51"/>
  <c r="G83" i="51"/>
  <c r="G24" i="42"/>
  <c r="G80" i="51"/>
  <c r="G55" i="49"/>
  <c r="G53" i="47"/>
  <c r="G51" i="47"/>
  <c r="H25" i="53"/>
  <c r="F142" i="51"/>
  <c r="F157" i="51" s="1"/>
  <c r="F127" i="51"/>
  <c r="G112" i="51"/>
  <c r="F148" i="51"/>
  <c r="G118" i="51"/>
  <c r="F150" i="51"/>
  <c r="G120" i="51"/>
  <c r="F135" i="51"/>
  <c r="F146" i="51"/>
  <c r="G116" i="51"/>
  <c r="F131" i="51"/>
  <c r="F24" i="42"/>
  <c r="F80" i="51"/>
  <c r="F89" i="51"/>
  <c r="G134" i="51" s="1"/>
  <c r="F55" i="49"/>
  <c r="E149" i="51"/>
  <c r="F119" i="51"/>
  <c r="E147" i="51"/>
  <c r="E132" i="51"/>
  <c r="F117" i="51"/>
  <c r="E56" i="49"/>
  <c r="E48" i="47"/>
  <c r="D144" i="51"/>
  <c r="D159" i="51" s="1"/>
  <c r="E114" i="51"/>
  <c r="D56" i="49"/>
  <c r="D48" i="47"/>
  <c r="D56" i="47" s="1"/>
  <c r="D28" i="43"/>
  <c r="E26" i="53"/>
  <c r="D29" i="43"/>
  <c r="E27" i="53"/>
  <c r="E34" i="43"/>
  <c r="F32" i="53"/>
  <c r="G29" i="43"/>
  <c r="H27" i="53"/>
  <c r="K23" i="53"/>
  <c r="K29" i="43"/>
  <c r="L27" i="53"/>
  <c r="L28" i="43"/>
  <c r="M26" i="53"/>
  <c r="L37" i="43"/>
  <c r="M35" i="53"/>
  <c r="M34" i="43"/>
  <c r="N32" i="53"/>
  <c r="G49" i="32"/>
  <c r="D43" i="47"/>
  <c r="D45" i="47" s="1"/>
  <c r="D58" i="47" s="1"/>
  <c r="O31" i="42"/>
  <c r="O30" i="52"/>
  <c r="G31" i="42"/>
  <c r="G30" i="52"/>
  <c r="E31" i="42"/>
  <c r="E30" i="52"/>
  <c r="O30" i="42"/>
  <c r="O29" i="52"/>
  <c r="M30" i="42"/>
  <c r="M33" i="42" s="1"/>
  <c r="M29" i="52"/>
  <c r="K30" i="42"/>
  <c r="K29" i="52"/>
  <c r="G30" i="42"/>
  <c r="G29" i="52"/>
  <c r="N147" i="51"/>
  <c r="O117" i="51"/>
  <c r="N132" i="51"/>
  <c r="N55" i="49"/>
  <c r="M143" i="51"/>
  <c r="N113" i="51"/>
  <c r="M128" i="51"/>
  <c r="N37" i="42"/>
  <c r="N33" i="59" s="1"/>
  <c r="D33" i="60" s="1"/>
  <c r="N36" i="52"/>
  <c r="L37" i="42"/>
  <c r="L36" i="52"/>
  <c r="J37" i="42"/>
  <c r="J33" i="59" s="1"/>
  <c r="J36" i="52"/>
  <c r="G36" i="39" s="1"/>
  <c r="F37" i="42"/>
  <c r="F33" i="59" s="1"/>
  <c r="F36" i="52"/>
  <c r="D37" i="42"/>
  <c r="D36" i="52"/>
  <c r="N36" i="42"/>
  <c r="N32" i="59" s="1"/>
  <c r="N35" i="52"/>
  <c r="L36" i="42"/>
  <c r="L35" i="52"/>
  <c r="J36" i="42"/>
  <c r="J32" i="59" s="1"/>
  <c r="J35" i="52"/>
  <c r="G35" i="39" s="1"/>
  <c r="F32" i="42"/>
  <c r="F31" i="52"/>
  <c r="D32" i="42"/>
  <c r="D31" i="52"/>
  <c r="N31" i="42"/>
  <c r="N30" i="52"/>
  <c r="L31" i="42"/>
  <c r="L30" i="52"/>
  <c r="J31" i="42"/>
  <c r="J30" i="52"/>
  <c r="G30" i="39" s="1"/>
  <c r="F31" i="42"/>
  <c r="F30" i="52"/>
  <c r="D31" i="42"/>
  <c r="D30" i="52"/>
  <c r="N30" i="42"/>
  <c r="N29" i="52"/>
  <c r="L30" i="42"/>
  <c r="L29" i="52"/>
  <c r="J30" i="42"/>
  <c r="J29" i="52"/>
  <c r="F30" i="42"/>
  <c r="F29" i="52"/>
  <c r="N145" i="51"/>
  <c r="O115" i="51"/>
  <c r="N130" i="51"/>
  <c r="N143" i="51"/>
  <c r="N128" i="51"/>
  <c r="O113" i="51"/>
  <c r="N150" i="51"/>
  <c r="N135" i="51"/>
  <c r="O120" i="51"/>
  <c r="N148" i="51"/>
  <c r="O118" i="51"/>
  <c r="N133" i="51"/>
  <c r="N86" i="51"/>
  <c r="N24" i="42"/>
  <c r="N80" i="51"/>
  <c r="N49" i="47"/>
  <c r="N57" i="49"/>
  <c r="N47" i="47"/>
  <c r="N41" i="49"/>
  <c r="N42" i="47"/>
  <c r="N53" i="49"/>
  <c r="N25" i="42"/>
  <c r="M149" i="51"/>
  <c r="M134" i="51"/>
  <c r="N119" i="51"/>
  <c r="M81" i="51"/>
  <c r="N126" i="51" s="1"/>
  <c r="M24" i="42"/>
  <c r="M80" i="51"/>
  <c r="M55" i="49"/>
  <c r="L141" i="51"/>
  <c r="M111" i="51"/>
  <c r="L146" i="51"/>
  <c r="L131" i="51"/>
  <c r="M116" i="51"/>
  <c r="L142" i="51"/>
  <c r="L127" i="51"/>
  <c r="M112" i="51"/>
  <c r="L143" i="51"/>
  <c r="M113" i="51"/>
  <c r="L128" i="51"/>
  <c r="L144" i="51"/>
  <c r="L129" i="51"/>
  <c r="M114" i="51"/>
  <c r="L80" i="51"/>
  <c r="L24" i="42"/>
  <c r="L85" i="51"/>
  <c r="M130" i="51" s="1"/>
  <c r="L55" i="49"/>
  <c r="M25" i="53"/>
  <c r="K142" i="51"/>
  <c r="L112" i="51"/>
  <c r="K127" i="51"/>
  <c r="K143" i="51"/>
  <c r="K158" i="51" s="1"/>
  <c r="K128" i="51"/>
  <c r="L113" i="51"/>
  <c r="K49" i="47"/>
  <c r="K57" i="49"/>
  <c r="K53" i="49"/>
  <c r="K25" i="42"/>
  <c r="K47" i="47"/>
  <c r="K41" i="49"/>
  <c r="K42" i="47"/>
  <c r="J141" i="51"/>
  <c r="K111" i="51"/>
  <c r="J143" i="51"/>
  <c r="K113" i="51"/>
  <c r="J24" i="42"/>
  <c r="J88" i="51"/>
  <c r="J80" i="51"/>
  <c r="J55" i="49"/>
  <c r="K25" i="53"/>
  <c r="Y34" i="51"/>
  <c r="I82" i="51"/>
  <c r="J127" i="51" s="1"/>
  <c r="I90" i="51"/>
  <c r="Y42" i="51"/>
  <c r="I55" i="49"/>
  <c r="I53" i="47"/>
  <c r="J31" i="53"/>
  <c r="J33" i="53" s="1"/>
  <c r="I51" i="47"/>
  <c r="I43" i="47"/>
  <c r="H87" i="51"/>
  <c r="AC54" i="51"/>
  <c r="AC39" i="51"/>
  <c r="H82" i="51"/>
  <c r="AC49" i="51"/>
  <c r="AC34" i="51"/>
  <c r="H81" i="51"/>
  <c r="H80" i="51"/>
  <c r="AC48" i="51"/>
  <c r="AC33" i="51"/>
  <c r="D24" i="51"/>
  <c r="H24" i="42"/>
  <c r="H57" i="49"/>
  <c r="H49" i="47"/>
  <c r="D22" i="54"/>
  <c r="H25" i="42"/>
  <c r="H41" i="49"/>
  <c r="H42" i="47"/>
  <c r="H53" i="49"/>
  <c r="H47" i="47"/>
  <c r="I25" i="53"/>
  <c r="G58" i="49"/>
  <c r="G54" i="49"/>
  <c r="F147" i="51"/>
  <c r="F132" i="51"/>
  <c r="G117" i="51"/>
  <c r="F58" i="49"/>
  <c r="F54" i="49"/>
  <c r="F53" i="47"/>
  <c r="F43" i="47"/>
  <c r="F45" i="47" s="1"/>
  <c r="F58" i="47" s="1"/>
  <c r="G31" i="53"/>
  <c r="F51" i="47"/>
  <c r="E145" i="51"/>
  <c r="E130" i="51"/>
  <c r="F115" i="51"/>
  <c r="E142" i="51"/>
  <c r="F112" i="51"/>
  <c r="E144" i="51"/>
  <c r="E129" i="51"/>
  <c r="F114" i="51"/>
  <c r="E55" i="49"/>
  <c r="D82" i="51"/>
  <c r="E127" i="51" s="1"/>
  <c r="D47" i="45"/>
  <c r="D55" i="49"/>
  <c r="D37" i="43"/>
  <c r="E35" i="53"/>
  <c r="E28" i="43"/>
  <c r="F26" i="53"/>
  <c r="E37" i="43"/>
  <c r="F35" i="53"/>
  <c r="F34" i="43"/>
  <c r="G32" i="53"/>
  <c r="H23" i="53"/>
  <c r="J34" i="43"/>
  <c r="K32" i="53"/>
  <c r="L23" i="53"/>
  <c r="L29" i="43"/>
  <c r="M27" i="53"/>
  <c r="M28" i="43"/>
  <c r="N26" i="53"/>
  <c r="M37" i="43"/>
  <c r="N35" i="53"/>
  <c r="E31" i="53"/>
  <c r="D46" i="44"/>
  <c r="O60" i="45"/>
  <c r="K61" i="45"/>
  <c r="I64" i="45"/>
  <c r="I66" i="45"/>
  <c r="I65" i="45"/>
  <c r="G61" i="45"/>
  <c r="F63" i="45"/>
  <c r="E66" i="45"/>
  <c r="D64" i="45"/>
  <c r="D62" i="45"/>
  <c r="D60" i="45"/>
  <c r="D65" i="45"/>
  <c r="D33" i="43"/>
  <c r="D27" i="43"/>
  <c r="P29" i="32"/>
  <c r="M53" i="45"/>
  <c r="O29" i="32"/>
  <c r="L53" i="45"/>
  <c r="N26" i="32"/>
  <c r="K50" i="45"/>
  <c r="M27" i="32"/>
  <c r="J51" i="45"/>
  <c r="K27" i="32"/>
  <c r="H51" i="45"/>
  <c r="K29" i="32"/>
  <c r="H53" i="45"/>
  <c r="F25" i="43"/>
  <c r="D27" i="40"/>
  <c r="I29" i="43"/>
  <c r="D29" i="39"/>
  <c r="I30" i="42"/>
  <c r="R31" i="32"/>
  <c r="O55" i="45"/>
  <c r="R29" i="32"/>
  <c r="O53" i="45"/>
  <c r="O65" i="45"/>
  <c r="O58" i="45"/>
  <c r="Q25" i="32"/>
  <c r="N49" i="45"/>
  <c r="Q23" i="32"/>
  <c r="N47" i="45"/>
  <c r="Q28" i="32"/>
  <c r="N52" i="45"/>
  <c r="N27" i="43"/>
  <c r="N36" i="44"/>
  <c r="N42" i="45"/>
  <c r="N57" i="45"/>
  <c r="N46" i="44"/>
  <c r="N33" i="43"/>
  <c r="P28" i="32"/>
  <c r="M52" i="45"/>
  <c r="P26" i="32"/>
  <c r="M50" i="45"/>
  <c r="P23" i="32"/>
  <c r="M47" i="45"/>
  <c r="P25" i="32"/>
  <c r="M49" i="45"/>
  <c r="P27" i="32"/>
  <c r="M51" i="45"/>
  <c r="M40" i="44"/>
  <c r="M47" i="44"/>
  <c r="M36" i="44"/>
  <c r="M42" i="45"/>
  <c r="M60" i="45"/>
  <c r="M27" i="43"/>
  <c r="M46" i="44"/>
  <c r="M33" i="43"/>
  <c r="O30" i="32"/>
  <c r="L54" i="45"/>
  <c r="O28" i="32"/>
  <c r="L52" i="45"/>
  <c r="O31" i="32"/>
  <c r="L55" i="45"/>
  <c r="L40" i="44"/>
  <c r="L47" i="44"/>
  <c r="L64" i="45"/>
  <c r="L46" i="44"/>
  <c r="L33" i="43"/>
  <c r="N28" i="32"/>
  <c r="K52" i="45"/>
  <c r="N31" i="32"/>
  <c r="K55" i="45"/>
  <c r="N25" i="32"/>
  <c r="K49" i="45"/>
  <c r="N29" i="32"/>
  <c r="K53" i="45"/>
  <c r="N30" i="32"/>
  <c r="K54" i="45"/>
  <c r="N22" i="32"/>
  <c r="K35" i="44"/>
  <c r="K41" i="45"/>
  <c r="K46" i="45"/>
  <c r="K26" i="32"/>
  <c r="H50" i="45"/>
  <c r="J31" i="32"/>
  <c r="G55" i="45"/>
  <c r="J30" i="32"/>
  <c r="G54" i="45"/>
  <c r="H22" i="32"/>
  <c r="E46" i="45"/>
  <c r="H27" i="32"/>
  <c r="E51" i="45"/>
  <c r="H24" i="32"/>
  <c r="E48" i="45"/>
  <c r="E53" i="45"/>
  <c r="E35" i="44"/>
  <c r="E41" i="45"/>
  <c r="E47" i="44"/>
  <c r="E40" i="44"/>
  <c r="E46" i="44"/>
  <c r="E33" i="43"/>
  <c r="G29" i="32"/>
  <c r="D53" i="45"/>
  <c r="D75" i="45" s="1"/>
  <c r="G22" i="32"/>
  <c r="G27" i="32"/>
  <c r="D51" i="45"/>
  <c r="G24" i="32"/>
  <c r="G31" i="32"/>
  <c r="D55" i="45"/>
  <c r="G26" i="32"/>
  <c r="D50" i="45"/>
  <c r="D72" i="45" s="1"/>
  <c r="G28" i="32"/>
  <c r="D52" i="45"/>
  <c r="D35" i="44"/>
  <c r="D54" i="45"/>
  <c r="D76" i="45" s="1"/>
  <c r="D41" i="45"/>
  <c r="D40" i="44"/>
  <c r="D47" i="44"/>
  <c r="D25" i="43"/>
  <c r="E25" i="43"/>
  <c r="E32" i="40"/>
  <c r="H34" i="43"/>
  <c r="M25" i="43"/>
  <c r="D42" i="45"/>
  <c r="R30" i="32"/>
  <c r="O54" i="45"/>
  <c r="O59" i="45"/>
  <c r="R28" i="32"/>
  <c r="O52" i="45"/>
  <c r="R26" i="32"/>
  <c r="O50" i="45"/>
  <c r="O25" i="43"/>
  <c r="O45" i="59" s="1"/>
  <c r="Q30" i="32"/>
  <c r="N54" i="45"/>
  <c r="N62" i="45"/>
  <c r="M65" i="45"/>
  <c r="M57" i="45"/>
  <c r="M62" i="45"/>
  <c r="L61" i="45"/>
  <c r="N27" i="32"/>
  <c r="K51" i="45"/>
  <c r="M25" i="32"/>
  <c r="J49" i="45"/>
  <c r="M26" i="32"/>
  <c r="J50" i="45"/>
  <c r="M30" i="32"/>
  <c r="J54" i="45"/>
  <c r="I25" i="43"/>
  <c r="K30" i="32"/>
  <c r="H54" i="45"/>
  <c r="H62" i="45"/>
  <c r="H64" i="45"/>
  <c r="H57" i="45"/>
  <c r="H25" i="43"/>
  <c r="H46" i="44"/>
  <c r="H33" i="43"/>
  <c r="J23" i="32"/>
  <c r="G47" i="45"/>
  <c r="J22" i="32"/>
  <c r="G46" i="45"/>
  <c r="J26" i="32"/>
  <c r="G50" i="45"/>
  <c r="J29" i="32"/>
  <c r="G53" i="45"/>
  <c r="J28" i="32"/>
  <c r="G52" i="45"/>
  <c r="J27" i="32"/>
  <c r="G51" i="45"/>
  <c r="J25" i="32"/>
  <c r="G49" i="45"/>
  <c r="G57" i="45"/>
  <c r="J24" i="32"/>
  <c r="G41" i="45"/>
  <c r="G35" i="44"/>
  <c r="G48" i="45"/>
  <c r="G65" i="45"/>
  <c r="G66" i="45"/>
  <c r="G27" i="43"/>
  <c r="G42" i="45"/>
  <c r="G36" i="44"/>
  <c r="I23" i="32"/>
  <c r="F47" i="45"/>
  <c r="I29" i="32"/>
  <c r="F53" i="45"/>
  <c r="I31" i="32"/>
  <c r="F55" i="45"/>
  <c r="I27" i="32"/>
  <c r="F51" i="45"/>
  <c r="I30" i="32"/>
  <c r="F35" i="44"/>
  <c r="F54" i="45"/>
  <c r="F41" i="45"/>
  <c r="F66" i="45"/>
  <c r="E61" i="45"/>
  <c r="H30" i="32"/>
  <c r="E54" i="45"/>
  <c r="H28" i="32"/>
  <c r="E52" i="45"/>
  <c r="G25" i="32"/>
  <c r="D49" i="45"/>
  <c r="E26" i="40"/>
  <c r="H28" i="43"/>
  <c r="E35" i="40"/>
  <c r="H37" i="43"/>
  <c r="D32" i="40"/>
  <c r="I34" i="43"/>
  <c r="J25" i="43"/>
  <c r="N25" i="43"/>
  <c r="L25" i="43"/>
  <c r="L29" i="32"/>
  <c r="I53" i="45"/>
  <c r="L26" i="32"/>
  <c r="I50" i="45"/>
  <c r="G40" i="44"/>
  <c r="G47" i="44"/>
  <c r="G46" i="44"/>
  <c r="G33" i="43"/>
  <c r="I25" i="32"/>
  <c r="F49" i="45"/>
  <c r="I26" i="32"/>
  <c r="F50" i="45"/>
  <c r="I22" i="32"/>
  <c r="F46" i="45"/>
  <c r="I24" i="32"/>
  <c r="F48" i="45"/>
  <c r="F40" i="44"/>
  <c r="F47" i="44"/>
  <c r="E36" i="44"/>
  <c r="E64" i="45"/>
  <c r="E27" i="43"/>
  <c r="E42" i="45"/>
  <c r="G11" i="32"/>
  <c r="D57" i="45"/>
  <c r="D63" i="45"/>
  <c r="D31" i="39"/>
  <c r="I32" i="42"/>
  <c r="D30" i="39"/>
  <c r="I31" i="42"/>
  <c r="R25" i="32"/>
  <c r="O49" i="45"/>
  <c r="N64" i="45"/>
  <c r="P24" i="32"/>
  <c r="M48" i="45"/>
  <c r="P31" i="32"/>
  <c r="M55" i="45"/>
  <c r="K57" i="45"/>
  <c r="K42" i="45"/>
  <c r="K58" i="45"/>
  <c r="K36" i="44"/>
  <c r="K27" i="43"/>
  <c r="K46" i="44"/>
  <c r="K33" i="43"/>
  <c r="M23" i="32"/>
  <c r="J47" i="45"/>
  <c r="M28" i="32"/>
  <c r="J52" i="45"/>
  <c r="M31" i="32"/>
  <c r="J55" i="45"/>
  <c r="J61" i="45"/>
  <c r="J40" i="44"/>
  <c r="J47" i="44"/>
  <c r="J33" i="43"/>
  <c r="J46" i="44"/>
  <c r="L24" i="32"/>
  <c r="I48" i="45"/>
  <c r="L25" i="32"/>
  <c r="I49" i="45"/>
  <c r="L28" i="32"/>
  <c r="I52" i="45"/>
  <c r="L22" i="32"/>
  <c r="I46" i="45"/>
  <c r="L30" i="32"/>
  <c r="I54" i="45"/>
  <c r="I41" i="45"/>
  <c r="I51" i="45"/>
  <c r="I35" i="44"/>
  <c r="I47" i="44"/>
  <c r="I40" i="44"/>
  <c r="I42" i="45"/>
  <c r="I36" i="44"/>
  <c r="I62" i="45"/>
  <c r="I27" i="43"/>
  <c r="K31" i="32"/>
  <c r="H55" i="45"/>
  <c r="K24" i="32"/>
  <c r="H48" i="45"/>
  <c r="K25" i="32"/>
  <c r="H49" i="45"/>
  <c r="F62" i="45"/>
  <c r="F36" i="44"/>
  <c r="F27" i="43"/>
  <c r="F42" i="45"/>
  <c r="F60" i="45"/>
  <c r="H31" i="32"/>
  <c r="E55" i="45"/>
  <c r="E36" i="39"/>
  <c r="H37" i="42"/>
  <c r="E35" i="39"/>
  <c r="H36" i="42"/>
  <c r="H32" i="59" s="1"/>
  <c r="E31" i="39"/>
  <c r="H32" i="42"/>
  <c r="E30" i="39"/>
  <c r="H31" i="42"/>
  <c r="E29" i="39"/>
  <c r="H30" i="42"/>
  <c r="R23" i="32"/>
  <c r="O47" i="45"/>
  <c r="R24" i="32"/>
  <c r="O48" i="45"/>
  <c r="R27" i="32"/>
  <c r="O51" i="45"/>
  <c r="R22" i="32"/>
  <c r="O35" i="44"/>
  <c r="O46" i="45"/>
  <c r="O41" i="45"/>
  <c r="O40" i="44"/>
  <c r="O47" i="44"/>
  <c r="O33" i="43"/>
  <c r="O46" i="44"/>
  <c r="O36" i="44"/>
  <c r="O42" i="45"/>
  <c r="O27" i="43"/>
  <c r="O61" i="45"/>
  <c r="Q22" i="32"/>
  <c r="N46" i="45"/>
  <c r="Q26" i="32"/>
  <c r="N50" i="45"/>
  <c r="Q24" i="32"/>
  <c r="N48" i="45"/>
  <c r="Q31" i="32"/>
  <c r="N55" i="45"/>
  <c r="Q29" i="32"/>
  <c r="N53" i="45"/>
  <c r="Q27" i="32"/>
  <c r="N41" i="45"/>
  <c r="N51" i="45"/>
  <c r="N35" i="44"/>
  <c r="N47" i="44"/>
  <c r="N40" i="44"/>
  <c r="P30" i="32"/>
  <c r="M54" i="45"/>
  <c r="P22" i="32"/>
  <c r="M35" i="44"/>
  <c r="M46" i="45"/>
  <c r="M41" i="45"/>
  <c r="M63" i="45"/>
  <c r="O22" i="32"/>
  <c r="L46" i="45"/>
  <c r="O27" i="32"/>
  <c r="L51" i="45"/>
  <c r="O23" i="32"/>
  <c r="L47" i="45"/>
  <c r="O24" i="32"/>
  <c r="L48" i="45"/>
  <c r="O25" i="32"/>
  <c r="L49" i="45"/>
  <c r="L59" i="45"/>
  <c r="O26" i="32"/>
  <c r="L41" i="45"/>
  <c r="L35" i="44"/>
  <c r="L50" i="45"/>
  <c r="L63" i="45"/>
  <c r="L36" i="44"/>
  <c r="L27" i="43"/>
  <c r="L65" i="45"/>
  <c r="L42" i="45"/>
  <c r="N23" i="32"/>
  <c r="K47" i="45"/>
  <c r="K60" i="45"/>
  <c r="N24" i="32"/>
  <c r="K48" i="45"/>
  <c r="K47" i="44"/>
  <c r="K40" i="44"/>
  <c r="M22" i="32"/>
  <c r="J46" i="45"/>
  <c r="M24" i="32"/>
  <c r="J48" i="45"/>
  <c r="J62" i="45"/>
  <c r="M29" i="32"/>
  <c r="J53" i="45"/>
  <c r="J35" i="44"/>
  <c r="J41" i="45"/>
  <c r="J58" i="45"/>
  <c r="J59" i="45"/>
  <c r="J64" i="45"/>
  <c r="J42" i="45"/>
  <c r="J60" i="45"/>
  <c r="J36" i="44"/>
  <c r="J27" i="43"/>
  <c r="L23" i="32"/>
  <c r="I47" i="45"/>
  <c r="L31" i="32"/>
  <c r="I55" i="45"/>
  <c r="I57" i="45"/>
  <c r="I46" i="44"/>
  <c r="I33" i="43"/>
  <c r="I27" i="59" s="1"/>
  <c r="K28" i="32"/>
  <c r="H52" i="45"/>
  <c r="K23" i="32"/>
  <c r="H47" i="45"/>
  <c r="H61" i="45"/>
  <c r="H41" i="45"/>
  <c r="H46" i="45"/>
  <c r="H35" i="44"/>
  <c r="H40" i="44"/>
  <c r="H47" i="44"/>
  <c r="H42" i="45"/>
  <c r="H66" i="45"/>
  <c r="H27" i="43"/>
  <c r="H36" i="44"/>
  <c r="G58" i="45"/>
  <c r="G63" i="45"/>
  <c r="F61" i="45"/>
  <c r="I28" i="32"/>
  <c r="F52" i="45"/>
  <c r="F59" i="45"/>
  <c r="F46" i="44"/>
  <c r="F33" i="43"/>
  <c r="H26" i="32"/>
  <c r="E50" i="45"/>
  <c r="H23" i="32"/>
  <c r="E47" i="45"/>
  <c r="H25" i="32"/>
  <c r="E49" i="45"/>
  <c r="G23" i="32"/>
  <c r="G25" i="43"/>
  <c r="E27" i="40"/>
  <c r="H29" i="43"/>
  <c r="D26" i="40"/>
  <c r="I28" i="43"/>
  <c r="D35" i="40"/>
  <c r="I37" i="43"/>
  <c r="K25" i="43"/>
  <c r="D36" i="44"/>
  <c r="D38" i="44" s="1"/>
  <c r="D12" i="31"/>
  <c r="E17" i="31"/>
  <c r="E23" i="31" s="1"/>
  <c r="E29" i="31" s="1"/>
  <c r="E35" i="31" s="1"/>
  <c r="E41" i="31" s="1"/>
  <c r="E47" i="31" s="1"/>
  <c r="E53" i="31" s="1"/>
  <c r="E59" i="31" s="1"/>
  <c r="E65" i="31" s="1"/>
  <c r="E71" i="31" s="1"/>
  <c r="E77" i="31" s="1"/>
  <c r="Q78" i="32"/>
  <c r="P76" i="32"/>
  <c r="L76" i="32"/>
  <c r="K78" i="32"/>
  <c r="R77" i="32"/>
  <c r="J75" i="32"/>
  <c r="I75" i="32"/>
  <c r="G76" i="32"/>
  <c r="M76" i="32"/>
  <c r="R78" i="32"/>
  <c r="O76" i="32"/>
  <c r="N78" i="32"/>
  <c r="N74" i="32"/>
  <c r="H76" i="32"/>
  <c r="R73" i="32"/>
  <c r="Q77" i="32"/>
  <c r="Q73" i="32"/>
  <c r="P75" i="32"/>
  <c r="O75" i="32"/>
  <c r="N77" i="32"/>
  <c r="N73" i="32"/>
  <c r="M75" i="32"/>
  <c r="L75" i="32"/>
  <c r="D31" i="40"/>
  <c r="K22" i="32"/>
  <c r="G25" i="37"/>
  <c r="E23" i="39"/>
  <c r="K77" i="32"/>
  <c r="K73" i="32"/>
  <c r="E24" i="39"/>
  <c r="E25" i="40"/>
  <c r="J78" i="32"/>
  <c r="J74" i="32"/>
  <c r="I78" i="32"/>
  <c r="I74" i="32"/>
  <c r="H75" i="32"/>
  <c r="G75" i="32"/>
  <c r="D36" i="39"/>
  <c r="D35" i="39"/>
  <c r="R74" i="32"/>
  <c r="Q74" i="32"/>
  <c r="D23" i="40"/>
  <c r="K74" i="32"/>
  <c r="E23" i="40"/>
  <c r="E31" i="40"/>
  <c r="R76" i="32"/>
  <c r="Q76" i="32"/>
  <c r="P78" i="32"/>
  <c r="P74" i="32"/>
  <c r="O78" i="32"/>
  <c r="O74" i="32"/>
  <c r="N76" i="32"/>
  <c r="M78" i="32"/>
  <c r="M74" i="32"/>
  <c r="L78" i="32"/>
  <c r="L74" i="32"/>
  <c r="K76" i="32"/>
  <c r="J77" i="32"/>
  <c r="J73" i="32"/>
  <c r="I77" i="32"/>
  <c r="I73" i="32"/>
  <c r="H78" i="32"/>
  <c r="H74" i="32"/>
  <c r="G78" i="32"/>
  <c r="G74" i="32"/>
  <c r="R75" i="32"/>
  <c r="Q75" i="32"/>
  <c r="P77" i="32"/>
  <c r="P73" i="32"/>
  <c r="O77" i="32"/>
  <c r="O73" i="32"/>
  <c r="N75" i="32"/>
  <c r="M77" i="32"/>
  <c r="M73" i="32"/>
  <c r="L27" i="32"/>
  <c r="F22" i="37"/>
  <c r="I24" i="37" s="1"/>
  <c r="L77" i="32"/>
  <c r="L73" i="32"/>
  <c r="D24" i="39"/>
  <c r="H24" i="39" s="1"/>
  <c r="D25" i="40"/>
  <c r="K75" i="32"/>
  <c r="J76" i="32"/>
  <c r="I76" i="32"/>
  <c r="H29" i="32"/>
  <c r="F9" i="35"/>
  <c r="H77" i="32"/>
  <c r="H73" i="32"/>
  <c r="G30" i="32"/>
  <c r="G12" i="35"/>
  <c r="G77" i="32"/>
  <c r="H25" i="37"/>
  <c r="H43" i="37"/>
  <c r="H34" i="37"/>
  <c r="J8" i="22"/>
  <c r="H12" i="35"/>
  <c r="G8" i="22"/>
  <c r="H20" i="35"/>
  <c r="J27" i="24"/>
  <c r="J26" i="24"/>
  <c r="G27" i="24"/>
  <c r="J25" i="24"/>
  <c r="J9" i="26"/>
  <c r="G26" i="24"/>
  <c r="Q54" i="32"/>
  <c r="K54" i="32"/>
  <c r="R54" i="32"/>
  <c r="P54" i="32"/>
  <c r="I54" i="32"/>
  <c r="G54" i="32"/>
  <c r="N54" i="32"/>
  <c r="M54" i="32"/>
  <c r="J54" i="32"/>
  <c r="L54" i="32"/>
  <c r="O54" i="32"/>
  <c r="H54" i="32"/>
  <c r="J55" i="32"/>
  <c r="P55" i="32"/>
  <c r="N55" i="32"/>
  <c r="I55" i="32"/>
  <c r="O55" i="32"/>
  <c r="Q55" i="32"/>
  <c r="K55" i="32"/>
  <c r="M55" i="32"/>
  <c r="L55" i="32"/>
  <c r="G55" i="32"/>
  <c r="H55" i="32"/>
  <c r="R55" i="32"/>
  <c r="J53" i="32"/>
  <c r="I53" i="32"/>
  <c r="M53" i="32"/>
  <c r="Q53" i="32"/>
  <c r="N53" i="32"/>
  <c r="R53" i="32"/>
  <c r="P53" i="32"/>
  <c r="O53" i="32"/>
  <c r="H53" i="32"/>
  <c r="K53" i="32"/>
  <c r="L53" i="32"/>
  <c r="G53" i="32"/>
  <c r="H49" i="32"/>
  <c r="M49" i="32"/>
  <c r="R49" i="32"/>
  <c r="P49" i="32"/>
  <c r="J49" i="32"/>
  <c r="O49" i="32"/>
  <c r="I49" i="32"/>
  <c r="L49" i="32"/>
  <c r="Q49" i="32"/>
  <c r="K49" i="32"/>
  <c r="N49" i="32"/>
  <c r="I50" i="32"/>
  <c r="R50" i="32"/>
  <c r="H50" i="32"/>
  <c r="J50" i="32"/>
  <c r="P50" i="32"/>
  <c r="N50" i="32"/>
  <c r="Q50" i="32"/>
  <c r="M50" i="32"/>
  <c r="L50" i="32"/>
  <c r="K50" i="32"/>
  <c r="O50" i="32"/>
  <c r="G50" i="32"/>
  <c r="K51" i="32"/>
  <c r="P51" i="32"/>
  <c r="Q51" i="32"/>
  <c r="I51" i="32"/>
  <c r="M51" i="32"/>
  <c r="O51" i="32"/>
  <c r="J51" i="32"/>
  <c r="H51" i="32"/>
  <c r="N51" i="32"/>
  <c r="L51" i="32"/>
  <c r="R51" i="32"/>
  <c r="G51" i="32"/>
  <c r="J12" i="32"/>
  <c r="N12" i="32"/>
  <c r="R12" i="32"/>
  <c r="Q12" i="32"/>
  <c r="G12" i="32"/>
  <c r="K12" i="32"/>
  <c r="O12" i="32"/>
  <c r="M12" i="32"/>
  <c r="H12" i="32"/>
  <c r="L12" i="32"/>
  <c r="P12" i="32"/>
  <c r="I12" i="32"/>
  <c r="O8" i="32"/>
  <c r="K8" i="32"/>
  <c r="G8" i="32"/>
  <c r="R8" i="32"/>
  <c r="J8" i="32"/>
  <c r="I8" i="32"/>
  <c r="N8" i="32"/>
  <c r="M8" i="32"/>
  <c r="Q8" i="32"/>
  <c r="L8" i="32"/>
  <c r="H8" i="32"/>
  <c r="P8" i="32"/>
  <c r="O47" i="32"/>
  <c r="K47" i="32"/>
  <c r="P63" i="32"/>
  <c r="L63" i="32"/>
  <c r="H63" i="32"/>
  <c r="N47" i="32"/>
  <c r="O63" i="32"/>
  <c r="K63" i="32"/>
  <c r="M47" i="32"/>
  <c r="J63" i="32"/>
  <c r="R47" i="32"/>
  <c r="J47" i="32"/>
  <c r="Q47" i="32"/>
  <c r="N63" i="32"/>
  <c r="I47" i="32"/>
  <c r="R63" i="32"/>
  <c r="Q63" i="32"/>
  <c r="P47" i="32"/>
  <c r="L47" i="32"/>
  <c r="M63" i="32"/>
  <c r="H47" i="32"/>
  <c r="I63" i="32"/>
  <c r="G47" i="32"/>
  <c r="G63" i="32"/>
  <c r="Q46" i="32"/>
  <c r="P46" i="32"/>
  <c r="M46" i="32"/>
  <c r="R46" i="32"/>
  <c r="I46" i="32"/>
  <c r="H46" i="32"/>
  <c r="N46" i="32"/>
  <c r="L46" i="32"/>
  <c r="O46" i="32"/>
  <c r="J46" i="32"/>
  <c r="K46" i="32"/>
  <c r="G46" i="32"/>
  <c r="G18" i="32"/>
  <c r="G41" i="32" s="1"/>
  <c r="K18" i="32"/>
  <c r="O18" i="32"/>
  <c r="H18" i="32"/>
  <c r="P18" i="32"/>
  <c r="R18" i="32"/>
  <c r="L18" i="32"/>
  <c r="N18" i="32"/>
  <c r="I18" i="32"/>
  <c r="M18" i="32"/>
  <c r="Q18" i="32"/>
  <c r="J18" i="32"/>
  <c r="H11" i="32"/>
  <c r="L11" i="32"/>
  <c r="P11" i="32"/>
  <c r="I11" i="32"/>
  <c r="Q11" i="32"/>
  <c r="N11" i="32"/>
  <c r="M11" i="32"/>
  <c r="J11" i="32"/>
  <c r="O11" i="32"/>
  <c r="R11" i="32"/>
  <c r="K11" i="32"/>
  <c r="G16" i="32"/>
  <c r="G39" i="32" s="1"/>
  <c r="K16" i="32"/>
  <c r="O16" i="32"/>
  <c r="J16" i="32"/>
  <c r="H16" i="32"/>
  <c r="L16" i="32"/>
  <c r="P16" i="32"/>
  <c r="R16" i="32"/>
  <c r="I16" i="32"/>
  <c r="M16" i="32"/>
  <c r="Q16" i="32"/>
  <c r="N16" i="32"/>
  <c r="H13" i="32"/>
  <c r="K13" i="32"/>
  <c r="O13" i="32"/>
  <c r="N13" i="32"/>
  <c r="G13" i="32"/>
  <c r="L13" i="32"/>
  <c r="P13" i="32"/>
  <c r="R13" i="32"/>
  <c r="I13" i="32"/>
  <c r="M13" i="32"/>
  <c r="Q13" i="32"/>
  <c r="J13" i="32"/>
  <c r="G20" i="32"/>
  <c r="K20" i="32"/>
  <c r="O20" i="32"/>
  <c r="L20" i="32"/>
  <c r="R20" i="32"/>
  <c r="H20" i="32"/>
  <c r="P20" i="32"/>
  <c r="J20" i="32"/>
  <c r="I20" i="32"/>
  <c r="M20" i="32"/>
  <c r="Q20" i="32"/>
  <c r="N20" i="32"/>
  <c r="G15" i="32"/>
  <c r="G38" i="32" s="1"/>
  <c r="K15" i="32"/>
  <c r="O15" i="32"/>
  <c r="H15" i="32"/>
  <c r="L15" i="32"/>
  <c r="L38" i="32" s="1"/>
  <c r="R15" i="32"/>
  <c r="P15" i="32"/>
  <c r="N15" i="32"/>
  <c r="I15" i="32"/>
  <c r="M15" i="32"/>
  <c r="Q15" i="32"/>
  <c r="J15" i="32"/>
  <c r="L14" i="32"/>
  <c r="N14" i="32"/>
  <c r="J14" i="32"/>
  <c r="K14" i="32"/>
  <c r="M14" i="32"/>
  <c r="O14" i="32"/>
  <c r="P14" i="32"/>
  <c r="I14" i="32"/>
  <c r="R14" i="32"/>
  <c r="H14" i="32"/>
  <c r="H37" i="32" s="1"/>
  <c r="Q14" i="32"/>
  <c r="G17" i="32"/>
  <c r="K17" i="32"/>
  <c r="O17" i="32"/>
  <c r="L17" i="32"/>
  <c r="N17" i="32"/>
  <c r="H17" i="32"/>
  <c r="P17" i="32"/>
  <c r="P40" i="32" s="1"/>
  <c r="R17" i="32"/>
  <c r="I17" i="32"/>
  <c r="M17" i="32"/>
  <c r="Q17" i="32"/>
  <c r="Q40" i="32" s="1"/>
  <c r="J17" i="32"/>
  <c r="G19" i="32"/>
  <c r="G42" i="32" s="1"/>
  <c r="K19" i="32"/>
  <c r="K42" i="32" s="1"/>
  <c r="O19" i="32"/>
  <c r="P19" i="32"/>
  <c r="R19" i="32"/>
  <c r="H19" i="32"/>
  <c r="L19" i="32"/>
  <c r="L42" i="32" s="1"/>
  <c r="N19" i="32"/>
  <c r="I19" i="32"/>
  <c r="M19" i="32"/>
  <c r="Q19" i="32"/>
  <c r="Q42" i="32" s="1"/>
  <c r="J19" i="32"/>
  <c r="O9" i="32"/>
  <c r="M9" i="32"/>
  <c r="L9" i="32"/>
  <c r="J9" i="32"/>
  <c r="Q9" i="32"/>
  <c r="H9" i="32"/>
  <c r="K9" i="32"/>
  <c r="R9" i="32"/>
  <c r="G9" i="32"/>
  <c r="G44" i="32" s="1"/>
  <c r="N9" i="32"/>
  <c r="P9" i="32"/>
  <c r="I9" i="32"/>
  <c r="G14" i="32"/>
  <c r="I19" i="26"/>
  <c r="J19" i="26"/>
  <c r="O19" i="26"/>
  <c r="N19" i="26"/>
  <c r="L19" i="26"/>
  <c r="M19" i="26"/>
  <c r="Q19" i="26"/>
  <c r="R19" i="26"/>
  <c r="P19" i="26"/>
  <c r="K19" i="26"/>
  <c r="G9" i="26"/>
  <c r="N11" i="29"/>
  <c r="M11" i="29"/>
  <c r="P11" i="29"/>
  <c r="H11" i="29"/>
  <c r="Q11" i="29"/>
  <c r="L11" i="29"/>
  <c r="G11" i="29"/>
  <c r="J11" i="29"/>
  <c r="I11" i="29"/>
  <c r="O11" i="29"/>
  <c r="R11" i="29"/>
  <c r="K11" i="29"/>
  <c r="J12" i="29"/>
  <c r="N12" i="29"/>
  <c r="R12" i="29"/>
  <c r="H12" i="29"/>
  <c r="K12" i="29"/>
  <c r="O12" i="29"/>
  <c r="G12" i="29"/>
  <c r="M12" i="29"/>
  <c r="L12" i="29"/>
  <c r="P12" i="29"/>
  <c r="I12" i="29"/>
  <c r="Q12" i="29"/>
  <c r="I18" i="29"/>
  <c r="M18" i="29"/>
  <c r="Q18" i="29"/>
  <c r="J18" i="29"/>
  <c r="N18" i="29"/>
  <c r="R18" i="29"/>
  <c r="G18" i="29"/>
  <c r="H18" i="29"/>
  <c r="P18" i="29"/>
  <c r="K18" i="29"/>
  <c r="O18" i="29"/>
  <c r="L18" i="29"/>
  <c r="L13" i="29"/>
  <c r="P13" i="29"/>
  <c r="H13" i="29"/>
  <c r="G13" i="29"/>
  <c r="I13" i="29"/>
  <c r="M13" i="29"/>
  <c r="Q13" i="29"/>
  <c r="K13" i="29"/>
  <c r="J13" i="29"/>
  <c r="N13" i="29"/>
  <c r="R13" i="29"/>
  <c r="O13" i="29"/>
  <c r="G8" i="26"/>
  <c r="H17" i="29"/>
  <c r="J17" i="29"/>
  <c r="O17" i="29"/>
  <c r="I17" i="29"/>
  <c r="R17" i="29"/>
  <c r="K17" i="29"/>
  <c r="N17" i="29"/>
  <c r="P17" i="29"/>
  <c r="G17" i="29"/>
  <c r="Q17" i="29"/>
  <c r="L17" i="29"/>
  <c r="M17" i="29"/>
  <c r="K8" i="29"/>
  <c r="O8" i="29"/>
  <c r="H8" i="29"/>
  <c r="L8" i="29"/>
  <c r="P8" i="29"/>
  <c r="N8" i="29"/>
  <c r="G8" i="29"/>
  <c r="I8" i="29"/>
  <c r="M8" i="29"/>
  <c r="Q8" i="29"/>
  <c r="J8" i="29"/>
  <c r="R8" i="29"/>
  <c r="H21" i="29"/>
  <c r="L21" i="29"/>
  <c r="P21" i="29"/>
  <c r="I21" i="29"/>
  <c r="M21" i="29"/>
  <c r="Q21" i="29"/>
  <c r="K21" i="29"/>
  <c r="J21" i="29"/>
  <c r="N21" i="29"/>
  <c r="R21" i="29"/>
  <c r="O21" i="29"/>
  <c r="G21" i="29"/>
  <c r="J8" i="28"/>
  <c r="J16" i="24"/>
  <c r="J20" i="24"/>
  <c r="J12" i="24"/>
  <c r="G16" i="24"/>
  <c r="J11" i="24"/>
  <c r="G8" i="24"/>
  <c r="J10" i="24"/>
  <c r="J17" i="24"/>
  <c r="J8" i="24"/>
  <c r="J9" i="22"/>
  <c r="G20" i="24"/>
  <c r="G17" i="24"/>
  <c r="G10" i="24"/>
  <c r="G12" i="24"/>
  <c r="G11" i="24"/>
  <c r="R8" i="26"/>
  <c r="M9" i="26"/>
  <c r="K13" i="26"/>
  <c r="Q8" i="26"/>
  <c r="J20" i="26"/>
  <c r="I20" i="26"/>
  <c r="H20" i="26"/>
  <c r="N8" i="26"/>
  <c r="G13" i="26"/>
  <c r="M20" i="26"/>
  <c r="K8" i="26"/>
  <c r="O8" i="26"/>
  <c r="K9" i="26"/>
  <c r="P9" i="26"/>
  <c r="H13" i="26"/>
  <c r="L13" i="26"/>
  <c r="P13" i="26"/>
  <c r="P20" i="26"/>
  <c r="L20" i="26"/>
  <c r="G20" i="26"/>
  <c r="J8" i="26"/>
  <c r="O9" i="26"/>
  <c r="O13" i="26"/>
  <c r="Q20" i="26"/>
  <c r="H8" i="26"/>
  <c r="L8" i="26"/>
  <c r="P8" i="26"/>
  <c r="H9" i="26"/>
  <c r="L9" i="26"/>
  <c r="Q9" i="26"/>
  <c r="I13" i="26"/>
  <c r="M13" i="26"/>
  <c r="Q13" i="26"/>
  <c r="O20" i="26"/>
  <c r="K20" i="26"/>
  <c r="G19" i="26"/>
  <c r="G22" i="26" s="1"/>
  <c r="I8" i="26"/>
  <c r="M8" i="26"/>
  <c r="I9" i="26"/>
  <c r="N9" i="26"/>
  <c r="R9" i="26"/>
  <c r="J13" i="26"/>
  <c r="N13" i="26"/>
  <c r="R13" i="26"/>
  <c r="R20" i="26"/>
  <c r="N20" i="26"/>
  <c r="H19" i="26"/>
  <c r="J13" i="25"/>
  <c r="L8" i="25"/>
  <c r="K9" i="25"/>
  <c r="K8" i="25"/>
  <c r="J9" i="25"/>
  <c r="K14" i="25"/>
  <c r="R8" i="25"/>
  <c r="N8" i="25"/>
  <c r="J8" i="25"/>
  <c r="Q9" i="25"/>
  <c r="M9" i="25"/>
  <c r="I9" i="25"/>
  <c r="R14" i="25"/>
  <c r="O8" i="25"/>
  <c r="R9" i="25"/>
  <c r="H9" i="25"/>
  <c r="Q8" i="25"/>
  <c r="I8" i="25"/>
  <c r="H8" i="25"/>
  <c r="N9" i="25"/>
  <c r="O14" i="25"/>
  <c r="M8" i="25"/>
  <c r="P9" i="25"/>
  <c r="L9" i="25"/>
  <c r="G8" i="25"/>
  <c r="P8" i="25"/>
  <c r="G9" i="25"/>
  <c r="O9" i="25"/>
  <c r="R13" i="25"/>
  <c r="N13" i="25"/>
  <c r="G9" i="22"/>
  <c r="H20" i="25"/>
  <c r="I20" i="25"/>
  <c r="J20" i="25"/>
  <c r="K20" i="25"/>
  <c r="L20" i="25"/>
  <c r="M20" i="25"/>
  <c r="N20" i="25"/>
  <c r="O20" i="25"/>
  <c r="P20" i="25"/>
  <c r="Q20" i="25"/>
  <c r="R20" i="25"/>
  <c r="R19" i="25"/>
  <c r="J19" i="25"/>
  <c r="N19" i="25"/>
  <c r="P19" i="25"/>
  <c r="L19" i="25"/>
  <c r="H19" i="25"/>
  <c r="Q19" i="25"/>
  <c r="O19" i="25"/>
  <c r="M19" i="25"/>
  <c r="K19" i="25"/>
  <c r="I19" i="25"/>
  <c r="G19" i="25"/>
  <c r="R15" i="25"/>
  <c r="P15" i="25"/>
  <c r="N15" i="25"/>
  <c r="L15" i="25"/>
  <c r="J15" i="25"/>
  <c r="H15" i="25"/>
  <c r="P14" i="25"/>
  <c r="N14" i="25"/>
  <c r="L14" i="25"/>
  <c r="J14" i="25"/>
  <c r="H14" i="25"/>
  <c r="Q15" i="25"/>
  <c r="O15" i="25"/>
  <c r="M15" i="25"/>
  <c r="K15" i="25"/>
  <c r="I15" i="25"/>
  <c r="G15" i="25"/>
  <c r="Q14" i="25"/>
  <c r="M14" i="25"/>
  <c r="I14" i="25"/>
  <c r="G14" i="25"/>
  <c r="L13" i="25"/>
  <c r="H13" i="25"/>
  <c r="Q13" i="25"/>
  <c r="O13" i="25"/>
  <c r="M13" i="25"/>
  <c r="K13" i="25"/>
  <c r="I13" i="25"/>
  <c r="G13" i="25"/>
  <c r="P13" i="25"/>
  <c r="K56" i="73"/>
  <c r="F56" i="73"/>
  <c r="E56" i="73"/>
  <c r="L52" i="73"/>
  <c r="M52" i="73"/>
  <c r="G52" i="73"/>
  <c r="G50" i="73"/>
  <c r="L50" i="73"/>
  <c r="E50" i="73"/>
  <c r="F45" i="73"/>
  <c r="M45" i="73"/>
  <c r="D45" i="73"/>
  <c r="L44" i="73"/>
  <c r="G44" i="73"/>
  <c r="F44" i="73"/>
  <c r="H57" i="73"/>
  <c r="M57" i="73"/>
  <c r="F57" i="73"/>
  <c r="L51" i="73"/>
  <c r="I51" i="73"/>
  <c r="F51" i="73"/>
  <c r="L56" i="73"/>
  <c r="J52" i="73"/>
  <c r="O52" i="73"/>
  <c r="J50" i="73"/>
  <c r="N45" i="73"/>
  <c r="E45" i="73"/>
  <c r="N44" i="73"/>
  <c r="K57" i="73"/>
  <c r="M51" i="73"/>
  <c r="N51" i="73"/>
  <c r="O56" i="73"/>
  <c r="I52" i="73"/>
  <c r="K52" i="73"/>
  <c r="F50" i="73"/>
  <c r="J45" i="73"/>
  <c r="M44" i="73"/>
  <c r="J44" i="73"/>
  <c r="G57" i="73"/>
  <c r="E51" i="73"/>
  <c r="J51" i="73"/>
  <c r="D56" i="73"/>
  <c r="G56" i="73"/>
  <c r="H56" i="73"/>
  <c r="D52" i="73"/>
  <c r="H52" i="73"/>
  <c r="E52" i="73"/>
  <c r="D50" i="73"/>
  <c r="N50" i="73"/>
  <c r="K50" i="73"/>
  <c r="G45" i="73"/>
  <c r="L45" i="73"/>
  <c r="I45" i="73"/>
  <c r="D44" i="73"/>
  <c r="H44" i="73"/>
  <c r="I44" i="73"/>
  <c r="D57" i="73"/>
  <c r="O57" i="73"/>
  <c r="E57" i="73"/>
  <c r="D51" i="73"/>
  <c r="O51" i="73"/>
  <c r="H51" i="73"/>
  <c r="N56" i="73"/>
  <c r="M56" i="73"/>
  <c r="N52" i="73"/>
  <c r="H50" i="73"/>
  <c r="M50" i="73"/>
  <c r="H45" i="73"/>
  <c r="E44" i="73"/>
  <c r="O44" i="73"/>
  <c r="I57" i="73"/>
  <c r="N57" i="73"/>
  <c r="K51" i="73"/>
  <c r="J56" i="73"/>
  <c r="I56" i="73"/>
  <c r="F52" i="73"/>
  <c r="O50" i="73"/>
  <c r="I50" i="73"/>
  <c r="K45" i="73"/>
  <c r="O45" i="73"/>
  <c r="K44" i="73"/>
  <c r="L57" i="73"/>
  <c r="J57" i="73"/>
  <c r="G51" i="73"/>
  <c r="N74" i="45" l="1"/>
  <c r="I33" i="52"/>
  <c r="H31" i="39"/>
  <c r="L33" i="59"/>
  <c r="H33" i="59"/>
  <c r="L32" i="59"/>
  <c r="L35" i="59" s="1"/>
  <c r="D33" i="42"/>
  <c r="D27" i="42"/>
  <c r="D34" i="42" s="1"/>
  <c r="L21" i="61"/>
  <c r="B103" i="63"/>
  <c r="H35" i="39"/>
  <c r="H36" i="39"/>
  <c r="J33" i="42"/>
  <c r="N33" i="42"/>
  <c r="F70" i="45"/>
  <c r="Y46" i="54"/>
  <c r="G32" i="59"/>
  <c r="K33" i="42"/>
  <c r="Y45" i="54"/>
  <c r="J57" i="47"/>
  <c r="H40" i="32"/>
  <c r="R37" i="32"/>
  <c r="G43" i="32"/>
  <c r="L36" i="32"/>
  <c r="M36" i="32"/>
  <c r="K36" i="32"/>
  <c r="Q35" i="32"/>
  <c r="J35" i="59"/>
  <c r="O32" i="52"/>
  <c r="I40" i="32"/>
  <c r="G40" i="32"/>
  <c r="K37" i="32"/>
  <c r="R39" i="32"/>
  <c r="J39" i="32"/>
  <c r="O40" i="32"/>
  <c r="H34" i="32"/>
  <c r="M43" i="32"/>
  <c r="K43" i="32"/>
  <c r="K39" i="32"/>
  <c r="E25" i="59"/>
  <c r="G13" i="55"/>
  <c r="G14" i="55" s="1"/>
  <c r="I35" i="32"/>
  <c r="F25" i="59"/>
  <c r="H56" i="47"/>
  <c r="I21" i="61"/>
  <c r="Q38" i="32"/>
  <c r="P38" i="32"/>
  <c r="H25" i="59"/>
  <c r="K77" i="45"/>
  <c r="H33" i="42"/>
  <c r="H30" i="39"/>
  <c r="N25" i="59"/>
  <c r="D25" i="60" s="1"/>
  <c r="M57" i="47"/>
  <c r="I32" i="52"/>
  <c r="H35" i="32"/>
  <c r="G35" i="32"/>
  <c r="J35" i="32"/>
  <c r="L25" i="59"/>
  <c r="H27" i="59"/>
  <c r="N32" i="52"/>
  <c r="G33" i="42"/>
  <c r="E32" i="52"/>
  <c r="R42" i="32"/>
  <c r="N40" i="32"/>
  <c r="N38" i="32"/>
  <c r="H38" i="32"/>
  <c r="N43" i="32"/>
  <c r="J43" i="32"/>
  <c r="L43" i="32"/>
  <c r="J36" i="32"/>
  <c r="Q41" i="32"/>
  <c r="O41" i="32"/>
  <c r="P35" i="32"/>
  <c r="I71" i="45"/>
  <c r="F57" i="47"/>
  <c r="M42" i="32"/>
  <c r="M40" i="32"/>
  <c r="K40" i="32"/>
  <c r="M37" i="32"/>
  <c r="L37" i="32"/>
  <c r="I43" i="32"/>
  <c r="R43" i="32"/>
  <c r="I36" i="32"/>
  <c r="G36" i="32"/>
  <c r="H36" i="32"/>
  <c r="I39" i="32"/>
  <c r="H39" i="32"/>
  <c r="J34" i="32"/>
  <c r="I34" i="32"/>
  <c r="J41" i="32"/>
  <c r="H41" i="32"/>
  <c r="N71" i="45"/>
  <c r="N69" i="45"/>
  <c r="O68" i="45"/>
  <c r="O71" i="45"/>
  <c r="F75" i="45"/>
  <c r="R35" i="32"/>
  <c r="O42" i="32"/>
  <c r="O37" i="32"/>
  <c r="N37" i="32"/>
  <c r="M38" i="32"/>
  <c r="R38" i="32"/>
  <c r="K38" i="32"/>
  <c r="H43" i="32"/>
  <c r="O34" i="32"/>
  <c r="Q34" i="32"/>
  <c r="I41" i="32"/>
  <c r="P41" i="32"/>
  <c r="G57" i="47"/>
  <c r="M56" i="47"/>
  <c r="F47" i="73"/>
  <c r="J47" i="73"/>
  <c r="N47" i="73"/>
  <c r="I47" i="73"/>
  <c r="G47" i="73"/>
  <c r="K47" i="73"/>
  <c r="O47" i="73"/>
  <c r="H47" i="73"/>
  <c r="L47" i="73"/>
  <c r="M47" i="73"/>
  <c r="E47" i="73"/>
  <c r="D47" i="73"/>
  <c r="E53" i="73"/>
  <c r="I53" i="73"/>
  <c r="M53" i="73"/>
  <c r="K53" i="73"/>
  <c r="L53" i="73"/>
  <c r="F53" i="73"/>
  <c r="J53" i="73"/>
  <c r="N53" i="73"/>
  <c r="G53" i="73"/>
  <c r="O53" i="73"/>
  <c r="H53" i="73"/>
  <c r="D53" i="73"/>
  <c r="K45" i="59"/>
  <c r="L43" i="59"/>
  <c r="H35" i="59"/>
  <c r="K43" i="59"/>
  <c r="J45" i="59"/>
  <c r="M45" i="59"/>
  <c r="N43" i="59"/>
  <c r="E43" i="59"/>
  <c r="D45" i="59"/>
  <c r="L35" i="43"/>
  <c r="L27" i="59"/>
  <c r="D25" i="59"/>
  <c r="F32" i="52"/>
  <c r="L32" i="52"/>
  <c r="O33" i="42"/>
  <c r="Y44" i="54"/>
  <c r="G72" i="45"/>
  <c r="F49" i="44"/>
  <c r="H72" i="45"/>
  <c r="O25" i="59"/>
  <c r="O35" i="43"/>
  <c r="O27" i="59"/>
  <c r="I25" i="59"/>
  <c r="J27" i="59"/>
  <c r="B113" i="63"/>
  <c r="K25" i="59"/>
  <c r="G25" i="59"/>
  <c r="I43" i="59"/>
  <c r="H45" i="59"/>
  <c r="M25" i="59"/>
  <c r="E25" i="60" s="1"/>
  <c r="N35" i="43"/>
  <c r="N27" i="59"/>
  <c r="D27" i="60" s="1"/>
  <c r="D35" i="43"/>
  <c r="D27" i="59"/>
  <c r="F33" i="42"/>
  <c r="L33" i="42"/>
  <c r="AB29" i="73" a="1"/>
  <c r="AB29" i="73" s="1"/>
  <c r="H17" i="55"/>
  <c r="I17" i="55" s="1"/>
  <c r="J17" i="55" s="1"/>
  <c r="K17" i="55" s="1"/>
  <c r="L17" i="55" s="1"/>
  <c r="M17" i="55" s="1"/>
  <c r="N17" i="55" s="1"/>
  <c r="O17" i="55" s="1"/>
  <c r="P17" i="55" s="1"/>
  <c r="Q17" i="55" s="1"/>
  <c r="R17" i="55" s="1"/>
  <c r="AB35" i="73" a="1"/>
  <c r="AB35" i="73" s="1"/>
  <c r="H23" i="55"/>
  <c r="I23" i="55" s="1"/>
  <c r="J23" i="55" s="1"/>
  <c r="K23" i="55" s="1"/>
  <c r="L23" i="55" s="1"/>
  <c r="M23" i="55" s="1"/>
  <c r="N23" i="55" s="1"/>
  <c r="O23" i="55" s="1"/>
  <c r="P23" i="55" s="1"/>
  <c r="Q23" i="55" s="1"/>
  <c r="R23" i="55" s="1"/>
  <c r="G32" i="52"/>
  <c r="M33" i="52"/>
  <c r="M38" i="52" s="1"/>
  <c r="M32" i="52"/>
  <c r="AB22" i="73" a="1"/>
  <c r="AB22" i="73" s="1"/>
  <c r="H10" i="55"/>
  <c r="G26" i="37"/>
  <c r="D70" i="45"/>
  <c r="D32" i="52"/>
  <c r="F35" i="59"/>
  <c r="E32" i="59"/>
  <c r="I32" i="59"/>
  <c r="M32" i="59"/>
  <c r="E33" i="59"/>
  <c r="I33" i="59"/>
  <c r="M33" i="59"/>
  <c r="E33" i="60" s="1"/>
  <c r="G33" i="60" s="1"/>
  <c r="I38" i="52"/>
  <c r="K21" i="61"/>
  <c r="B67" i="63"/>
  <c r="K34" i="72"/>
  <c r="J25" i="59"/>
  <c r="G35" i="43"/>
  <c r="G27" i="59"/>
  <c r="M43" i="59"/>
  <c r="E43" i="60" s="1"/>
  <c r="L45" i="59"/>
  <c r="J32" i="52"/>
  <c r="H101" i="64" s="1"/>
  <c r="G29" i="39"/>
  <c r="G33" i="39" s="1"/>
  <c r="G38" i="39" s="1"/>
  <c r="AB23" i="73" a="1"/>
  <c r="AB23" i="73" s="1"/>
  <c r="H11" i="55"/>
  <c r="I11" i="55" s="1"/>
  <c r="J11" i="55" s="1"/>
  <c r="K11" i="55" s="1"/>
  <c r="L11" i="55" s="1"/>
  <c r="AB28" i="73" a="1"/>
  <c r="AB28" i="73" s="1"/>
  <c r="H16" i="55"/>
  <c r="I16" i="55" s="1"/>
  <c r="J16" i="55" s="1"/>
  <c r="K16" i="55" s="1"/>
  <c r="L16" i="55" s="1"/>
  <c r="M16" i="55" s="1"/>
  <c r="N16" i="55" s="1"/>
  <c r="O16" i="55" s="1"/>
  <c r="P16" i="55" s="1"/>
  <c r="Q16" i="55" s="1"/>
  <c r="R16" i="55" s="1"/>
  <c r="H43" i="59"/>
  <c r="G45" i="59"/>
  <c r="F35" i="43"/>
  <c r="F27" i="59"/>
  <c r="K35" i="43"/>
  <c r="K27" i="59"/>
  <c r="O43" i="59"/>
  <c r="N45" i="59"/>
  <c r="I45" i="59"/>
  <c r="J43" i="59"/>
  <c r="E45" i="59"/>
  <c r="F43" i="59"/>
  <c r="E35" i="43"/>
  <c r="E27" i="59"/>
  <c r="M35" i="43"/>
  <c r="M27" i="59"/>
  <c r="E27" i="60" s="1"/>
  <c r="I33" i="42"/>
  <c r="G43" i="59"/>
  <c r="F45" i="59"/>
  <c r="AB30" i="73" a="1"/>
  <c r="AB30" i="73" s="1"/>
  <c r="H18" i="55"/>
  <c r="I18" i="55" s="1"/>
  <c r="J18" i="55" s="1"/>
  <c r="K18" i="55" s="1"/>
  <c r="L18" i="55" s="1"/>
  <c r="M18" i="55" s="1"/>
  <c r="N18" i="55" s="1"/>
  <c r="O18" i="55" s="1"/>
  <c r="P18" i="55" s="1"/>
  <c r="Q18" i="55" s="1"/>
  <c r="R18" i="55" s="1"/>
  <c r="N35" i="59"/>
  <c r="D32" i="60"/>
  <c r="K33" i="52"/>
  <c r="K38" i="52" s="1"/>
  <c r="K32" i="52"/>
  <c r="E33" i="42"/>
  <c r="AB34" i="73" a="1"/>
  <c r="AB34" i="73" s="1"/>
  <c r="H22" i="55"/>
  <c r="I22" i="55" s="1"/>
  <c r="J22" i="55" s="1"/>
  <c r="K22" i="55" s="1"/>
  <c r="L22" i="55" s="1"/>
  <c r="M22" i="55" s="1"/>
  <c r="N22" i="55" s="1"/>
  <c r="O22" i="55" s="1"/>
  <c r="P22" i="55" s="1"/>
  <c r="Q22" i="55" s="1"/>
  <c r="R22" i="55" s="1"/>
  <c r="K32" i="59"/>
  <c r="O32" i="59"/>
  <c r="G33" i="59"/>
  <c r="K33" i="59"/>
  <c r="O33" i="59"/>
  <c r="J34" i="72"/>
  <c r="F31" i="39"/>
  <c r="E95" i="54"/>
  <c r="Y48" i="54"/>
  <c r="F129" i="54"/>
  <c r="G27" i="40"/>
  <c r="N56" i="47"/>
  <c r="R40" i="32"/>
  <c r="O38" i="32"/>
  <c r="Q43" i="32"/>
  <c r="P43" i="32"/>
  <c r="O43" i="32"/>
  <c r="N34" i="32"/>
  <c r="E68" i="45"/>
  <c r="D55" i="47"/>
  <c r="G71" i="45"/>
  <c r="E33" i="53"/>
  <c r="K95" i="54"/>
  <c r="E75" i="45"/>
  <c r="G55" i="47"/>
  <c r="E97" i="54"/>
  <c r="C56" i="54" a="1"/>
  <c r="E59" i="54" s="1"/>
  <c r="M70" i="45"/>
  <c r="I56" i="47"/>
  <c r="H33" i="53"/>
  <c r="J37" i="32"/>
  <c r="K35" i="32"/>
  <c r="G26" i="40"/>
  <c r="K73" i="45"/>
  <c r="G34" i="32"/>
  <c r="E38" i="44"/>
  <c r="G73" i="45"/>
  <c r="K56" i="47"/>
  <c r="M74" i="45"/>
  <c r="J35" i="43"/>
  <c r="L77" i="45"/>
  <c r="I75" i="45"/>
  <c r="H76" i="45"/>
  <c r="E74" i="45"/>
  <c r="D73" i="45"/>
  <c r="G70" i="45"/>
  <c r="F33" i="52"/>
  <c r="F38" i="52" s="1"/>
  <c r="L33" i="52"/>
  <c r="L38" i="52" s="1"/>
  <c r="O33" i="52"/>
  <c r="O38" i="52" s="1"/>
  <c r="E56" i="47"/>
  <c r="J56" i="47"/>
  <c r="N57" i="47"/>
  <c r="F69" i="45"/>
  <c r="I72" i="45"/>
  <c r="E33" i="52"/>
  <c r="E38" i="52" s="1"/>
  <c r="N42" i="32"/>
  <c r="P42" i="32"/>
  <c r="J40" i="32"/>
  <c r="L40" i="32"/>
  <c r="Q37" i="32"/>
  <c r="P37" i="32"/>
  <c r="R41" i="32"/>
  <c r="K41" i="32"/>
  <c r="L35" i="32"/>
  <c r="H74" i="45"/>
  <c r="J68" i="45"/>
  <c r="I35" i="43"/>
  <c r="K71" i="45"/>
  <c r="L76" i="45"/>
  <c r="I73" i="45"/>
  <c r="O77" i="45"/>
  <c r="D74" i="45"/>
  <c r="K72" i="45"/>
  <c r="D49" i="44"/>
  <c r="E160" i="51"/>
  <c r="F144" i="54"/>
  <c r="F159" i="54"/>
  <c r="G129" i="54"/>
  <c r="J126" i="54"/>
  <c r="I156" i="54"/>
  <c r="I171" i="54" s="1"/>
  <c r="I141" i="54"/>
  <c r="J148" i="51"/>
  <c r="J140" i="51" s="1"/>
  <c r="K118" i="51"/>
  <c r="J133" i="51"/>
  <c r="J158" i="51"/>
  <c r="K139" i="54"/>
  <c r="L124" i="54"/>
  <c r="K154" i="54"/>
  <c r="K143" i="54"/>
  <c r="L128" i="54"/>
  <c r="K158" i="54"/>
  <c r="L159" i="51"/>
  <c r="L156" i="51"/>
  <c r="M164" i="51"/>
  <c r="N158" i="54"/>
  <c r="O128" i="54"/>
  <c r="N143" i="54"/>
  <c r="N163" i="51"/>
  <c r="J33" i="52"/>
  <c r="G42" i="37" s="1"/>
  <c r="N33" i="52"/>
  <c r="N38" i="52" s="1"/>
  <c r="G33" i="52"/>
  <c r="G38" i="52" s="1"/>
  <c r="E162" i="51"/>
  <c r="G143" i="51"/>
  <c r="G158" i="51" s="1"/>
  <c r="G128" i="51"/>
  <c r="H113" i="51"/>
  <c r="G163" i="51"/>
  <c r="H155" i="54"/>
  <c r="I125" i="54"/>
  <c r="H140" i="54"/>
  <c r="H149" i="51"/>
  <c r="I119" i="51"/>
  <c r="H134" i="51"/>
  <c r="J159" i="51"/>
  <c r="K159" i="54"/>
  <c r="K174" i="54" s="1"/>
  <c r="K144" i="54"/>
  <c r="L129" i="54"/>
  <c r="K161" i="51"/>
  <c r="N144" i="54"/>
  <c r="O129" i="54"/>
  <c r="N159" i="54"/>
  <c r="O159" i="54"/>
  <c r="O144" i="54"/>
  <c r="O162" i="51"/>
  <c r="F33" i="53"/>
  <c r="E161" i="51"/>
  <c r="H156" i="54"/>
  <c r="H141" i="54"/>
  <c r="I126" i="54"/>
  <c r="C34" i="51" a="1"/>
  <c r="J154" i="54"/>
  <c r="K124" i="54"/>
  <c r="J139" i="54"/>
  <c r="K74" i="51"/>
  <c r="K76" i="51"/>
  <c r="L75" i="51"/>
  <c r="K165" i="51"/>
  <c r="M33" i="53"/>
  <c r="M124" i="54"/>
  <c r="L139" i="54"/>
  <c r="L154" i="54"/>
  <c r="L165" i="51"/>
  <c r="N33" i="53"/>
  <c r="M97" i="54"/>
  <c r="M95" i="54"/>
  <c r="N96" i="54"/>
  <c r="M161" i="51"/>
  <c r="M162" i="51"/>
  <c r="E159" i="54"/>
  <c r="E144" i="54"/>
  <c r="F158" i="51"/>
  <c r="G56" i="47"/>
  <c r="H157" i="54"/>
  <c r="I127" i="54"/>
  <c r="H142" i="54"/>
  <c r="I145" i="51"/>
  <c r="J115" i="51"/>
  <c r="I130" i="51"/>
  <c r="J161" i="51"/>
  <c r="N157" i="54"/>
  <c r="N142" i="54"/>
  <c r="O127" i="54"/>
  <c r="O95" i="54"/>
  <c r="O158" i="51"/>
  <c r="F68" i="45"/>
  <c r="H71" i="45"/>
  <c r="F76" i="45"/>
  <c r="H35" i="43"/>
  <c r="D44" i="45"/>
  <c r="D78" i="45" s="1"/>
  <c r="D142" i="51"/>
  <c r="E112" i="51"/>
  <c r="E157" i="51"/>
  <c r="F155" i="54"/>
  <c r="G125" i="54"/>
  <c r="F140" i="54"/>
  <c r="H125" i="54"/>
  <c r="G155" i="54"/>
  <c r="G140" i="54"/>
  <c r="H95" i="54"/>
  <c r="I96" i="54"/>
  <c r="H97" i="54"/>
  <c r="I55" i="47"/>
  <c r="I142" i="51"/>
  <c r="I157" i="51" s="1"/>
  <c r="I127" i="51"/>
  <c r="J112" i="51"/>
  <c r="J156" i="54"/>
  <c r="K126" i="54"/>
  <c r="J141" i="54"/>
  <c r="L74" i="51"/>
  <c r="L76" i="51"/>
  <c r="M75" i="51"/>
  <c r="L161" i="51"/>
  <c r="M156" i="54"/>
  <c r="N126" i="54"/>
  <c r="M141" i="54"/>
  <c r="M141" i="51"/>
  <c r="M126" i="51"/>
  <c r="N111" i="51"/>
  <c r="N146" i="51"/>
  <c r="N161" i="51" s="1"/>
  <c r="O116" i="51"/>
  <c r="N131" i="51"/>
  <c r="N160" i="51"/>
  <c r="E142" i="54"/>
  <c r="F127" i="54"/>
  <c r="E157" i="54"/>
  <c r="F156" i="54"/>
  <c r="F141" i="54"/>
  <c r="G126" i="54"/>
  <c r="F163" i="51"/>
  <c r="G141" i="54"/>
  <c r="H126" i="54"/>
  <c r="G156" i="54"/>
  <c r="G162" i="51"/>
  <c r="G157" i="51"/>
  <c r="H57" i="47"/>
  <c r="J160" i="51"/>
  <c r="O155" i="54"/>
  <c r="O140" i="54"/>
  <c r="M165" i="51"/>
  <c r="N157" i="51"/>
  <c r="D162" i="51"/>
  <c r="D165" i="51"/>
  <c r="D161" i="51"/>
  <c r="D163" i="51"/>
  <c r="E57" i="47"/>
  <c r="E148" i="51"/>
  <c r="E140" i="51" s="1"/>
  <c r="F118" i="51"/>
  <c r="E133" i="51"/>
  <c r="E158" i="51"/>
  <c r="H145" i="51"/>
  <c r="H160" i="51" s="1"/>
  <c r="H130" i="51"/>
  <c r="I115" i="51"/>
  <c r="H143" i="51"/>
  <c r="I113" i="51"/>
  <c r="H128" i="51"/>
  <c r="H150" i="51"/>
  <c r="H135" i="51"/>
  <c r="I120" i="51"/>
  <c r="I154" i="54"/>
  <c r="I139" i="54"/>
  <c r="J124" i="54"/>
  <c r="I146" i="51"/>
  <c r="J116" i="51"/>
  <c r="I131" i="51"/>
  <c r="I149" i="51"/>
  <c r="I134" i="51"/>
  <c r="J119" i="51"/>
  <c r="I147" i="51"/>
  <c r="I132" i="51"/>
  <c r="J117" i="51"/>
  <c r="J55" i="47"/>
  <c r="K97" i="54"/>
  <c r="K96" i="54"/>
  <c r="J95" i="54"/>
  <c r="J97" i="54"/>
  <c r="J158" i="54"/>
  <c r="J143" i="54"/>
  <c r="K128" i="54"/>
  <c r="K55" i="47"/>
  <c r="K156" i="54"/>
  <c r="L126" i="54"/>
  <c r="K141" i="54"/>
  <c r="K133" i="51"/>
  <c r="K159" i="51"/>
  <c r="L95" i="54"/>
  <c r="M96" i="54"/>
  <c r="L97" i="54"/>
  <c r="L158" i="54"/>
  <c r="M128" i="54"/>
  <c r="L143" i="54"/>
  <c r="M160" i="51"/>
  <c r="N55" i="47"/>
  <c r="L33" i="53"/>
  <c r="F158" i="54"/>
  <c r="G128" i="54"/>
  <c r="F143" i="54"/>
  <c r="F159" i="51"/>
  <c r="H124" i="54"/>
  <c r="G139" i="54"/>
  <c r="G154" i="54"/>
  <c r="I159" i="54"/>
  <c r="I144" i="54"/>
  <c r="J129" i="54"/>
  <c r="J155" i="54"/>
  <c r="J140" i="54"/>
  <c r="K125" i="54"/>
  <c r="L163" i="51"/>
  <c r="M159" i="54"/>
  <c r="N129" i="54"/>
  <c r="M144" i="54"/>
  <c r="O55" i="47"/>
  <c r="O143" i="54"/>
  <c r="O158" i="54"/>
  <c r="O131" i="51"/>
  <c r="O165" i="51"/>
  <c r="J71" i="45"/>
  <c r="D156" i="54"/>
  <c r="E126" i="54"/>
  <c r="E159" i="51"/>
  <c r="G33" i="53"/>
  <c r="H158" i="54"/>
  <c r="H143" i="54"/>
  <c r="I128" i="54"/>
  <c r="H74" i="51"/>
  <c r="I75" i="51"/>
  <c r="H76" i="51"/>
  <c r="L96" i="54"/>
  <c r="L141" i="54"/>
  <c r="L156" i="54"/>
  <c r="M126" i="54"/>
  <c r="L157" i="51"/>
  <c r="O124" i="54"/>
  <c r="N154" i="54"/>
  <c r="N139" i="54"/>
  <c r="O97" i="54"/>
  <c r="N97" i="54"/>
  <c r="O96" i="54"/>
  <c r="N95" i="54"/>
  <c r="N158" i="51"/>
  <c r="M158" i="51"/>
  <c r="D157" i="54"/>
  <c r="E127" i="54"/>
  <c r="F149" i="51"/>
  <c r="F140" i="51" s="1"/>
  <c r="F172" i="51" s="1"/>
  <c r="G119" i="51"/>
  <c r="F134" i="51"/>
  <c r="F165" i="51"/>
  <c r="G74" i="51"/>
  <c r="G76" i="51"/>
  <c r="H75" i="51"/>
  <c r="G161" i="51"/>
  <c r="G156" i="51"/>
  <c r="I129" i="54"/>
  <c r="H159" i="54"/>
  <c r="H144" i="54"/>
  <c r="I157" i="54"/>
  <c r="J127" i="54"/>
  <c r="I142" i="54"/>
  <c r="J164" i="51"/>
  <c r="L125" i="54"/>
  <c r="K155" i="54"/>
  <c r="K140" i="54"/>
  <c r="L157" i="54"/>
  <c r="L142" i="54"/>
  <c r="M127" i="54"/>
  <c r="N155" i="54"/>
  <c r="N140" i="54"/>
  <c r="O125" i="54"/>
  <c r="O160" i="51"/>
  <c r="O164" i="51"/>
  <c r="D158" i="54"/>
  <c r="E128" i="54"/>
  <c r="D149" i="51"/>
  <c r="E119" i="51"/>
  <c r="D141" i="51"/>
  <c r="E111" i="51"/>
  <c r="E154" i="54"/>
  <c r="E139" i="54"/>
  <c r="F124" i="54"/>
  <c r="E76" i="51"/>
  <c r="E74" i="51"/>
  <c r="H26" i="51"/>
  <c r="F75" i="51"/>
  <c r="E126" i="51"/>
  <c r="E165" i="51"/>
  <c r="F157" i="54"/>
  <c r="G127" i="54"/>
  <c r="F142" i="54"/>
  <c r="G164" i="51"/>
  <c r="H144" i="51"/>
  <c r="H129" i="51"/>
  <c r="I114" i="51"/>
  <c r="J96" i="54"/>
  <c r="I97" i="54"/>
  <c r="I95" i="54"/>
  <c r="H22" i="54"/>
  <c r="F22" i="54"/>
  <c r="I74" i="51"/>
  <c r="J75" i="51"/>
  <c r="I76" i="51"/>
  <c r="I141" i="51"/>
  <c r="J111" i="51"/>
  <c r="I126" i="51"/>
  <c r="K33" i="53"/>
  <c r="J157" i="51"/>
  <c r="K57" i="47"/>
  <c r="K163" i="51"/>
  <c r="L56" i="47"/>
  <c r="M154" i="54"/>
  <c r="N124" i="54"/>
  <c r="M139" i="54"/>
  <c r="M157" i="51"/>
  <c r="N159" i="51"/>
  <c r="D155" i="54"/>
  <c r="E125" i="54"/>
  <c r="G96" i="54"/>
  <c r="F97" i="54"/>
  <c r="F95" i="54"/>
  <c r="F154" i="54"/>
  <c r="F139" i="54"/>
  <c r="G124" i="54"/>
  <c r="F160" i="51"/>
  <c r="H96" i="54"/>
  <c r="G97" i="54"/>
  <c r="G95" i="54"/>
  <c r="G143" i="54"/>
  <c r="H128" i="54"/>
  <c r="G158" i="54"/>
  <c r="I148" i="51"/>
  <c r="J118" i="51"/>
  <c r="I133" i="51"/>
  <c r="K129" i="54"/>
  <c r="J144" i="54"/>
  <c r="J159" i="54"/>
  <c r="J131" i="51"/>
  <c r="L57" i="47"/>
  <c r="M129" i="54"/>
  <c r="L159" i="54"/>
  <c r="L144" i="54"/>
  <c r="O157" i="54"/>
  <c r="O142" i="54"/>
  <c r="N156" i="51"/>
  <c r="O139" i="54"/>
  <c r="O154" i="54"/>
  <c r="O141" i="51"/>
  <c r="O126" i="51"/>
  <c r="O161" i="51"/>
  <c r="O157" i="51"/>
  <c r="H77" i="45"/>
  <c r="N70" i="45"/>
  <c r="I70" i="45"/>
  <c r="E44" i="45"/>
  <c r="E78" i="45" s="1"/>
  <c r="E156" i="54"/>
  <c r="E171" i="54" s="1"/>
  <c r="F126" i="54"/>
  <c r="E141" i="54"/>
  <c r="F162" i="51"/>
  <c r="G159" i="54"/>
  <c r="H129" i="54"/>
  <c r="G144" i="54"/>
  <c r="I124" i="54"/>
  <c r="H139" i="54"/>
  <c r="H154" i="54"/>
  <c r="H141" i="51"/>
  <c r="H126" i="51"/>
  <c r="I111" i="51"/>
  <c r="H142" i="51"/>
  <c r="H127" i="51"/>
  <c r="I112" i="51"/>
  <c r="H147" i="51"/>
  <c r="H132" i="51"/>
  <c r="I117" i="51"/>
  <c r="I57" i="47"/>
  <c r="I150" i="51"/>
  <c r="I135" i="51"/>
  <c r="J120" i="51"/>
  <c r="J74" i="51"/>
  <c r="K75" i="51"/>
  <c r="J76" i="51"/>
  <c r="J156" i="51"/>
  <c r="K157" i="51"/>
  <c r="L145" i="51"/>
  <c r="L140" i="51" s="1"/>
  <c r="L130" i="51"/>
  <c r="M115" i="51"/>
  <c r="L158" i="51"/>
  <c r="M74" i="51"/>
  <c r="N75" i="51"/>
  <c r="M76" i="51"/>
  <c r="N74" i="51"/>
  <c r="N76" i="51"/>
  <c r="O75" i="51"/>
  <c r="N165" i="51"/>
  <c r="N156" i="54"/>
  <c r="O126" i="54"/>
  <c r="N141" i="54"/>
  <c r="N162" i="51"/>
  <c r="E164" i="51"/>
  <c r="G75" i="51"/>
  <c r="F76" i="51"/>
  <c r="F74" i="51"/>
  <c r="F161" i="51"/>
  <c r="G159" i="51"/>
  <c r="G160" i="51"/>
  <c r="H55" i="47"/>
  <c r="J157" i="54"/>
  <c r="K127" i="54"/>
  <c r="J142" i="54"/>
  <c r="M157" i="54"/>
  <c r="M142" i="54"/>
  <c r="N127" i="54"/>
  <c r="N164" i="51"/>
  <c r="O141" i="54"/>
  <c r="O156" i="54"/>
  <c r="D160" i="51"/>
  <c r="D143" i="51"/>
  <c r="E113" i="51"/>
  <c r="E55" i="47"/>
  <c r="F55" i="47"/>
  <c r="H24" i="54"/>
  <c r="F96" i="54"/>
  <c r="E158" i="54"/>
  <c r="E143" i="54"/>
  <c r="F128" i="54"/>
  <c r="E156" i="51"/>
  <c r="G157" i="54"/>
  <c r="G142" i="54"/>
  <c r="H127" i="54"/>
  <c r="G165" i="51"/>
  <c r="D154" i="54"/>
  <c r="E124" i="54"/>
  <c r="J128" i="54"/>
  <c r="I158" i="54"/>
  <c r="I143" i="54"/>
  <c r="H24" i="51"/>
  <c r="F24" i="51"/>
  <c r="I144" i="51"/>
  <c r="I129" i="51"/>
  <c r="J114" i="51"/>
  <c r="I143" i="51"/>
  <c r="I128" i="51"/>
  <c r="J113" i="51"/>
  <c r="J135" i="51"/>
  <c r="J162" i="51"/>
  <c r="K141" i="51"/>
  <c r="L111" i="51"/>
  <c r="K126" i="51"/>
  <c r="K164" i="51"/>
  <c r="K162" i="51"/>
  <c r="L55" i="47"/>
  <c r="L162" i="51"/>
  <c r="M55" i="47"/>
  <c r="M158" i="54"/>
  <c r="M173" i="54" s="1"/>
  <c r="N128" i="54"/>
  <c r="M143" i="54"/>
  <c r="M159" i="51"/>
  <c r="M163" i="51"/>
  <c r="D159" i="54"/>
  <c r="E129" i="54"/>
  <c r="E155" i="54"/>
  <c r="E140" i="54"/>
  <c r="F125" i="54"/>
  <c r="F56" i="47"/>
  <c r="F156" i="51"/>
  <c r="H148" i="51"/>
  <c r="I118" i="51"/>
  <c r="H133" i="51"/>
  <c r="H146" i="51"/>
  <c r="I116" i="51"/>
  <c r="H131" i="51"/>
  <c r="I155" i="54"/>
  <c r="I140" i="54"/>
  <c r="J125" i="54"/>
  <c r="L127" i="54"/>
  <c r="K157" i="54"/>
  <c r="K142" i="54"/>
  <c r="K160" i="51"/>
  <c r="L140" i="54"/>
  <c r="L155" i="54"/>
  <c r="M125" i="54"/>
  <c r="N125" i="54"/>
  <c r="M155" i="54"/>
  <c r="M140" i="54"/>
  <c r="O56" i="47"/>
  <c r="O57" i="47"/>
  <c r="O76" i="51"/>
  <c r="O74" i="51"/>
  <c r="D33" i="52"/>
  <c r="D38" i="52" s="1"/>
  <c r="O159" i="51"/>
  <c r="F29" i="39"/>
  <c r="G32" i="40"/>
  <c r="F36" i="39"/>
  <c r="E33" i="40"/>
  <c r="F35" i="39"/>
  <c r="H38" i="44"/>
  <c r="F38" i="44"/>
  <c r="I69" i="45"/>
  <c r="E71" i="45"/>
  <c r="G77" i="45"/>
  <c r="I74" i="45"/>
  <c r="L71" i="45"/>
  <c r="L68" i="45"/>
  <c r="L74" i="45"/>
  <c r="N77" i="45"/>
  <c r="D68" i="45"/>
  <c r="G35" i="40"/>
  <c r="G38" i="44"/>
  <c r="G76" i="45"/>
  <c r="I76" i="45"/>
  <c r="M75" i="45"/>
  <c r="G69" i="45"/>
  <c r="H44" i="45"/>
  <c r="C26" i="45" s="1"/>
  <c r="J74" i="45"/>
  <c r="I49" i="44"/>
  <c r="J73" i="45"/>
  <c r="N72" i="45"/>
  <c r="F30" i="39"/>
  <c r="I27" i="42"/>
  <c r="L69" i="45"/>
  <c r="K45" i="47"/>
  <c r="K58" i="47" s="1"/>
  <c r="G45" i="47"/>
  <c r="G58" i="47" s="1"/>
  <c r="F74" i="45"/>
  <c r="L73" i="45"/>
  <c r="E77" i="45"/>
  <c r="E45" i="47"/>
  <c r="E58" i="47" s="1"/>
  <c r="G75" i="45"/>
  <c r="M77" i="45"/>
  <c r="N76" i="45"/>
  <c r="I45" i="47"/>
  <c r="I58" i="47" s="1"/>
  <c r="M69" i="45"/>
  <c r="F71" i="45"/>
  <c r="K76" i="45"/>
  <c r="K74" i="45"/>
  <c r="K70" i="45"/>
  <c r="J45" i="47"/>
  <c r="J58" i="47" s="1"/>
  <c r="J27" i="42"/>
  <c r="K68" i="45"/>
  <c r="E70" i="45"/>
  <c r="H69" i="45"/>
  <c r="E76" i="45"/>
  <c r="O73" i="45"/>
  <c r="O74" i="45"/>
  <c r="M72" i="45"/>
  <c r="O75" i="45"/>
  <c r="L70" i="45"/>
  <c r="J42" i="32"/>
  <c r="Q36" i="32"/>
  <c r="P36" i="32"/>
  <c r="O36" i="32"/>
  <c r="Q39" i="32"/>
  <c r="P39" i="32"/>
  <c r="O39" i="32"/>
  <c r="R34" i="32"/>
  <c r="M41" i="32"/>
  <c r="N35" i="32"/>
  <c r="G74" i="45"/>
  <c r="I77" i="45"/>
  <c r="J38" i="44"/>
  <c r="J70" i="45"/>
  <c r="K44" i="45"/>
  <c r="K78" i="45" s="1"/>
  <c r="J77" i="45"/>
  <c r="F27" i="42"/>
  <c r="H45" i="47"/>
  <c r="H73" i="45"/>
  <c r="M76" i="45"/>
  <c r="E69" i="45"/>
  <c r="H70" i="45"/>
  <c r="L49" i="44"/>
  <c r="M45" i="47"/>
  <c r="M58" i="47" s="1"/>
  <c r="M38" i="44"/>
  <c r="N45" i="47"/>
  <c r="N58" i="47" s="1"/>
  <c r="N38" i="44"/>
  <c r="O69" i="45"/>
  <c r="D77" i="45"/>
  <c r="K75" i="45"/>
  <c r="N73" i="45"/>
  <c r="O70" i="45"/>
  <c r="D69" i="45"/>
  <c r="L45" i="47"/>
  <c r="L58" i="47" s="1"/>
  <c r="N49" i="44"/>
  <c r="O76" i="45"/>
  <c r="O44" i="45"/>
  <c r="O78" i="45" s="1"/>
  <c r="O45" i="47"/>
  <c r="O58" i="47" s="1"/>
  <c r="I38" i="32"/>
  <c r="N41" i="32"/>
  <c r="M35" i="32"/>
  <c r="J44" i="45"/>
  <c r="J78" i="45" s="1"/>
  <c r="L38" i="44"/>
  <c r="O38" i="44"/>
  <c r="F44" i="45"/>
  <c r="F78" i="45" s="1"/>
  <c r="F73" i="45"/>
  <c r="I38" i="44"/>
  <c r="J72" i="45"/>
  <c r="K38" i="44"/>
  <c r="N75" i="45"/>
  <c r="G49" i="44"/>
  <c r="E72" i="45"/>
  <c r="G44" i="45"/>
  <c r="G78" i="45" s="1"/>
  <c r="H68" i="45"/>
  <c r="L72" i="45"/>
  <c r="M73" i="45"/>
  <c r="E27" i="42"/>
  <c r="L75" i="45"/>
  <c r="M71" i="45"/>
  <c r="N68" i="45"/>
  <c r="E73" i="45"/>
  <c r="D71" i="45"/>
  <c r="H27" i="42"/>
  <c r="J69" i="45"/>
  <c r="H42" i="32"/>
  <c r="G37" i="32"/>
  <c r="I42" i="32"/>
  <c r="I37" i="32"/>
  <c r="J38" i="32"/>
  <c r="R36" i="32"/>
  <c r="N36" i="32"/>
  <c r="P34" i="32"/>
  <c r="L41" i="32"/>
  <c r="O35" i="32"/>
  <c r="I25" i="37"/>
  <c r="F72" i="45"/>
  <c r="I68" i="45"/>
  <c r="J75" i="45"/>
  <c r="L44" i="45"/>
  <c r="L78" i="45" s="1"/>
  <c r="O72" i="45"/>
  <c r="O49" i="44"/>
  <c r="I44" i="45"/>
  <c r="I78" i="45" s="1"/>
  <c r="J49" i="44"/>
  <c r="K49" i="44"/>
  <c r="K69" i="45"/>
  <c r="J76" i="45"/>
  <c r="F77" i="45"/>
  <c r="G27" i="42"/>
  <c r="G68" i="45"/>
  <c r="H49" i="44"/>
  <c r="H75" i="45"/>
  <c r="M68" i="45"/>
  <c r="E49" i="44"/>
  <c r="M49" i="44"/>
  <c r="M44" i="45"/>
  <c r="M78" i="45" s="1"/>
  <c r="N44" i="45"/>
  <c r="N78" i="45" s="1"/>
  <c r="D13" i="31"/>
  <c r="E18" i="31"/>
  <c r="E24" i="31" s="1"/>
  <c r="E30" i="31" s="1"/>
  <c r="E36" i="31" s="1"/>
  <c r="E42" i="31" s="1"/>
  <c r="E48" i="31" s="1"/>
  <c r="E54" i="31" s="1"/>
  <c r="E60" i="31" s="1"/>
  <c r="E66" i="31" s="1"/>
  <c r="E72" i="31" s="1"/>
  <c r="F24" i="39"/>
  <c r="K27" i="42"/>
  <c r="AA26" i="42" s="1"/>
  <c r="F23" i="39"/>
  <c r="N39" i="32"/>
  <c r="M39" i="32"/>
  <c r="L39" i="32"/>
  <c r="D26" i="39"/>
  <c r="H26" i="39" s="1"/>
  <c r="K34" i="32"/>
  <c r="M34" i="32"/>
  <c r="D33" i="40"/>
  <c r="G31" i="40"/>
  <c r="L34" i="32"/>
  <c r="E26" i="39"/>
  <c r="G25" i="40"/>
  <c r="G23" i="40"/>
  <c r="M44" i="32"/>
  <c r="K44" i="32"/>
  <c r="L44" i="32"/>
  <c r="N44" i="32"/>
  <c r="H44" i="32"/>
  <c r="J44" i="32"/>
  <c r="I44" i="32"/>
  <c r="G11" i="26"/>
  <c r="Q44" i="32"/>
  <c r="O44" i="32"/>
  <c r="S11" i="26"/>
  <c r="R44" i="32"/>
  <c r="P44" i="32"/>
  <c r="S22" i="26"/>
  <c r="I19" i="29"/>
  <c r="G58" i="32"/>
  <c r="L19" i="29"/>
  <c r="M58" i="32"/>
  <c r="L58" i="32"/>
  <c r="G59" i="32"/>
  <c r="G60" i="32"/>
  <c r="L60" i="32"/>
  <c r="H59" i="32"/>
  <c r="I59" i="32"/>
  <c r="J58" i="32"/>
  <c r="K58" i="32"/>
  <c r="R60" i="32"/>
  <c r="N57" i="32"/>
  <c r="P57" i="32"/>
  <c r="Q59" i="32"/>
  <c r="K57" i="32"/>
  <c r="G57" i="32"/>
  <c r="J57" i="32"/>
  <c r="N60" i="32"/>
  <c r="M60" i="32"/>
  <c r="R59" i="32"/>
  <c r="J59" i="32"/>
  <c r="O58" i="32"/>
  <c r="Q58" i="32"/>
  <c r="H58" i="32"/>
  <c r="O60" i="32"/>
  <c r="I60" i="32"/>
  <c r="Q60" i="32"/>
  <c r="N59" i="32"/>
  <c r="K59" i="32"/>
  <c r="P58" i="32"/>
  <c r="I57" i="32"/>
  <c r="R57" i="32"/>
  <c r="L59" i="32"/>
  <c r="O59" i="32"/>
  <c r="P59" i="32"/>
  <c r="N58" i="32"/>
  <c r="R58" i="32"/>
  <c r="Q57" i="32"/>
  <c r="O57" i="32"/>
  <c r="M57" i="32"/>
  <c r="M59" i="32"/>
  <c r="I58" i="32"/>
  <c r="L57" i="32"/>
  <c r="H57" i="32"/>
  <c r="K60" i="32"/>
  <c r="J60" i="32"/>
  <c r="H60" i="32"/>
  <c r="P60" i="32"/>
  <c r="P19" i="29"/>
  <c r="R19" i="29"/>
  <c r="R11" i="26"/>
  <c r="L11" i="26"/>
  <c r="Q21" i="61" s="1"/>
  <c r="K11" i="26"/>
  <c r="J11" i="26"/>
  <c r="N11" i="26"/>
  <c r="M11" i="26"/>
  <c r="P21" i="61" s="1"/>
  <c r="I11" i="26"/>
  <c r="Q11" i="26"/>
  <c r="O11" i="26"/>
  <c r="P11" i="26"/>
  <c r="H11" i="26"/>
  <c r="I22" i="26"/>
  <c r="J22" i="26"/>
  <c r="J18" i="24"/>
  <c r="H22" i="26"/>
  <c r="Q22" i="26"/>
  <c r="K22" i="26"/>
  <c r="L22" i="26"/>
  <c r="Q23" i="61" s="1"/>
  <c r="M22" i="26"/>
  <c r="P23" i="61" s="1"/>
  <c r="F69" i="64" s="1"/>
  <c r="G69" i="64" s="1"/>
  <c r="N22" i="26"/>
  <c r="O22" i="26"/>
  <c r="P22" i="26"/>
  <c r="R22" i="26"/>
  <c r="Q19" i="29"/>
  <c r="J19" i="29"/>
  <c r="K19" i="29"/>
  <c r="M19" i="29"/>
  <c r="N19" i="29"/>
  <c r="G19" i="29"/>
  <c r="H19" i="29"/>
  <c r="O19" i="29"/>
  <c r="G13" i="28"/>
  <c r="G15" i="28"/>
  <c r="J15" i="22"/>
  <c r="J14" i="22"/>
  <c r="G20" i="22"/>
  <c r="J19" i="22"/>
  <c r="J13" i="22"/>
  <c r="G19" i="22"/>
  <c r="J20" i="22"/>
  <c r="K9" i="22"/>
  <c r="L9" i="22" s="1"/>
  <c r="G11" i="22"/>
  <c r="G12" i="22" s="1"/>
  <c r="K8" i="22"/>
  <c r="L8" i="22" s="1"/>
  <c r="J11" i="22"/>
  <c r="J12" i="22" s="1"/>
  <c r="G30" i="22" s="1"/>
  <c r="G18" i="24"/>
  <c r="G11" i="25"/>
  <c r="I11" i="25"/>
  <c r="L11" i="25"/>
  <c r="K11" i="25"/>
  <c r="H11" i="25"/>
  <c r="M11" i="25"/>
  <c r="J11" i="25"/>
  <c r="G13" i="22"/>
  <c r="P11" i="25"/>
  <c r="O11" i="25"/>
  <c r="N11" i="25"/>
  <c r="G14" i="22"/>
  <c r="G15" i="22"/>
  <c r="G20" i="25"/>
  <c r="Q11" i="25"/>
  <c r="R11" i="25"/>
  <c r="A28" i="19"/>
  <c r="B28" i="19" s="1"/>
  <c r="A27" i="19"/>
  <c r="B27" i="19" s="1"/>
  <c r="A26" i="19"/>
  <c r="B26" i="19" s="1"/>
  <c r="A25" i="19"/>
  <c r="B25" i="19" s="1"/>
  <c r="A24" i="19"/>
  <c r="B24" i="19" s="1"/>
  <c r="A23" i="19"/>
  <c r="B23" i="19" s="1"/>
  <c r="A21" i="19"/>
  <c r="A20" i="19"/>
  <c r="A19" i="19"/>
  <c r="A18" i="19"/>
  <c r="A17" i="19"/>
  <c r="A16" i="19"/>
  <c r="W26" i="42" l="1"/>
  <c r="F101" i="64"/>
  <c r="G101" i="64" s="1"/>
  <c r="V26" i="42"/>
  <c r="L22" i="61"/>
  <c r="B30" i="63" s="1"/>
  <c r="B31" i="63" s="1"/>
  <c r="X26" i="42"/>
  <c r="D28" i="42"/>
  <c r="I28" i="42"/>
  <c r="Y26" i="42"/>
  <c r="E34" i="42"/>
  <c r="U26" i="42"/>
  <c r="J34" i="42"/>
  <c r="Z26" i="42"/>
  <c r="G35" i="59"/>
  <c r="L99" i="64"/>
  <c r="I34" i="42"/>
  <c r="G20" i="55"/>
  <c r="G25" i="55" s="1"/>
  <c r="C44" i="54" a="1"/>
  <c r="E45" i="54" s="1"/>
  <c r="G25" i="60"/>
  <c r="H78" i="45"/>
  <c r="F23" i="54"/>
  <c r="G51" i="37"/>
  <c r="E24" i="59"/>
  <c r="F24" i="54"/>
  <c r="E35" i="59"/>
  <c r="Q25" i="72"/>
  <c r="Q29" i="72" s="1"/>
  <c r="M25" i="72"/>
  <c r="M29" i="72" s="1"/>
  <c r="I25" i="72"/>
  <c r="I29" i="72" s="1"/>
  <c r="P25" i="72"/>
  <c r="P29" i="72" s="1"/>
  <c r="L25" i="72"/>
  <c r="L29" i="72" s="1"/>
  <c r="H25" i="72"/>
  <c r="H29" i="72" s="1"/>
  <c r="O25" i="72"/>
  <c r="O29" i="72" s="1"/>
  <c r="G25" i="72"/>
  <c r="G29" i="72" s="1"/>
  <c r="N25" i="72"/>
  <c r="N29" i="72" s="1"/>
  <c r="K25" i="72"/>
  <c r="K29" i="72" s="1"/>
  <c r="J25" i="72"/>
  <c r="J29" i="72" s="1"/>
  <c r="H69" i="64"/>
  <c r="P66" i="64"/>
  <c r="L67" i="64"/>
  <c r="I23" i="73"/>
  <c r="F23" i="73"/>
  <c r="K23" i="73"/>
  <c r="D23" i="73"/>
  <c r="J23" i="73"/>
  <c r="O23" i="73"/>
  <c r="N23" i="73"/>
  <c r="H23" i="73"/>
  <c r="M23" i="73"/>
  <c r="G23" i="73"/>
  <c r="L23" i="73"/>
  <c r="E23" i="73"/>
  <c r="I10" i="55"/>
  <c r="H13" i="55"/>
  <c r="G35" i="73"/>
  <c r="L35" i="73"/>
  <c r="H35" i="73"/>
  <c r="E35" i="73"/>
  <c r="N35" i="73"/>
  <c r="J35" i="73"/>
  <c r="M35" i="73"/>
  <c r="K35" i="73"/>
  <c r="D35" i="73"/>
  <c r="O35" i="73"/>
  <c r="F35" i="73"/>
  <c r="I35" i="73"/>
  <c r="G27" i="60"/>
  <c r="H29" i="39"/>
  <c r="D48" i="73"/>
  <c r="D54" i="73"/>
  <c r="D59" i="73" s="1"/>
  <c r="H48" i="73"/>
  <c r="H54" i="73"/>
  <c r="H59" i="73" s="1"/>
  <c r="I54" i="73"/>
  <c r="I59" i="73" s="1"/>
  <c r="I48" i="73"/>
  <c r="F61" i="64"/>
  <c r="G61" i="64" s="1"/>
  <c r="I39" i="42"/>
  <c r="I39" i="43" s="1"/>
  <c r="I40" i="43" s="1"/>
  <c r="I30" i="73"/>
  <c r="K30" i="73"/>
  <c r="D30" i="73"/>
  <c r="M30" i="73"/>
  <c r="O30" i="73"/>
  <c r="N30" i="73"/>
  <c r="E30" i="73"/>
  <c r="J30" i="73"/>
  <c r="H30" i="73"/>
  <c r="F30" i="73"/>
  <c r="G30" i="73"/>
  <c r="L30" i="73"/>
  <c r="E32" i="60"/>
  <c r="E35" i="60" s="1"/>
  <c r="M35" i="59"/>
  <c r="E48" i="73"/>
  <c r="E54" i="73"/>
  <c r="E59" i="73" s="1"/>
  <c r="O54" i="73"/>
  <c r="O59" i="73" s="1"/>
  <c r="O48" i="73"/>
  <c r="N48" i="73"/>
  <c r="N54" i="73"/>
  <c r="N59" i="73" s="1"/>
  <c r="J38" i="52"/>
  <c r="J24" i="61" s="1"/>
  <c r="J23" i="61"/>
  <c r="F34" i="73"/>
  <c r="K34" i="73"/>
  <c r="D34" i="73"/>
  <c r="O34" i="73"/>
  <c r="N34" i="73"/>
  <c r="J34" i="73"/>
  <c r="E34" i="73"/>
  <c r="G34" i="73"/>
  <c r="H34" i="73"/>
  <c r="I34" i="73"/>
  <c r="L34" i="73"/>
  <c r="M34" i="73"/>
  <c r="D35" i="60"/>
  <c r="H28" i="73"/>
  <c r="G28" i="73"/>
  <c r="D28" i="73"/>
  <c r="F28" i="73"/>
  <c r="M28" i="73"/>
  <c r="L28" i="73"/>
  <c r="I28" i="73"/>
  <c r="O28" i="73"/>
  <c r="N28" i="73"/>
  <c r="E28" i="73"/>
  <c r="K28" i="73"/>
  <c r="J28" i="73"/>
  <c r="I35" i="59"/>
  <c r="E22" i="73"/>
  <c r="M22" i="73"/>
  <c r="G22" i="73"/>
  <c r="L22" i="73"/>
  <c r="K22" i="73"/>
  <c r="D22" i="73"/>
  <c r="I22" i="73"/>
  <c r="O22" i="73"/>
  <c r="J22" i="73"/>
  <c r="N22" i="73"/>
  <c r="N25" i="73" s="1"/>
  <c r="H22" i="73"/>
  <c r="H25" i="73" s="1"/>
  <c r="F22" i="73"/>
  <c r="M48" i="73"/>
  <c r="M54" i="73"/>
  <c r="M59" i="73" s="1"/>
  <c r="K54" i="73"/>
  <c r="K59" i="73" s="1"/>
  <c r="K48" i="73"/>
  <c r="J48" i="73"/>
  <c r="J54" i="73"/>
  <c r="J59" i="73" s="1"/>
  <c r="D39" i="42"/>
  <c r="D39" i="43" s="1"/>
  <c r="J39" i="42"/>
  <c r="J39" i="43" s="1"/>
  <c r="J40" i="43" s="1"/>
  <c r="O35" i="59"/>
  <c r="K35" i="59"/>
  <c r="M11" i="55"/>
  <c r="E25" i="56" s="1"/>
  <c r="E29" i="73"/>
  <c r="H29" i="73"/>
  <c r="I29" i="73"/>
  <c r="M29" i="73"/>
  <c r="O29" i="73"/>
  <c r="D29" i="73"/>
  <c r="J29" i="73"/>
  <c r="L29" i="73"/>
  <c r="F29" i="73"/>
  <c r="G29" i="73"/>
  <c r="K29" i="73"/>
  <c r="N29" i="73"/>
  <c r="G35" i="37"/>
  <c r="F27" i="64" s="1"/>
  <c r="G27" i="64" s="1"/>
  <c r="L54" i="73"/>
  <c r="L59" i="73" s="1"/>
  <c r="L48" i="73"/>
  <c r="G54" i="73"/>
  <c r="G59" i="73" s="1"/>
  <c r="G48" i="73"/>
  <c r="F48" i="73"/>
  <c r="F54" i="73"/>
  <c r="F59" i="73" s="1"/>
  <c r="F25" i="51"/>
  <c r="F26" i="51"/>
  <c r="E58" i="54"/>
  <c r="E57" i="54"/>
  <c r="E56" i="54"/>
  <c r="E60" i="54"/>
  <c r="E61" i="54"/>
  <c r="C56" i="54"/>
  <c r="E49" i="54"/>
  <c r="E175" i="51"/>
  <c r="E171" i="51"/>
  <c r="N140" i="51"/>
  <c r="N173" i="51" s="1"/>
  <c r="G140" i="51"/>
  <c r="G177" i="51" s="1"/>
  <c r="J180" i="51"/>
  <c r="J179" i="51"/>
  <c r="J175" i="51"/>
  <c r="J28" i="42"/>
  <c r="E179" i="51"/>
  <c r="L179" i="51"/>
  <c r="L173" i="51"/>
  <c r="L178" i="51"/>
  <c r="L171" i="51"/>
  <c r="L176" i="51"/>
  <c r="L172" i="51"/>
  <c r="L177" i="51"/>
  <c r="L174" i="51"/>
  <c r="L180" i="51"/>
  <c r="L49" i="49"/>
  <c r="L63" i="49" s="1"/>
  <c r="H49" i="49"/>
  <c r="H63" i="49" s="1"/>
  <c r="O49" i="49"/>
  <c r="O63" i="49" s="1"/>
  <c r="K49" i="49"/>
  <c r="K63" i="49" s="1"/>
  <c r="G49" i="49"/>
  <c r="G63" i="49" s="1"/>
  <c r="N49" i="49"/>
  <c r="N63" i="49" s="1"/>
  <c r="J49" i="49"/>
  <c r="J63" i="49" s="1"/>
  <c r="F49" i="49"/>
  <c r="F63" i="49" s="1"/>
  <c r="M49" i="49"/>
  <c r="M63" i="49" s="1"/>
  <c r="I49" i="49"/>
  <c r="I63" i="49" s="1"/>
  <c r="E49" i="49"/>
  <c r="E63" i="49" s="1"/>
  <c r="O24" i="53"/>
  <c r="O28" i="53" s="1"/>
  <c r="K24" i="53"/>
  <c r="K28" i="53" s="1"/>
  <c r="G24" i="53"/>
  <c r="G28" i="53" s="1"/>
  <c r="N24" i="53"/>
  <c r="N28" i="53" s="1"/>
  <c r="F24" i="53"/>
  <c r="F28" i="53" s="1"/>
  <c r="M24" i="53"/>
  <c r="M28" i="53" s="1"/>
  <c r="I24" i="53"/>
  <c r="I28" i="53" s="1"/>
  <c r="P24" i="53"/>
  <c r="P28" i="53" s="1"/>
  <c r="L24" i="53"/>
  <c r="L28" i="53" s="1"/>
  <c r="H24" i="53"/>
  <c r="H28" i="53" s="1"/>
  <c r="J24" i="53"/>
  <c r="J28" i="53" s="1"/>
  <c r="M46" i="49"/>
  <c r="M60" i="49" s="1"/>
  <c r="I46" i="49"/>
  <c r="I60" i="49" s="1"/>
  <c r="E46" i="49"/>
  <c r="E60" i="49" s="1"/>
  <c r="L42" i="49"/>
  <c r="L44" i="49" s="1"/>
  <c r="L66" i="49" s="1"/>
  <c r="H42" i="49"/>
  <c r="H44" i="49" s="1"/>
  <c r="L46" i="49"/>
  <c r="L60" i="49" s="1"/>
  <c r="H46" i="49"/>
  <c r="H60" i="49" s="1"/>
  <c r="O42" i="49"/>
  <c r="O44" i="49" s="1"/>
  <c r="O66" i="49" s="1"/>
  <c r="K42" i="49"/>
  <c r="K44" i="49" s="1"/>
  <c r="K66" i="49" s="1"/>
  <c r="G42" i="49"/>
  <c r="G44" i="49" s="1"/>
  <c r="G66" i="49" s="1"/>
  <c r="O46" i="49"/>
  <c r="O60" i="49" s="1"/>
  <c r="K46" i="49"/>
  <c r="K60" i="49" s="1"/>
  <c r="G46" i="49"/>
  <c r="G60" i="49" s="1"/>
  <c r="N42" i="49"/>
  <c r="N44" i="49" s="1"/>
  <c r="N66" i="49" s="1"/>
  <c r="J42" i="49"/>
  <c r="J44" i="49" s="1"/>
  <c r="J66" i="49" s="1"/>
  <c r="F42" i="49"/>
  <c r="F44" i="49" s="1"/>
  <c r="F66" i="49" s="1"/>
  <c r="N46" i="49"/>
  <c r="N60" i="49" s="1"/>
  <c r="J46" i="49"/>
  <c r="J60" i="49" s="1"/>
  <c r="F46" i="49"/>
  <c r="F60" i="49" s="1"/>
  <c r="M42" i="49"/>
  <c r="M44" i="49" s="1"/>
  <c r="M66" i="49" s="1"/>
  <c r="I42" i="49"/>
  <c r="I44" i="49" s="1"/>
  <c r="I66" i="49" s="1"/>
  <c r="E42" i="49"/>
  <c r="E44" i="49" s="1"/>
  <c r="E66" i="49" s="1"/>
  <c r="M50" i="49"/>
  <c r="M64" i="49" s="1"/>
  <c r="I50" i="49"/>
  <c r="I64" i="49" s="1"/>
  <c r="E50" i="49"/>
  <c r="E64" i="49" s="1"/>
  <c r="L50" i="49"/>
  <c r="L64" i="49" s="1"/>
  <c r="H50" i="49"/>
  <c r="H64" i="49" s="1"/>
  <c r="O50" i="49"/>
  <c r="O64" i="49" s="1"/>
  <c r="K50" i="49"/>
  <c r="K64" i="49" s="1"/>
  <c r="G50" i="49"/>
  <c r="G64" i="49" s="1"/>
  <c r="N50" i="49"/>
  <c r="N64" i="49" s="1"/>
  <c r="J50" i="49"/>
  <c r="J64" i="49" s="1"/>
  <c r="F50" i="49"/>
  <c r="F64" i="49" s="1"/>
  <c r="D27" i="44"/>
  <c r="M170" i="54"/>
  <c r="K172" i="54"/>
  <c r="I170" i="54"/>
  <c r="E173" i="54"/>
  <c r="D158" i="51"/>
  <c r="J172" i="54"/>
  <c r="H156" i="51"/>
  <c r="H140" i="51"/>
  <c r="H175" i="51" s="1"/>
  <c r="O172" i="54"/>
  <c r="I163" i="51"/>
  <c r="M169" i="54"/>
  <c r="M153" i="54"/>
  <c r="M185" i="54" s="1"/>
  <c r="E169" i="54"/>
  <c r="E153" i="54"/>
  <c r="E184" i="54" s="1"/>
  <c r="D164" i="51"/>
  <c r="L172" i="54"/>
  <c r="I172" i="54"/>
  <c r="L171" i="54"/>
  <c r="O173" i="54"/>
  <c r="I169" i="54"/>
  <c r="I153" i="54"/>
  <c r="I187" i="54" s="1"/>
  <c r="M171" i="54"/>
  <c r="J171" i="54"/>
  <c r="E177" i="51"/>
  <c r="J173" i="51"/>
  <c r="J163" i="51"/>
  <c r="J178" i="51"/>
  <c r="G53" i="37"/>
  <c r="E170" i="54"/>
  <c r="K156" i="51"/>
  <c r="K140" i="51"/>
  <c r="K171" i="51" s="1"/>
  <c r="D169" i="54"/>
  <c r="D153" i="54"/>
  <c r="D184" i="54" s="1"/>
  <c r="M172" i="54"/>
  <c r="H157" i="51"/>
  <c r="H169" i="54"/>
  <c r="H153" i="54"/>
  <c r="H184" i="54" s="1"/>
  <c r="O156" i="51"/>
  <c r="O140" i="51"/>
  <c r="O171" i="51" s="1"/>
  <c r="G173" i="54"/>
  <c r="D170" i="54"/>
  <c r="H159" i="51"/>
  <c r="N170" i="54"/>
  <c r="F180" i="51"/>
  <c r="F164" i="51"/>
  <c r="F179" i="51"/>
  <c r="H173" i="54"/>
  <c r="M174" i="54"/>
  <c r="L173" i="54"/>
  <c r="I161" i="51"/>
  <c r="M140" i="51"/>
  <c r="M171" i="51" s="1"/>
  <c r="M156" i="51"/>
  <c r="G170" i="54"/>
  <c r="F170" i="54"/>
  <c r="D157" i="51"/>
  <c r="N172" i="54"/>
  <c r="H172" i="54"/>
  <c r="J169" i="54"/>
  <c r="J153" i="54"/>
  <c r="J184" i="54" s="1"/>
  <c r="H171" i="54"/>
  <c r="O174" i="54"/>
  <c r="K153" i="54"/>
  <c r="K185" i="54" s="1"/>
  <c r="K169" i="54"/>
  <c r="F174" i="54"/>
  <c r="O48" i="49"/>
  <c r="O62" i="49" s="1"/>
  <c r="K48" i="49"/>
  <c r="K62" i="49" s="1"/>
  <c r="G48" i="49"/>
  <c r="G62" i="49" s="1"/>
  <c r="N48" i="49"/>
  <c r="N62" i="49" s="1"/>
  <c r="J48" i="49"/>
  <c r="J62" i="49" s="1"/>
  <c r="F48" i="49"/>
  <c r="F62" i="49" s="1"/>
  <c r="M48" i="49"/>
  <c r="M62" i="49" s="1"/>
  <c r="I48" i="49"/>
  <c r="I62" i="49" s="1"/>
  <c r="E48" i="49"/>
  <c r="E62" i="49" s="1"/>
  <c r="L48" i="49"/>
  <c r="L62" i="49" s="1"/>
  <c r="H48" i="49"/>
  <c r="H62" i="49" s="1"/>
  <c r="H178" i="51"/>
  <c r="H163" i="51"/>
  <c r="J177" i="51"/>
  <c r="I159" i="51"/>
  <c r="I173" i="54"/>
  <c r="G172" i="54"/>
  <c r="N171" i="54"/>
  <c r="J171" i="51"/>
  <c r="I165" i="51"/>
  <c r="H162" i="51"/>
  <c r="G174" i="54"/>
  <c r="O169" i="54"/>
  <c r="O153" i="54"/>
  <c r="O184" i="54" s="1"/>
  <c r="J172" i="51"/>
  <c r="I140" i="51"/>
  <c r="I172" i="51" s="1"/>
  <c r="I156" i="51"/>
  <c r="F172" i="54"/>
  <c r="D156" i="51"/>
  <c r="D140" i="51"/>
  <c r="D173" i="51" s="1"/>
  <c r="D173" i="54"/>
  <c r="K170" i="54"/>
  <c r="H174" i="54"/>
  <c r="D171" i="54"/>
  <c r="I174" i="54"/>
  <c r="F174" i="51"/>
  <c r="F173" i="54"/>
  <c r="K171" i="54"/>
  <c r="J173" i="54"/>
  <c r="I162" i="51"/>
  <c r="I164" i="51"/>
  <c r="H158" i="51"/>
  <c r="E173" i="51"/>
  <c r="E163" i="51"/>
  <c r="E178" i="51"/>
  <c r="F178" i="51"/>
  <c r="F171" i="54"/>
  <c r="E172" i="51"/>
  <c r="J176" i="51"/>
  <c r="I160" i="51"/>
  <c r="E174" i="54"/>
  <c r="L169" i="54"/>
  <c r="L153" i="54"/>
  <c r="L187" i="54" s="1"/>
  <c r="E37" i="51"/>
  <c r="E42" i="51"/>
  <c r="E34" i="51"/>
  <c r="C34" i="51"/>
  <c r="E43" i="51"/>
  <c r="E38" i="51"/>
  <c r="E40" i="51"/>
  <c r="E39" i="51"/>
  <c r="E41" i="51"/>
  <c r="E36" i="51"/>
  <c r="E35" i="51"/>
  <c r="E176" i="51"/>
  <c r="H170" i="54"/>
  <c r="N173" i="54"/>
  <c r="K173" i="54"/>
  <c r="N47" i="49"/>
  <c r="N61" i="49" s="1"/>
  <c r="J47" i="49"/>
  <c r="J61" i="49" s="1"/>
  <c r="F47" i="49"/>
  <c r="F61" i="49" s="1"/>
  <c r="M47" i="49"/>
  <c r="M61" i="49" s="1"/>
  <c r="I47" i="49"/>
  <c r="I61" i="49" s="1"/>
  <c r="E47" i="49"/>
  <c r="E61" i="49" s="1"/>
  <c r="L47" i="49"/>
  <c r="L61" i="49" s="1"/>
  <c r="H47" i="49"/>
  <c r="H61" i="49" s="1"/>
  <c r="O47" i="49"/>
  <c r="O61" i="49" s="1"/>
  <c r="K47" i="49"/>
  <c r="K61" i="49" s="1"/>
  <c r="G47" i="49"/>
  <c r="G61" i="49" s="1"/>
  <c r="N51" i="49"/>
  <c r="N65" i="49" s="1"/>
  <c r="J51" i="49"/>
  <c r="J65" i="49" s="1"/>
  <c r="F51" i="49"/>
  <c r="F65" i="49" s="1"/>
  <c r="M51" i="49"/>
  <c r="M65" i="49" s="1"/>
  <c r="I51" i="49"/>
  <c r="I65" i="49" s="1"/>
  <c r="E51" i="49"/>
  <c r="E65" i="49" s="1"/>
  <c r="L51" i="49"/>
  <c r="L65" i="49" s="1"/>
  <c r="H51" i="49"/>
  <c r="H65" i="49" s="1"/>
  <c r="O51" i="49"/>
  <c r="O65" i="49" s="1"/>
  <c r="K51" i="49"/>
  <c r="K65" i="49" s="1"/>
  <c r="G51" i="49"/>
  <c r="G65" i="49" s="1"/>
  <c r="D29" i="44"/>
  <c r="L170" i="54"/>
  <c r="H161" i="51"/>
  <c r="F171" i="51"/>
  <c r="D174" i="54"/>
  <c r="I158" i="51"/>
  <c r="O171" i="54"/>
  <c r="F176" i="51"/>
  <c r="L160" i="51"/>
  <c r="L175" i="51"/>
  <c r="F177" i="51"/>
  <c r="L174" i="54"/>
  <c r="J174" i="54"/>
  <c r="F175" i="51"/>
  <c r="F169" i="54"/>
  <c r="F153" i="54"/>
  <c r="F189" i="54" s="1"/>
  <c r="E180" i="51"/>
  <c r="D172" i="54"/>
  <c r="N153" i="54"/>
  <c r="N189" i="54" s="1"/>
  <c r="N169" i="54"/>
  <c r="E174" i="51"/>
  <c r="J170" i="54"/>
  <c r="G153" i="54"/>
  <c r="G189" i="54" s="1"/>
  <c r="G169" i="54"/>
  <c r="H165" i="51"/>
  <c r="O170" i="54"/>
  <c r="G171" i="54"/>
  <c r="E172" i="54"/>
  <c r="F173" i="51"/>
  <c r="N174" i="54"/>
  <c r="J174" i="51"/>
  <c r="H164" i="51"/>
  <c r="G33" i="40"/>
  <c r="G41" i="44"/>
  <c r="G43" i="44" s="1"/>
  <c r="G51" i="44" s="1"/>
  <c r="K41" i="44"/>
  <c r="K43" i="44" s="1"/>
  <c r="K51" i="44" s="1"/>
  <c r="O41" i="44"/>
  <c r="O43" i="44" s="1"/>
  <c r="O51" i="44" s="1"/>
  <c r="H41" i="44"/>
  <c r="H43" i="44" s="1"/>
  <c r="H51" i="44" s="1"/>
  <c r="L41" i="44"/>
  <c r="L43" i="44" s="1"/>
  <c r="L51" i="44" s="1"/>
  <c r="P41" i="44"/>
  <c r="E41" i="44"/>
  <c r="E43" i="44" s="1"/>
  <c r="E51" i="44" s="1"/>
  <c r="M41" i="44"/>
  <c r="M43" i="44" s="1"/>
  <c r="M51" i="44" s="1"/>
  <c r="G26" i="43"/>
  <c r="K26" i="43"/>
  <c r="O26" i="43"/>
  <c r="F26" i="43"/>
  <c r="E26" i="43"/>
  <c r="N26" i="43"/>
  <c r="F41" i="44"/>
  <c r="F43" i="44" s="1"/>
  <c r="F51" i="44" s="1"/>
  <c r="N41" i="44"/>
  <c r="N43" i="44" s="1"/>
  <c r="N51" i="44" s="1"/>
  <c r="H26" i="43"/>
  <c r="L26" i="43"/>
  <c r="J41" i="44"/>
  <c r="J43" i="44" s="1"/>
  <c r="J51" i="44" s="1"/>
  <c r="J26" i="43"/>
  <c r="I41" i="44"/>
  <c r="I43" i="44" s="1"/>
  <c r="I51" i="44" s="1"/>
  <c r="I26" i="43"/>
  <c r="M26" i="43"/>
  <c r="G27" i="35"/>
  <c r="E29" i="44"/>
  <c r="G25" i="35"/>
  <c r="E27" i="44"/>
  <c r="H51" i="37"/>
  <c r="G28" i="42"/>
  <c r="G34" i="42"/>
  <c r="H34" i="42"/>
  <c r="H28" i="42"/>
  <c r="E28" i="42"/>
  <c r="E39" i="42"/>
  <c r="G38" i="72" s="1"/>
  <c r="G39" i="72" s="1"/>
  <c r="F34" i="42"/>
  <c r="F28" i="42"/>
  <c r="H53" i="37"/>
  <c r="H58" i="47"/>
  <c r="C27" i="47"/>
  <c r="D14" i="31"/>
  <c r="E19" i="31"/>
  <c r="E25" i="31" s="1"/>
  <c r="E31" i="31" s="1"/>
  <c r="E37" i="31" s="1"/>
  <c r="E43" i="31" s="1"/>
  <c r="E49" i="31" s="1"/>
  <c r="E55" i="31" s="1"/>
  <c r="E61" i="31" s="1"/>
  <c r="E67" i="31" s="1"/>
  <c r="E73" i="31" s="1"/>
  <c r="F26" i="39"/>
  <c r="K28" i="42"/>
  <c r="K34" i="42"/>
  <c r="L27" i="42"/>
  <c r="AB26" i="42" s="1"/>
  <c r="H68" i="32"/>
  <c r="H83" i="32" s="1"/>
  <c r="L68" i="32"/>
  <c r="L83" i="32" s="1"/>
  <c r="P68" i="32"/>
  <c r="P83" i="32" s="1"/>
  <c r="K68" i="32"/>
  <c r="K83" i="32" s="1"/>
  <c r="I68" i="32"/>
  <c r="I83" i="32" s="1"/>
  <c r="M68" i="32"/>
  <c r="M83" i="32" s="1"/>
  <c r="Q68" i="32"/>
  <c r="Q83" i="32" s="1"/>
  <c r="J68" i="32"/>
  <c r="J83" i="32" s="1"/>
  <c r="N68" i="32"/>
  <c r="N83" i="32" s="1"/>
  <c r="R68" i="32"/>
  <c r="R83" i="32" s="1"/>
  <c r="O68" i="32"/>
  <c r="O83" i="32" s="1"/>
  <c r="D27" i="39"/>
  <c r="D33" i="39"/>
  <c r="H33" i="39" s="1"/>
  <c r="I69" i="32"/>
  <c r="I84" i="32" s="1"/>
  <c r="M69" i="32"/>
  <c r="M84" i="32" s="1"/>
  <c r="Q69" i="32"/>
  <c r="Q84" i="32" s="1"/>
  <c r="P69" i="32"/>
  <c r="P84" i="32" s="1"/>
  <c r="J69" i="32"/>
  <c r="J84" i="32" s="1"/>
  <c r="N69" i="32"/>
  <c r="N84" i="32" s="1"/>
  <c r="R69" i="32"/>
  <c r="R84" i="32" s="1"/>
  <c r="H69" i="32"/>
  <c r="H84" i="32" s="1"/>
  <c r="K69" i="32"/>
  <c r="K84" i="32" s="1"/>
  <c r="O69" i="32"/>
  <c r="O84" i="32" s="1"/>
  <c r="L69" i="32"/>
  <c r="L84" i="32" s="1"/>
  <c r="J66" i="32"/>
  <c r="J81" i="32" s="1"/>
  <c r="N66" i="32"/>
  <c r="N81" i="32" s="1"/>
  <c r="R66" i="32"/>
  <c r="R81" i="32" s="1"/>
  <c r="I66" i="32"/>
  <c r="I81" i="32" s="1"/>
  <c r="K66" i="32"/>
  <c r="K81" i="32" s="1"/>
  <c r="O66" i="32"/>
  <c r="O81" i="32" s="1"/>
  <c r="M66" i="32"/>
  <c r="M81" i="32" s="1"/>
  <c r="H66" i="32"/>
  <c r="H81" i="32" s="1"/>
  <c r="L66" i="32"/>
  <c r="L81" i="32" s="1"/>
  <c r="P66" i="32"/>
  <c r="P81" i="32" s="1"/>
  <c r="Q66" i="32"/>
  <c r="Q81" i="32" s="1"/>
  <c r="E24" i="40"/>
  <c r="D24" i="40"/>
  <c r="J70" i="32"/>
  <c r="J85" i="32" s="1"/>
  <c r="N70" i="32"/>
  <c r="N85" i="32" s="1"/>
  <c r="R70" i="32"/>
  <c r="R85" i="32" s="1"/>
  <c r="K70" i="32"/>
  <c r="K85" i="32" s="1"/>
  <c r="O70" i="32"/>
  <c r="O85" i="32" s="1"/>
  <c r="M70" i="32"/>
  <c r="M85" i="32" s="1"/>
  <c r="Q70" i="32"/>
  <c r="Q85" i="32" s="1"/>
  <c r="H70" i="32"/>
  <c r="H85" i="32" s="1"/>
  <c r="L70" i="32"/>
  <c r="L85" i="32" s="1"/>
  <c r="P70" i="32"/>
  <c r="P85" i="32" s="1"/>
  <c r="I70" i="32"/>
  <c r="I85" i="32" s="1"/>
  <c r="K67" i="32"/>
  <c r="K82" i="32" s="1"/>
  <c r="O67" i="32"/>
  <c r="O82" i="32" s="1"/>
  <c r="J67" i="32"/>
  <c r="J82" i="32" s="1"/>
  <c r="H67" i="32"/>
  <c r="H82" i="32" s="1"/>
  <c r="L67" i="32"/>
  <c r="L82" i="32" s="1"/>
  <c r="P67" i="32"/>
  <c r="P82" i="32" s="1"/>
  <c r="N67" i="32"/>
  <c r="N82" i="32" s="1"/>
  <c r="I67" i="32"/>
  <c r="I82" i="32" s="1"/>
  <c r="M67" i="32"/>
  <c r="M82" i="32" s="1"/>
  <c r="Q67" i="32"/>
  <c r="Q82" i="32" s="1"/>
  <c r="R67" i="32"/>
  <c r="R82" i="32" s="1"/>
  <c r="K71" i="32"/>
  <c r="K86" i="32" s="1"/>
  <c r="O71" i="32"/>
  <c r="O86" i="32" s="1"/>
  <c r="J71" i="32"/>
  <c r="J86" i="32" s="1"/>
  <c r="H71" i="32"/>
  <c r="H86" i="32" s="1"/>
  <c r="L71" i="32"/>
  <c r="L86" i="32" s="1"/>
  <c r="P71" i="32"/>
  <c r="P86" i="32" s="1"/>
  <c r="I71" i="32"/>
  <c r="I86" i="32" s="1"/>
  <c r="M71" i="32"/>
  <c r="M86" i="32" s="1"/>
  <c r="Q71" i="32"/>
  <c r="Q86" i="32" s="1"/>
  <c r="N71" i="32"/>
  <c r="N86" i="32" s="1"/>
  <c r="R71" i="32"/>
  <c r="R86" i="32" s="1"/>
  <c r="E27" i="39"/>
  <c r="E33" i="39"/>
  <c r="E38" i="39" s="1"/>
  <c r="K14" i="22"/>
  <c r="L14" i="22" s="1"/>
  <c r="J17" i="22"/>
  <c r="J22" i="22" s="1"/>
  <c r="J22" i="24" s="1"/>
  <c r="K19" i="22"/>
  <c r="L19" i="22" s="1"/>
  <c r="G9" i="28"/>
  <c r="K15" i="22"/>
  <c r="L15" i="22" s="1"/>
  <c r="K13" i="22"/>
  <c r="L13" i="22" s="1"/>
  <c r="K20" i="22"/>
  <c r="L20" i="22" s="1"/>
  <c r="P17" i="25"/>
  <c r="P22" i="25" s="1"/>
  <c r="P23" i="29" s="1"/>
  <c r="P12" i="25"/>
  <c r="G17" i="25"/>
  <c r="G12" i="25"/>
  <c r="Q17" i="25"/>
  <c r="Q22" i="25" s="1"/>
  <c r="Q23" i="29" s="1"/>
  <c r="Q12" i="25"/>
  <c r="N17" i="25"/>
  <c r="N22" i="25" s="1"/>
  <c r="N23" i="29" s="1"/>
  <c r="N12" i="25"/>
  <c r="J17" i="25"/>
  <c r="J22" i="25" s="1"/>
  <c r="J23" i="29" s="1"/>
  <c r="J12" i="25"/>
  <c r="H17" i="25"/>
  <c r="H12" i="25"/>
  <c r="R17" i="25"/>
  <c r="R22" i="25" s="1"/>
  <c r="R23" i="29" s="1"/>
  <c r="R12" i="25"/>
  <c r="O17" i="25"/>
  <c r="O22" i="25" s="1"/>
  <c r="O23" i="29" s="1"/>
  <c r="O12" i="25"/>
  <c r="M17" i="25"/>
  <c r="M12" i="25"/>
  <c r="G22" i="61" s="1"/>
  <c r="K17" i="25"/>
  <c r="K12" i="25"/>
  <c r="L17" i="25"/>
  <c r="H23" i="61" s="1"/>
  <c r="B11" i="63" s="1"/>
  <c r="B12" i="63" s="1"/>
  <c r="L12" i="25"/>
  <c r="H22" i="61" s="1"/>
  <c r="B27" i="63" s="1"/>
  <c r="B28" i="63" s="1"/>
  <c r="I17" i="25"/>
  <c r="I22" i="25" s="1"/>
  <c r="I23" i="29" s="1"/>
  <c r="I12" i="25"/>
  <c r="G31" i="22"/>
  <c r="K11" i="22"/>
  <c r="L11" i="22" s="1"/>
  <c r="C17" i="19"/>
  <c r="C19" i="19"/>
  <c r="C21" i="19"/>
  <c r="C24" i="19"/>
  <c r="G67" i="32" s="1"/>
  <c r="G82" i="32" s="1"/>
  <c r="C26" i="19"/>
  <c r="G69" i="32" s="1"/>
  <c r="G84" i="32" s="1"/>
  <c r="C28" i="19"/>
  <c r="G71" i="32" s="1"/>
  <c r="G86" i="32" s="1"/>
  <c r="C16" i="19"/>
  <c r="C18" i="19"/>
  <c r="C20" i="19"/>
  <c r="C23" i="19"/>
  <c r="G66" i="32" s="1"/>
  <c r="G81" i="32" s="1"/>
  <c r="C25" i="19"/>
  <c r="G68" i="32" s="1"/>
  <c r="G83" i="32" s="1"/>
  <c r="C27" i="19"/>
  <c r="G70" i="32" s="1"/>
  <c r="G85" i="32" s="1"/>
  <c r="G17" i="22"/>
  <c r="E47" i="54" l="1"/>
  <c r="J24" i="59"/>
  <c r="U25" i="42"/>
  <c r="C5" i="77"/>
  <c r="D4" i="77"/>
  <c r="V24" i="42"/>
  <c r="X25" i="42"/>
  <c r="F5" i="77"/>
  <c r="Y24" i="42"/>
  <c r="G4" i="77"/>
  <c r="C4" i="77"/>
  <c r="U24" i="42"/>
  <c r="I5" i="77"/>
  <c r="AA25" i="42"/>
  <c r="AB24" i="42"/>
  <c r="J4" i="77"/>
  <c r="I24" i="59"/>
  <c r="E5" i="77"/>
  <c r="W25" i="42"/>
  <c r="X24" i="42"/>
  <c r="F4" i="77"/>
  <c r="Y25" i="42"/>
  <c r="G5" i="77"/>
  <c r="Z24" i="42"/>
  <c r="H4" i="77"/>
  <c r="V25" i="42"/>
  <c r="D5" i="77"/>
  <c r="E4" i="77"/>
  <c r="W24" i="42"/>
  <c r="K37" i="53"/>
  <c r="K38" i="53" s="1"/>
  <c r="K47" i="53" s="1"/>
  <c r="H5" i="77"/>
  <c r="Z25" i="42"/>
  <c r="AA24" i="42"/>
  <c r="I4" i="77"/>
  <c r="J51" i="37"/>
  <c r="E37" i="53"/>
  <c r="J37" i="53"/>
  <c r="J38" i="53" s="1"/>
  <c r="J47" i="53" s="1"/>
  <c r="D31" i="73"/>
  <c r="N178" i="51"/>
  <c r="E48" i="54"/>
  <c r="E46" i="54"/>
  <c r="E44" i="54"/>
  <c r="C44" i="54"/>
  <c r="N175" i="51"/>
  <c r="M25" i="73"/>
  <c r="M32" i="73" s="1"/>
  <c r="M37" i="73" s="1"/>
  <c r="L25" i="73"/>
  <c r="L32" i="73" s="1"/>
  <c r="L37" i="73" s="1"/>
  <c r="G34" i="37"/>
  <c r="F31" i="37"/>
  <c r="D25" i="73"/>
  <c r="D26" i="73" s="1"/>
  <c r="K25" i="73"/>
  <c r="K26" i="73" s="1"/>
  <c r="O31" i="73"/>
  <c r="F25" i="73"/>
  <c r="F26" i="73" s="1"/>
  <c r="O25" i="73"/>
  <c r="O26" i="73" s="1"/>
  <c r="L23" i="61"/>
  <c r="B14" i="63" s="1"/>
  <c r="B15" i="63" s="1"/>
  <c r="G25" i="73"/>
  <c r="G32" i="73" s="1"/>
  <c r="G37" i="73" s="1"/>
  <c r="I31" i="73"/>
  <c r="G39" i="42"/>
  <c r="I38" i="72" s="1"/>
  <c r="I39" i="72" s="1"/>
  <c r="I48" i="72" s="1"/>
  <c r="G24" i="59"/>
  <c r="L30" i="43"/>
  <c r="L26" i="59"/>
  <c r="K30" i="43"/>
  <c r="K26" i="59"/>
  <c r="G44" i="37"/>
  <c r="N32" i="73"/>
  <c r="N37" i="73" s="1"/>
  <c r="N26" i="73"/>
  <c r="G35" i="60"/>
  <c r="J10" i="55"/>
  <c r="I13" i="55"/>
  <c r="G48" i="72"/>
  <c r="K22" i="61"/>
  <c r="I22" i="61"/>
  <c r="B21" i="63"/>
  <c r="B22" i="63" s="1"/>
  <c r="I30" i="43"/>
  <c r="I49" i="43" s="1"/>
  <c r="I26" i="59"/>
  <c r="N30" i="43"/>
  <c r="N26" i="59"/>
  <c r="D26" i="60" s="1"/>
  <c r="F37" i="72"/>
  <c r="M22" i="25"/>
  <c r="M23" i="29" s="1"/>
  <c r="G23" i="61"/>
  <c r="K23" i="61" s="1"/>
  <c r="H30" i="43"/>
  <c r="H26" i="59"/>
  <c r="E30" i="43"/>
  <c r="G30" i="43"/>
  <c r="G26" i="59"/>
  <c r="L25" i="64"/>
  <c r="P25" i="64"/>
  <c r="J25" i="73"/>
  <c r="E31" i="73"/>
  <c r="B8" i="63"/>
  <c r="L31" i="73"/>
  <c r="H61" i="64"/>
  <c r="L59" i="64"/>
  <c r="P58" i="64"/>
  <c r="E25" i="73"/>
  <c r="J30" i="43"/>
  <c r="J26" i="59"/>
  <c r="J29" i="59" s="1"/>
  <c r="J42" i="59" s="1"/>
  <c r="J44" i="59" s="1"/>
  <c r="B112" i="63"/>
  <c r="B114" i="63" s="1"/>
  <c r="B115" i="63" s="1"/>
  <c r="F30" i="43"/>
  <c r="F26" i="59"/>
  <c r="E189" i="54"/>
  <c r="F38" i="72"/>
  <c r="D24" i="59"/>
  <c r="N31" i="73"/>
  <c r="M31" i="73"/>
  <c r="H31" i="73"/>
  <c r="B39" i="63"/>
  <c r="B36" i="63"/>
  <c r="G31" i="73"/>
  <c r="K38" i="72"/>
  <c r="K39" i="72" s="1"/>
  <c r="K48" i="72" s="1"/>
  <c r="F25" i="72"/>
  <c r="F29" i="72" s="1"/>
  <c r="K39" i="42"/>
  <c r="M38" i="72" s="1"/>
  <c r="M39" i="72" s="1"/>
  <c r="M48" i="72" s="1"/>
  <c r="K24" i="59"/>
  <c r="F39" i="42"/>
  <c r="H38" i="72" s="1"/>
  <c r="H39" i="72" s="1"/>
  <c r="H48" i="72" s="1"/>
  <c r="F24" i="59"/>
  <c r="H39" i="42"/>
  <c r="J38" i="72" s="1"/>
  <c r="J39" i="72" s="1"/>
  <c r="J48" i="72" s="1"/>
  <c r="H24" i="59"/>
  <c r="M30" i="43"/>
  <c r="M26" i="59"/>
  <c r="E26" i="60" s="1"/>
  <c r="O30" i="43"/>
  <c r="O26" i="59"/>
  <c r="N11" i="55"/>
  <c r="O11" i="55" s="1"/>
  <c r="P11" i="55" s="1"/>
  <c r="Q11" i="55" s="1"/>
  <c r="R11" i="55" s="1"/>
  <c r="L38" i="72"/>
  <c r="L39" i="72" s="1"/>
  <c r="L48" i="72" s="1"/>
  <c r="H26" i="73"/>
  <c r="H32" i="73"/>
  <c r="H37" i="73" s="1"/>
  <c r="I25" i="73"/>
  <c r="J31" i="73"/>
  <c r="F31" i="73"/>
  <c r="G32" i="60"/>
  <c r="K31" i="73"/>
  <c r="H14" i="55"/>
  <c r="H20" i="55"/>
  <c r="H25" i="55" s="1"/>
  <c r="N174" i="51"/>
  <c r="N177" i="51"/>
  <c r="N172" i="51"/>
  <c r="A75" i="63" a="1"/>
  <c r="A75" i="63" s="1"/>
  <c r="E28" i="40"/>
  <c r="J53" i="37"/>
  <c r="F29" i="44"/>
  <c r="H180" i="51"/>
  <c r="H177" i="51"/>
  <c r="I175" i="51"/>
  <c r="J185" i="54"/>
  <c r="D186" i="54"/>
  <c r="M187" i="54"/>
  <c r="J189" i="54"/>
  <c r="L185" i="54"/>
  <c r="J188" i="54"/>
  <c r="M189" i="54"/>
  <c r="K188" i="54"/>
  <c r="K186" i="54"/>
  <c r="I189" i="54"/>
  <c r="I188" i="54"/>
  <c r="J186" i="54"/>
  <c r="L189" i="54"/>
  <c r="I185" i="54"/>
  <c r="I184" i="54"/>
  <c r="D188" i="54"/>
  <c r="D187" i="54"/>
  <c r="D189" i="54"/>
  <c r="G173" i="51"/>
  <c r="G176" i="51"/>
  <c r="G174" i="51"/>
  <c r="G180" i="51"/>
  <c r="G172" i="51"/>
  <c r="G175" i="51"/>
  <c r="G179" i="51"/>
  <c r="E187" i="54"/>
  <c r="Y70" i="54" s="1"/>
  <c r="H186" i="54"/>
  <c r="H187" i="54"/>
  <c r="G171" i="51"/>
  <c r="N176" i="51"/>
  <c r="N180" i="51"/>
  <c r="N171" i="51"/>
  <c r="G178" i="51"/>
  <c r="D171" i="51"/>
  <c r="H172" i="51"/>
  <c r="M186" i="54"/>
  <c r="M184" i="54"/>
  <c r="N179" i="51"/>
  <c r="G186" i="54"/>
  <c r="H185" i="54"/>
  <c r="G187" i="54"/>
  <c r="D179" i="51"/>
  <c r="F27" i="44"/>
  <c r="H189" i="54"/>
  <c r="L188" i="54"/>
  <c r="H188" i="54"/>
  <c r="O185" i="54"/>
  <c r="G188" i="54"/>
  <c r="N190" i="54"/>
  <c r="N192" i="54"/>
  <c r="N193" i="54"/>
  <c r="N191" i="54"/>
  <c r="F184" i="54"/>
  <c r="O186" i="54"/>
  <c r="H176" i="51"/>
  <c r="N188" i="54"/>
  <c r="I179" i="51"/>
  <c r="N186" i="54"/>
  <c r="D48" i="49"/>
  <c r="D62" i="49" s="1"/>
  <c r="K189" i="54"/>
  <c r="K193" i="54"/>
  <c r="K190" i="54"/>
  <c r="K191" i="54"/>
  <c r="K192" i="54"/>
  <c r="G185" i="54"/>
  <c r="M179" i="51"/>
  <c r="M176" i="51"/>
  <c r="M174" i="51"/>
  <c r="M175" i="51"/>
  <c r="M178" i="51"/>
  <c r="M177" i="51"/>
  <c r="M180" i="51"/>
  <c r="M173" i="51"/>
  <c r="M172" i="51"/>
  <c r="H174" i="51"/>
  <c r="D190" i="54"/>
  <c r="D193" i="54"/>
  <c r="D191" i="54"/>
  <c r="D192" i="54"/>
  <c r="D38" i="43"/>
  <c r="D40" i="43" s="1"/>
  <c r="E36" i="53"/>
  <c r="F191" i="54"/>
  <c r="F193" i="54"/>
  <c r="F190" i="54"/>
  <c r="F192" i="54"/>
  <c r="D47" i="49"/>
  <c r="D61" i="49" s="1"/>
  <c r="L184" i="54"/>
  <c r="H173" i="51"/>
  <c r="I177" i="51"/>
  <c r="D174" i="51"/>
  <c r="D177" i="51"/>
  <c r="D176" i="51"/>
  <c r="D180" i="51"/>
  <c r="D178" i="51"/>
  <c r="D175" i="51"/>
  <c r="I171" i="51"/>
  <c r="O189" i="54"/>
  <c r="D172" i="51"/>
  <c r="I176" i="51"/>
  <c r="N185" i="54"/>
  <c r="D185" i="54"/>
  <c r="H190" i="54"/>
  <c r="H193" i="54"/>
  <c r="H192" i="54"/>
  <c r="H191" i="54"/>
  <c r="E185" i="54"/>
  <c r="I186" i="54"/>
  <c r="I190" i="54"/>
  <c r="I193" i="54"/>
  <c r="I191" i="54"/>
  <c r="I192" i="54"/>
  <c r="L186" i="54"/>
  <c r="M188" i="54"/>
  <c r="M192" i="54"/>
  <c r="M193" i="54"/>
  <c r="M190" i="54"/>
  <c r="M191" i="54"/>
  <c r="O187" i="54"/>
  <c r="H171" i="51"/>
  <c r="Y48" i="51" s="1"/>
  <c r="D42" i="49"/>
  <c r="D44" i="49" s="1"/>
  <c r="D66" i="49" s="1"/>
  <c r="H179" i="51"/>
  <c r="G184" i="54"/>
  <c r="G192" i="54"/>
  <c r="G191" i="54"/>
  <c r="G193" i="54"/>
  <c r="G190" i="54"/>
  <c r="N184" i="54"/>
  <c r="I173" i="51"/>
  <c r="L190" i="54"/>
  <c r="L191" i="54"/>
  <c r="L193" i="54"/>
  <c r="L192" i="54"/>
  <c r="F186" i="54"/>
  <c r="I180" i="51"/>
  <c r="K184" i="54"/>
  <c r="J191" i="54"/>
  <c r="J190" i="54"/>
  <c r="J193" i="54"/>
  <c r="J192" i="54"/>
  <c r="N187" i="54"/>
  <c r="F185" i="54"/>
  <c r="O178" i="51"/>
  <c r="Y55" i="51" s="1"/>
  <c r="O177" i="51"/>
  <c r="Y54" i="51" s="1"/>
  <c r="O179" i="51"/>
  <c r="Y56" i="51" s="1"/>
  <c r="O176" i="51"/>
  <c r="O180" i="51"/>
  <c r="Y57" i="51" s="1"/>
  <c r="O175" i="51"/>
  <c r="Y52" i="51" s="1"/>
  <c r="O173" i="51"/>
  <c r="Y50" i="51" s="1"/>
  <c r="O172" i="51"/>
  <c r="O174" i="51"/>
  <c r="E186" i="54"/>
  <c r="E190" i="54"/>
  <c r="E193" i="54"/>
  <c r="E192" i="54"/>
  <c r="E191" i="54"/>
  <c r="J187" i="54"/>
  <c r="E188" i="54"/>
  <c r="K187" i="54"/>
  <c r="D50" i="49"/>
  <c r="D64" i="49" s="1"/>
  <c r="D60" i="49"/>
  <c r="H66" i="49"/>
  <c r="C26" i="49"/>
  <c r="D51" i="49"/>
  <c r="D65" i="49" s="1"/>
  <c r="F188" i="54"/>
  <c r="F187" i="54"/>
  <c r="O191" i="54"/>
  <c r="O192" i="54"/>
  <c r="O193" i="54"/>
  <c r="O190" i="54"/>
  <c r="I174" i="51"/>
  <c r="K173" i="51"/>
  <c r="K177" i="51"/>
  <c r="K176" i="51"/>
  <c r="K180" i="51"/>
  <c r="K178" i="51"/>
  <c r="K174" i="51"/>
  <c r="K179" i="51"/>
  <c r="K175" i="51"/>
  <c r="K172" i="51"/>
  <c r="O188" i="54"/>
  <c r="I178" i="51"/>
  <c r="E24" i="53"/>
  <c r="E28" i="53" s="1"/>
  <c r="D49" i="49"/>
  <c r="D63" i="49" s="1"/>
  <c r="J49" i="43"/>
  <c r="E39" i="43"/>
  <c r="E40" i="43" s="1"/>
  <c r="F37" i="53"/>
  <c r="F38" i="53" s="1"/>
  <c r="F47" i="53" s="1"/>
  <c r="D41" i="44"/>
  <c r="D26" i="43"/>
  <c r="E26" i="59" s="1"/>
  <c r="E29" i="59" s="1"/>
  <c r="E37" i="40"/>
  <c r="E38" i="40" s="1"/>
  <c r="D15" i="31"/>
  <c r="E20" i="31"/>
  <c r="E26" i="31" s="1"/>
  <c r="E32" i="31" s="1"/>
  <c r="E38" i="31" s="1"/>
  <c r="E44" i="31" s="1"/>
  <c r="E50" i="31" s="1"/>
  <c r="E56" i="31" s="1"/>
  <c r="E62" i="31" s="1"/>
  <c r="E68" i="31" s="1"/>
  <c r="E74" i="31" s="1"/>
  <c r="L28" i="42"/>
  <c r="L34" i="42"/>
  <c r="M27" i="42"/>
  <c r="AC26" i="42" s="1"/>
  <c r="F33" i="39"/>
  <c r="K22" i="25"/>
  <c r="K23" i="29" s="1"/>
  <c r="G43" i="37"/>
  <c r="H22" i="25"/>
  <c r="H23" i="29" s="1"/>
  <c r="F17" i="35"/>
  <c r="G22" i="25"/>
  <c r="G23" i="29" s="1"/>
  <c r="G20" i="35"/>
  <c r="G24" i="40"/>
  <c r="D28" i="40"/>
  <c r="D38" i="39"/>
  <c r="G14" i="26"/>
  <c r="G16" i="26" s="1"/>
  <c r="G25" i="26" s="1"/>
  <c r="L22" i="25"/>
  <c r="L23" i="29" s="1"/>
  <c r="F40" i="37"/>
  <c r="Q64" i="32"/>
  <c r="Q87" i="32" s="1"/>
  <c r="M64" i="32"/>
  <c r="M87" i="32" s="1"/>
  <c r="I64" i="32"/>
  <c r="I87" i="32" s="1"/>
  <c r="L64" i="32"/>
  <c r="L87" i="32" s="1"/>
  <c r="K64" i="32"/>
  <c r="K87" i="32" s="1"/>
  <c r="P64" i="32"/>
  <c r="P87" i="32" s="1"/>
  <c r="H64" i="32"/>
  <c r="H87" i="32" s="1"/>
  <c r="O64" i="32"/>
  <c r="O87" i="32" s="1"/>
  <c r="J64" i="32"/>
  <c r="J87" i="32" s="1"/>
  <c r="R64" i="32"/>
  <c r="R87" i="32" s="1"/>
  <c r="N64" i="32"/>
  <c r="N87" i="32" s="1"/>
  <c r="G64" i="32"/>
  <c r="G87" i="32" s="1"/>
  <c r="P22" i="29"/>
  <c r="P24" i="29" s="1"/>
  <c r="M22" i="29"/>
  <c r="M24" i="29" s="1"/>
  <c r="H22" i="29"/>
  <c r="H24" i="29" s="1"/>
  <c r="J22" i="29"/>
  <c r="J24" i="29" s="1"/>
  <c r="O22" i="29"/>
  <c r="O24" i="29" s="1"/>
  <c r="K22" i="29"/>
  <c r="Q22" i="29"/>
  <c r="Q24" i="29" s="1"/>
  <c r="I22" i="29"/>
  <c r="I24" i="29" s="1"/>
  <c r="R22" i="29"/>
  <c r="R24" i="29" s="1"/>
  <c r="L22" i="29"/>
  <c r="G22" i="29"/>
  <c r="N22" i="29"/>
  <c r="N24" i="29" s="1"/>
  <c r="J21" i="24"/>
  <c r="J23" i="24" s="1"/>
  <c r="G21" i="24"/>
  <c r="G9" i="29"/>
  <c r="R9" i="29"/>
  <c r="J10" i="29"/>
  <c r="N10" i="29"/>
  <c r="R10" i="29"/>
  <c r="G10" i="29"/>
  <c r="K10" i="29"/>
  <c r="O10" i="29"/>
  <c r="I10" i="29"/>
  <c r="M10" i="29"/>
  <c r="L10" i="29"/>
  <c r="P10" i="29"/>
  <c r="H10" i="29"/>
  <c r="Q10" i="29"/>
  <c r="G29" i="22"/>
  <c r="K17" i="22"/>
  <c r="G32" i="22" s="1"/>
  <c r="G8" i="28"/>
  <c r="G10" i="28" s="1"/>
  <c r="G22" i="22"/>
  <c r="K22" i="22" s="1"/>
  <c r="L22" i="22" s="1"/>
  <c r="R14" i="26"/>
  <c r="E38" i="53" l="1"/>
  <c r="G26" i="73"/>
  <c r="H24" i="61"/>
  <c r="B42" i="63" s="1"/>
  <c r="B43" i="63" s="1"/>
  <c r="M26" i="73"/>
  <c r="C54" i="54"/>
  <c r="AB25" i="42"/>
  <c r="J5" i="77"/>
  <c r="J6" i="77" s="1"/>
  <c r="K4" i="77"/>
  <c r="AC24" i="42"/>
  <c r="AA27" i="42"/>
  <c r="F6" i="77"/>
  <c r="F7" i="77"/>
  <c r="I7" i="77"/>
  <c r="D7" i="77"/>
  <c r="D6" i="77"/>
  <c r="G24" i="61"/>
  <c r="K24" i="61" s="1"/>
  <c r="Z27" i="42"/>
  <c r="E6" i="77"/>
  <c r="E7" i="77"/>
  <c r="X27" i="42"/>
  <c r="J7" i="77"/>
  <c r="U27" i="42"/>
  <c r="V28" i="42" s="1"/>
  <c r="I6" i="77"/>
  <c r="V27" i="42"/>
  <c r="G6" i="77"/>
  <c r="G7" i="77"/>
  <c r="H7" i="77"/>
  <c r="H6" i="77"/>
  <c r="Y27" i="42"/>
  <c r="I29" i="59"/>
  <c r="I42" i="59" s="1"/>
  <c r="I44" i="59" s="1"/>
  <c r="W27" i="42"/>
  <c r="AB27" i="42"/>
  <c r="C7" i="77"/>
  <c r="E9" i="77" s="1"/>
  <c r="C6" i="77"/>
  <c r="C8" i="77"/>
  <c r="B60" i="63"/>
  <c r="Y51" i="51"/>
  <c r="Y53" i="51"/>
  <c r="Y49" i="51"/>
  <c r="K32" i="73"/>
  <c r="K37" i="73" s="1"/>
  <c r="D25" i="56"/>
  <c r="G25" i="56" s="1"/>
  <c r="F32" i="73"/>
  <c r="F37" i="73" s="1"/>
  <c r="L24" i="29"/>
  <c r="E44" i="40"/>
  <c r="L26" i="73"/>
  <c r="K29" i="59"/>
  <c r="K42" i="59" s="1"/>
  <c r="K44" i="59" s="1"/>
  <c r="K46" i="59" s="1"/>
  <c r="E49" i="43"/>
  <c r="H37" i="53"/>
  <c r="H38" i="53" s="1"/>
  <c r="H47" i="53" s="1"/>
  <c r="G37" i="53"/>
  <c r="G38" i="53" s="1"/>
  <c r="G47" i="53" s="1"/>
  <c r="O32" i="73"/>
  <c r="O37" i="73" s="1"/>
  <c r="D32" i="73"/>
  <c r="D37" i="73" s="1"/>
  <c r="G39" i="43"/>
  <c r="G40" i="43" s="1"/>
  <c r="G49" i="43" s="1"/>
  <c r="F39" i="43"/>
  <c r="F40" i="43" s="1"/>
  <c r="F49" i="43" s="1"/>
  <c r="F39" i="72"/>
  <c r="F48" i="72" s="1"/>
  <c r="F29" i="59"/>
  <c r="F42" i="59" s="1"/>
  <c r="F44" i="59" s="1"/>
  <c r="F46" i="59" s="1"/>
  <c r="I37" i="53"/>
  <c r="I38" i="53" s="1"/>
  <c r="I47" i="53" s="1"/>
  <c r="L37" i="53"/>
  <c r="L38" i="53" s="1"/>
  <c r="L47" i="53" s="1"/>
  <c r="H39" i="43"/>
  <c r="H40" i="43" s="1"/>
  <c r="H49" i="43" s="1"/>
  <c r="K39" i="43"/>
  <c r="K40" i="43" s="1"/>
  <c r="H29" i="59"/>
  <c r="H42" i="59" s="1"/>
  <c r="H44" i="59" s="1"/>
  <c r="H46" i="59" s="1"/>
  <c r="B51" i="63"/>
  <c r="I46" i="59"/>
  <c r="I26" i="73"/>
  <c r="I32" i="73"/>
  <c r="I37" i="73" s="1"/>
  <c r="J46" i="59"/>
  <c r="J26" i="73"/>
  <c r="J32" i="73"/>
  <c r="J37" i="73" s="1"/>
  <c r="K10" i="55"/>
  <c r="J13" i="55"/>
  <c r="L39" i="42"/>
  <c r="N38" i="72" s="1"/>
  <c r="N39" i="72" s="1"/>
  <c r="N48" i="72" s="1"/>
  <c r="L24" i="59"/>
  <c r="L29" i="59" s="1"/>
  <c r="L42" i="59" s="1"/>
  <c r="L44" i="59" s="1"/>
  <c r="L46" i="59" s="1"/>
  <c r="L24" i="61"/>
  <c r="B45" i="63" s="1"/>
  <c r="B46" i="63" s="1"/>
  <c r="G26" i="60"/>
  <c r="G29" i="59"/>
  <c r="G42" i="59" s="1"/>
  <c r="G44" i="59" s="1"/>
  <c r="G46" i="59" s="1"/>
  <c r="Y67" i="54"/>
  <c r="F45" i="64"/>
  <c r="G45" i="64" s="1"/>
  <c r="B37" i="63"/>
  <c r="E26" i="73"/>
  <c r="E32" i="73"/>
  <c r="E37" i="73" s="1"/>
  <c r="I23" i="61"/>
  <c r="B5" i="63"/>
  <c r="D30" i="43"/>
  <c r="D49" i="43" s="1"/>
  <c r="D26" i="59"/>
  <c r="D29" i="59" s="1"/>
  <c r="D42" i="59" s="1"/>
  <c r="D44" i="59" s="1"/>
  <c r="D46" i="59" s="1"/>
  <c r="Y72" i="54"/>
  <c r="H45" i="64"/>
  <c r="B40" i="63"/>
  <c r="B59" i="63"/>
  <c r="H36" i="64"/>
  <c r="B9" i="63"/>
  <c r="I20" i="55"/>
  <c r="I25" i="55" s="1"/>
  <c r="I14" i="55"/>
  <c r="F38" i="39"/>
  <c r="H38" i="39"/>
  <c r="Y75" i="54"/>
  <c r="Y71" i="54"/>
  <c r="G24" i="29"/>
  <c r="Y73" i="54"/>
  <c r="Y74" i="54"/>
  <c r="Y68" i="54"/>
  <c r="Y69" i="54"/>
  <c r="Y76" i="54"/>
  <c r="E47" i="53"/>
  <c r="I43" i="37"/>
  <c r="I42" i="37"/>
  <c r="I34" i="37"/>
  <c r="I33" i="37"/>
  <c r="D43" i="44"/>
  <c r="D51" i="44" s="1"/>
  <c r="K24" i="29"/>
  <c r="G26" i="26"/>
  <c r="G28" i="40"/>
  <c r="D16" i="31"/>
  <c r="E22" i="31" s="1"/>
  <c r="E28" i="31" s="1"/>
  <c r="E34" i="31" s="1"/>
  <c r="E40" i="31" s="1"/>
  <c r="E46" i="31" s="1"/>
  <c r="E52" i="31" s="1"/>
  <c r="E58" i="31" s="1"/>
  <c r="E64" i="31" s="1"/>
  <c r="E70" i="31" s="1"/>
  <c r="E76" i="31" s="1"/>
  <c r="E21" i="31"/>
  <c r="E27" i="31" s="1"/>
  <c r="E33" i="31" s="1"/>
  <c r="E39" i="31" s="1"/>
  <c r="E45" i="31" s="1"/>
  <c r="E51" i="31" s="1"/>
  <c r="E57" i="31" s="1"/>
  <c r="E63" i="31" s="1"/>
  <c r="E69" i="31" s="1"/>
  <c r="E75" i="31" s="1"/>
  <c r="O27" i="42"/>
  <c r="N27" i="42"/>
  <c r="AD26" i="42" s="1"/>
  <c r="M34" i="42"/>
  <c r="M28" i="42"/>
  <c r="D37" i="40"/>
  <c r="D38" i="40" s="1"/>
  <c r="D44" i="40" s="1"/>
  <c r="R16" i="26"/>
  <c r="R25" i="26" s="1"/>
  <c r="R26" i="26"/>
  <c r="L17" i="22"/>
  <c r="G33" i="22"/>
  <c r="H30" i="22" s="1"/>
  <c r="G14" i="29"/>
  <c r="R14" i="29"/>
  <c r="R27" i="29" s="1"/>
  <c r="G12" i="28"/>
  <c r="G22" i="24"/>
  <c r="G23" i="24" s="1"/>
  <c r="B61" i="63" l="1"/>
  <c r="F117" i="64" s="1"/>
  <c r="C49" i="51" a="1"/>
  <c r="G56" i="51" s="1"/>
  <c r="I8" i="77"/>
  <c r="I9" i="77"/>
  <c r="Y28" i="42"/>
  <c r="E8" i="77"/>
  <c r="I24" i="61"/>
  <c r="G9" i="77"/>
  <c r="X29" i="42"/>
  <c r="AB28" i="42"/>
  <c r="D9" i="77"/>
  <c r="K8" i="77"/>
  <c r="AA28" i="42"/>
  <c r="Y29" i="42"/>
  <c r="U28" i="42"/>
  <c r="X28" i="42"/>
  <c r="AC25" i="42"/>
  <c r="AC29" i="42" s="1"/>
  <c r="K5" i="77"/>
  <c r="K9" i="77" s="1"/>
  <c r="L4" i="77"/>
  <c r="AD24" i="42"/>
  <c r="AD28" i="42" s="1"/>
  <c r="W29" i="42"/>
  <c r="H9" i="77"/>
  <c r="H8" i="77"/>
  <c r="G8" i="77"/>
  <c r="V29" i="42"/>
  <c r="C9" i="77"/>
  <c r="J8" i="77"/>
  <c r="D8" i="77"/>
  <c r="W28" i="42"/>
  <c r="AB29" i="42"/>
  <c r="AA29" i="42"/>
  <c r="AE26" i="42"/>
  <c r="G61" i="37"/>
  <c r="U29" i="42"/>
  <c r="J9" i="77"/>
  <c r="F9" i="77"/>
  <c r="Z28" i="42"/>
  <c r="Z29" i="42"/>
  <c r="F8" i="77"/>
  <c r="AC28" i="42"/>
  <c r="B94" i="63"/>
  <c r="U21" i="61" s="1"/>
  <c r="F58" i="37"/>
  <c r="K49" i="43"/>
  <c r="B52" i="63"/>
  <c r="B53" i="63" s="1"/>
  <c r="H109" i="64" s="1"/>
  <c r="B104" i="63"/>
  <c r="B105" i="63" s="1"/>
  <c r="B106" i="63" s="1"/>
  <c r="L39" i="43"/>
  <c r="L40" i="43" s="1"/>
  <c r="L49" i="43" s="1"/>
  <c r="M37" i="53"/>
  <c r="M38" i="53" s="1"/>
  <c r="M47" i="53" s="1"/>
  <c r="G27" i="29"/>
  <c r="M39" i="42"/>
  <c r="O38" i="72" s="1"/>
  <c r="O39" i="72" s="1"/>
  <c r="O48" i="72" s="1"/>
  <c r="M24" i="59"/>
  <c r="B6" i="63"/>
  <c r="F36" i="64"/>
  <c r="G36" i="64" s="1"/>
  <c r="J20" i="55"/>
  <c r="J25" i="55" s="1"/>
  <c r="J14" i="55"/>
  <c r="P42" i="64"/>
  <c r="L43" i="64"/>
  <c r="K13" i="55"/>
  <c r="L10" i="55"/>
  <c r="G71" i="54"/>
  <c r="N34" i="42"/>
  <c r="N28" i="42"/>
  <c r="O28" i="42"/>
  <c r="O34" i="42"/>
  <c r="G37" i="40"/>
  <c r="H32" i="22"/>
  <c r="H31" i="22"/>
  <c r="B62" i="63" l="1"/>
  <c r="H117" i="64"/>
  <c r="G53" i="51"/>
  <c r="C49" i="51"/>
  <c r="G49" i="51" s="1"/>
  <c r="G52" i="51"/>
  <c r="G50" i="51"/>
  <c r="G57" i="51"/>
  <c r="G54" i="51"/>
  <c r="G55" i="51"/>
  <c r="G51" i="51"/>
  <c r="G58" i="51"/>
  <c r="B95" i="63"/>
  <c r="B96" i="63" s="1"/>
  <c r="U22" i="61" s="1"/>
  <c r="K7" i="77"/>
  <c r="M5" i="77"/>
  <c r="M9" i="77" s="1"/>
  <c r="AE25" i="42"/>
  <c r="AC27" i="42"/>
  <c r="L8" i="77"/>
  <c r="L5" i="77"/>
  <c r="L9" i="77" s="1"/>
  <c r="AD25" i="42"/>
  <c r="M4" i="77"/>
  <c r="AE24" i="42"/>
  <c r="AE28" i="42" s="1"/>
  <c r="K6" i="77"/>
  <c r="G60" i="37"/>
  <c r="I60" i="37" s="1"/>
  <c r="I61" i="37"/>
  <c r="B54" i="63"/>
  <c r="F109" i="64"/>
  <c r="G109" i="64" s="1"/>
  <c r="N37" i="53"/>
  <c r="N38" i="53" s="1"/>
  <c r="N47" i="53" s="1"/>
  <c r="M39" i="43"/>
  <c r="M40" i="43" s="1"/>
  <c r="M49" i="43" s="1"/>
  <c r="L34" i="64"/>
  <c r="P33" i="64"/>
  <c r="M10" i="55"/>
  <c r="E24" i="56" s="1"/>
  <c r="E27" i="56" s="1"/>
  <c r="L13" i="55"/>
  <c r="O39" i="42"/>
  <c r="Q38" i="72" s="1"/>
  <c r="Q39" i="72" s="1"/>
  <c r="Q48" i="72" s="1"/>
  <c r="O24" i="59"/>
  <c r="O29" i="59" s="1"/>
  <c r="O42" i="59" s="1"/>
  <c r="O44" i="59" s="1"/>
  <c r="O46" i="59" s="1"/>
  <c r="K14" i="55"/>
  <c r="K20" i="55"/>
  <c r="K25" i="55" s="1"/>
  <c r="G117" i="64"/>
  <c r="L115" i="64"/>
  <c r="M29" i="59"/>
  <c r="M42" i="59" s="1"/>
  <c r="M44" i="59" s="1"/>
  <c r="M46" i="59" s="1"/>
  <c r="E24" i="60"/>
  <c r="E29" i="60" s="1"/>
  <c r="E42" i="60" s="1"/>
  <c r="E44" i="60" s="1"/>
  <c r="D43" i="60" s="1"/>
  <c r="G43" i="60" s="1"/>
  <c r="N39" i="42"/>
  <c r="P38" i="72" s="1"/>
  <c r="P39" i="72" s="1"/>
  <c r="P48" i="72" s="1"/>
  <c r="N24" i="59"/>
  <c r="G73" i="54"/>
  <c r="G72" i="54"/>
  <c r="G77" i="54"/>
  <c r="G68" i="54"/>
  <c r="G75" i="54"/>
  <c r="G74" i="54"/>
  <c r="G76" i="54"/>
  <c r="G70" i="54"/>
  <c r="G69" i="54"/>
  <c r="N39" i="43"/>
  <c r="N40" i="43" s="1"/>
  <c r="N49" i="43" s="1"/>
  <c r="G38" i="40"/>
  <c r="F569"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329" i="6"/>
  <c r="D330" i="6"/>
  <c r="D331" i="6"/>
  <c r="D332" i="6"/>
  <c r="D333" i="6"/>
  <c r="D334" i="6"/>
  <c r="D335" i="6"/>
  <c r="D336" i="6"/>
  <c r="D337" i="6"/>
  <c r="D328" i="6"/>
  <c r="F327" i="6"/>
  <c r="L67" i="6"/>
  <c r="J210" i="6"/>
  <c r="J187" i="6"/>
  <c r="E62" i="17"/>
  <c r="E61" i="17"/>
  <c r="E60" i="17"/>
  <c r="E63" i="17" s="1"/>
  <c r="E59" i="17"/>
  <c r="D62" i="17"/>
  <c r="D61" i="17"/>
  <c r="D60" i="17"/>
  <c r="D59" i="17"/>
  <c r="D63" i="17" s="1"/>
  <c r="F63" i="17" s="1"/>
  <c r="E48" i="17"/>
  <c r="E45" i="17"/>
  <c r="E42" i="17"/>
  <c r="G41" i="17"/>
  <c r="H41" i="17"/>
  <c r="I41" i="17"/>
  <c r="J41" i="17"/>
  <c r="K41" i="17"/>
  <c r="L41" i="17"/>
  <c r="M41" i="17"/>
  <c r="N41" i="17"/>
  <c r="O41" i="17"/>
  <c r="F41" i="17"/>
  <c r="E41" i="17"/>
  <c r="D17" i="17"/>
  <c r="E17" i="17"/>
  <c r="F17" i="17"/>
  <c r="G17" i="17"/>
  <c r="H17" i="17"/>
  <c r="I17" i="17"/>
  <c r="J17" i="17"/>
  <c r="K17" i="17"/>
  <c r="L17" i="17"/>
  <c r="M17" i="17"/>
  <c r="N17" i="17"/>
  <c r="O17" i="17"/>
  <c r="D11" i="17"/>
  <c r="E11" i="17"/>
  <c r="F11" i="17"/>
  <c r="G11" i="17"/>
  <c r="H11" i="17"/>
  <c r="I11" i="17"/>
  <c r="J11" i="17"/>
  <c r="K11" i="17"/>
  <c r="L11" i="17"/>
  <c r="M11" i="17"/>
  <c r="N11" i="17"/>
  <c r="O11" i="17"/>
  <c r="D14" i="17"/>
  <c r="E14" i="17"/>
  <c r="F14" i="17"/>
  <c r="G14" i="17"/>
  <c r="H14" i="17"/>
  <c r="I14" i="17"/>
  <c r="J14" i="17"/>
  <c r="K14" i="17"/>
  <c r="L14" i="17"/>
  <c r="M14" i="17"/>
  <c r="N14" i="17"/>
  <c r="O14" i="17"/>
  <c r="D19" i="17"/>
  <c r="E19" i="17"/>
  <c r="F19" i="17"/>
  <c r="G19" i="17"/>
  <c r="H19" i="17"/>
  <c r="I19" i="17"/>
  <c r="J19" i="17"/>
  <c r="K19" i="17"/>
  <c r="L19" i="17"/>
  <c r="M19" i="17"/>
  <c r="N19" i="17"/>
  <c r="O19" i="17"/>
  <c r="D22" i="17"/>
  <c r="E22" i="17"/>
  <c r="F22" i="17"/>
  <c r="G22" i="17"/>
  <c r="H22" i="17"/>
  <c r="I22" i="17"/>
  <c r="J22" i="17"/>
  <c r="K22" i="17"/>
  <c r="L22" i="17"/>
  <c r="M22" i="17"/>
  <c r="N22" i="17"/>
  <c r="O22" i="17"/>
  <c r="D25" i="17"/>
  <c r="E25" i="17"/>
  <c r="F25" i="17"/>
  <c r="G25" i="17"/>
  <c r="H25" i="17"/>
  <c r="I25" i="17"/>
  <c r="J25" i="17"/>
  <c r="K25" i="17"/>
  <c r="L25" i="17"/>
  <c r="M25" i="17"/>
  <c r="N25" i="17"/>
  <c r="O25" i="17"/>
  <c r="D18" i="17"/>
  <c r="E18" i="17"/>
  <c r="F18" i="17"/>
  <c r="G18" i="17"/>
  <c r="H18" i="17"/>
  <c r="I18" i="17"/>
  <c r="J18" i="17"/>
  <c r="K18" i="17"/>
  <c r="L18" i="17"/>
  <c r="M18" i="17"/>
  <c r="N18" i="17"/>
  <c r="O18" i="17"/>
  <c r="D12" i="17"/>
  <c r="E12" i="17"/>
  <c r="F12" i="17"/>
  <c r="G12" i="17"/>
  <c r="H12" i="17"/>
  <c r="I12" i="17"/>
  <c r="J12" i="17"/>
  <c r="K12" i="17"/>
  <c r="L12" i="17"/>
  <c r="M12" i="17"/>
  <c r="N12" i="17"/>
  <c r="O12" i="17"/>
  <c r="D15" i="17"/>
  <c r="E15" i="17"/>
  <c r="F15" i="17"/>
  <c r="G15" i="17"/>
  <c r="H15" i="17"/>
  <c r="I15" i="17"/>
  <c r="J15" i="17"/>
  <c r="K15" i="17"/>
  <c r="L15" i="17"/>
  <c r="M15" i="17"/>
  <c r="N15" i="17"/>
  <c r="O15" i="17"/>
  <c r="D20" i="17"/>
  <c r="E20" i="17"/>
  <c r="F20" i="17"/>
  <c r="G20" i="17"/>
  <c r="H20" i="17"/>
  <c r="I20" i="17"/>
  <c r="J20" i="17"/>
  <c r="K20" i="17"/>
  <c r="L20" i="17"/>
  <c r="M20" i="17"/>
  <c r="N20" i="17"/>
  <c r="O20" i="17"/>
  <c r="D23" i="17"/>
  <c r="E23" i="17"/>
  <c r="F23" i="17"/>
  <c r="G23" i="17"/>
  <c r="H23" i="17"/>
  <c r="I23" i="17"/>
  <c r="J23" i="17"/>
  <c r="K23" i="17"/>
  <c r="L23" i="17"/>
  <c r="M23" i="17"/>
  <c r="N23" i="17"/>
  <c r="O23" i="17"/>
  <c r="D26" i="17"/>
  <c r="E26" i="17"/>
  <c r="F26" i="17"/>
  <c r="G26" i="17"/>
  <c r="H26" i="17"/>
  <c r="I26" i="17"/>
  <c r="J26" i="17"/>
  <c r="K26" i="17"/>
  <c r="L26" i="17"/>
  <c r="M26" i="17"/>
  <c r="N26" i="17"/>
  <c r="O26" i="17"/>
  <c r="O24" i="17"/>
  <c r="E9" i="17"/>
  <c r="F9" i="17"/>
  <c r="G9" i="17"/>
  <c r="H9" i="17"/>
  <c r="I9" i="17"/>
  <c r="J9" i="17"/>
  <c r="K9" i="17"/>
  <c r="L9" i="17"/>
  <c r="M9" i="17"/>
  <c r="N9" i="17"/>
  <c r="O9" i="17"/>
  <c r="E10" i="17"/>
  <c r="F10" i="17"/>
  <c r="G10" i="17"/>
  <c r="H10" i="17"/>
  <c r="I10" i="17"/>
  <c r="J10" i="17"/>
  <c r="K10" i="17"/>
  <c r="L10" i="17"/>
  <c r="M10" i="17"/>
  <c r="N10" i="17"/>
  <c r="O10" i="17"/>
  <c r="E13" i="17"/>
  <c r="F13" i="17"/>
  <c r="G13" i="17"/>
  <c r="H13" i="17"/>
  <c r="I13" i="17"/>
  <c r="J13" i="17"/>
  <c r="K13" i="17"/>
  <c r="L13" i="17"/>
  <c r="M13" i="17"/>
  <c r="N13" i="17"/>
  <c r="O13" i="17"/>
  <c r="E16" i="17"/>
  <c r="F16" i="17"/>
  <c r="G16" i="17"/>
  <c r="H16" i="17"/>
  <c r="I16" i="17"/>
  <c r="J16" i="17"/>
  <c r="K16" i="17"/>
  <c r="L16" i="17"/>
  <c r="M16" i="17"/>
  <c r="N16" i="17"/>
  <c r="O16" i="17"/>
  <c r="E21" i="17"/>
  <c r="F21" i="17"/>
  <c r="G21" i="17"/>
  <c r="H21" i="17"/>
  <c r="I21" i="17"/>
  <c r="J21" i="17"/>
  <c r="K21" i="17"/>
  <c r="L21" i="17"/>
  <c r="M21" i="17"/>
  <c r="N21" i="17"/>
  <c r="O21" i="17"/>
  <c r="E24" i="17"/>
  <c r="F24" i="17"/>
  <c r="G24" i="17"/>
  <c r="H24" i="17"/>
  <c r="I24" i="17"/>
  <c r="J24" i="17"/>
  <c r="K24" i="17"/>
  <c r="L24" i="17"/>
  <c r="M24" i="17"/>
  <c r="N24" i="17"/>
  <c r="D9" i="17"/>
  <c r="D10" i="17"/>
  <c r="D13" i="17"/>
  <c r="D16" i="17"/>
  <c r="D21" i="17"/>
  <c r="D24" i="17"/>
  <c r="E23" i="2"/>
  <c r="F23" i="2"/>
  <c r="G23" i="2"/>
  <c r="H23" i="2"/>
  <c r="I23" i="2"/>
  <c r="J23" i="2"/>
  <c r="K23" i="2"/>
  <c r="L23" i="2"/>
  <c r="M23" i="2"/>
  <c r="N23" i="2"/>
  <c r="O23" i="2"/>
  <c r="E16" i="2"/>
  <c r="F16" i="2"/>
  <c r="G16" i="2"/>
  <c r="H16" i="2"/>
  <c r="I16" i="2"/>
  <c r="J16" i="2"/>
  <c r="K16" i="2"/>
  <c r="L16" i="2"/>
  <c r="M16" i="2"/>
  <c r="N16" i="2"/>
  <c r="O16" i="2"/>
  <c r="E9" i="2"/>
  <c r="F9" i="2"/>
  <c r="G9" i="2"/>
  <c r="H9" i="2"/>
  <c r="I9" i="2"/>
  <c r="J9" i="2"/>
  <c r="K9" i="2"/>
  <c r="L9" i="2"/>
  <c r="M9" i="2"/>
  <c r="N9" i="2"/>
  <c r="O9" i="2"/>
  <c r="D9" i="2"/>
  <c r="C23" i="5"/>
  <c r="C29" i="5"/>
  <c r="C35" i="5"/>
  <c r="C41" i="5"/>
  <c r="C47" i="5"/>
  <c r="C53" i="5"/>
  <c r="C59" i="5"/>
  <c r="C65" i="5"/>
  <c r="C71" i="5"/>
  <c r="C77" i="5"/>
  <c r="C83" i="5"/>
  <c r="C24" i="5"/>
  <c r="C30" i="5"/>
  <c r="C36" i="5"/>
  <c r="C42" i="5"/>
  <c r="C48" i="5"/>
  <c r="C54" i="5"/>
  <c r="C60" i="5"/>
  <c r="C66" i="5"/>
  <c r="C72" i="5"/>
  <c r="C78" i="5"/>
  <c r="C84" i="5"/>
  <c r="C25" i="5"/>
  <c r="C31" i="5"/>
  <c r="C37" i="5"/>
  <c r="C43" i="5"/>
  <c r="C49" i="5"/>
  <c r="C55" i="5"/>
  <c r="C61" i="5"/>
  <c r="C67" i="5"/>
  <c r="C73" i="5"/>
  <c r="C79" i="5"/>
  <c r="C85" i="5"/>
  <c r="C26" i="5"/>
  <c r="C32" i="5"/>
  <c r="C38" i="5"/>
  <c r="C44" i="5"/>
  <c r="C50" i="5"/>
  <c r="C56" i="5"/>
  <c r="C62" i="5"/>
  <c r="C68" i="5"/>
  <c r="C74" i="5"/>
  <c r="C80" i="5"/>
  <c r="C86" i="5"/>
  <c r="C27" i="5"/>
  <c r="C33" i="5"/>
  <c r="C39" i="5"/>
  <c r="C45" i="5"/>
  <c r="C51" i="5"/>
  <c r="C57" i="5"/>
  <c r="C63" i="5"/>
  <c r="C69" i="5"/>
  <c r="C75" i="5"/>
  <c r="C81" i="5"/>
  <c r="C87" i="5"/>
  <c r="C28" i="5"/>
  <c r="C34" i="5"/>
  <c r="C40" i="5"/>
  <c r="C46" i="5"/>
  <c r="C52" i="5"/>
  <c r="C58" i="5"/>
  <c r="C64" i="5"/>
  <c r="C70" i="5"/>
  <c r="C76" i="5"/>
  <c r="C82" i="5"/>
  <c r="C88" i="5"/>
  <c r="C22" i="5"/>
  <c r="C21" i="5"/>
  <c r="C20" i="5"/>
  <c r="C19" i="5"/>
  <c r="C18" i="5"/>
  <c r="C17" i="5"/>
  <c r="A84" i="63" l="1" a="1"/>
  <c r="A84" i="63" s="1"/>
  <c r="L7" i="77"/>
  <c r="AD27" i="42"/>
  <c r="AD29" i="42"/>
  <c r="AE27" i="42"/>
  <c r="AE29" i="42"/>
  <c r="M7" i="77"/>
  <c r="M6" i="77"/>
  <c r="M8" i="77"/>
  <c r="L6" i="77"/>
  <c r="L107" i="64"/>
  <c r="P37" i="53"/>
  <c r="P38" i="53" s="1"/>
  <c r="P47" i="53" s="1"/>
  <c r="O39" i="43"/>
  <c r="O40" i="43" s="1"/>
  <c r="O49" i="43" s="1"/>
  <c r="N10" i="55"/>
  <c r="D24" i="56" s="1"/>
  <c r="M13" i="55"/>
  <c r="E34" i="56"/>
  <c r="E39" i="56" s="1"/>
  <c r="E28" i="56"/>
  <c r="O37" i="53"/>
  <c r="O38" i="53" s="1"/>
  <c r="O47" i="53" s="1"/>
  <c r="N29" i="59"/>
  <c r="N42" i="59" s="1"/>
  <c r="N44" i="59" s="1"/>
  <c r="N46" i="59" s="1"/>
  <c r="D24" i="60"/>
  <c r="L14" i="55"/>
  <c r="L20" i="55"/>
  <c r="L25" i="55" s="1"/>
  <c r="M5" i="14"/>
  <c r="O5" i="14"/>
  <c r="L5" i="14" s="1"/>
  <c r="Q5" i="14"/>
  <c r="R5" i="14"/>
  <c r="M6" i="14"/>
  <c r="O6" i="14"/>
  <c r="L6" i="14" s="1"/>
  <c r="Q6" i="14"/>
  <c r="R6" i="14"/>
  <c r="M7" i="14"/>
  <c r="O7" i="14"/>
  <c r="L7" i="14" s="1"/>
  <c r="Q7" i="14"/>
  <c r="R7" i="14"/>
  <c r="M8" i="14"/>
  <c r="O8" i="14"/>
  <c r="L8" i="14" s="1"/>
  <c r="Q8" i="14"/>
  <c r="R8" i="14"/>
  <c r="M9" i="14"/>
  <c r="O9" i="14"/>
  <c r="L9" i="14" s="1"/>
  <c r="Q9" i="14"/>
  <c r="R9" i="14"/>
  <c r="M10" i="14"/>
  <c r="O10" i="14"/>
  <c r="L10" i="14" s="1"/>
  <c r="Q10" i="14"/>
  <c r="R10" i="14"/>
  <c r="M11" i="14"/>
  <c r="O11" i="14"/>
  <c r="L11" i="14" s="1"/>
  <c r="Q11" i="14"/>
  <c r="R11" i="14"/>
  <c r="M12" i="14"/>
  <c r="O12" i="14"/>
  <c r="L12" i="14" s="1"/>
  <c r="Q12" i="14"/>
  <c r="R12" i="14"/>
  <c r="M13" i="14"/>
  <c r="O13" i="14"/>
  <c r="L13" i="14" s="1"/>
  <c r="Q13" i="14"/>
  <c r="R13" i="14"/>
  <c r="M14" i="14"/>
  <c r="O14" i="14"/>
  <c r="L14" i="14" s="1"/>
  <c r="Q14" i="14"/>
  <c r="R14" i="14"/>
  <c r="M15" i="14"/>
  <c r="O15" i="14"/>
  <c r="L15" i="14" s="1"/>
  <c r="Q15" i="14"/>
  <c r="R15" i="14"/>
  <c r="M16" i="14"/>
  <c r="O16" i="14"/>
  <c r="L16" i="14" s="1"/>
  <c r="Q16" i="14"/>
  <c r="R16" i="14"/>
  <c r="M17" i="14"/>
  <c r="O17" i="14"/>
  <c r="L17" i="14" s="1"/>
  <c r="Q17" i="14"/>
  <c r="R17" i="14"/>
  <c r="M18" i="14"/>
  <c r="O18" i="14"/>
  <c r="L18" i="14" s="1"/>
  <c r="Q18" i="14"/>
  <c r="R18" i="14"/>
  <c r="M19" i="14"/>
  <c r="O19" i="14"/>
  <c r="L19" i="14" s="1"/>
  <c r="Q19" i="14"/>
  <c r="R19" i="14"/>
  <c r="M20" i="14"/>
  <c r="O20" i="14"/>
  <c r="L20" i="14" s="1"/>
  <c r="Q20" i="14"/>
  <c r="R20" i="14"/>
  <c r="M21" i="14"/>
  <c r="O21" i="14"/>
  <c r="L21" i="14" s="1"/>
  <c r="Q21" i="14"/>
  <c r="R21" i="14"/>
  <c r="M22" i="14"/>
  <c r="O22" i="14"/>
  <c r="L22" i="14" s="1"/>
  <c r="Q22" i="14"/>
  <c r="R22" i="14"/>
  <c r="M23" i="14"/>
  <c r="O23" i="14"/>
  <c r="L23" i="14" s="1"/>
  <c r="Q23" i="14"/>
  <c r="R23" i="14"/>
  <c r="M24" i="14"/>
  <c r="O24" i="14"/>
  <c r="L24" i="14" s="1"/>
  <c r="Q24" i="14"/>
  <c r="R24" i="14"/>
  <c r="M25" i="14"/>
  <c r="O25" i="14"/>
  <c r="L25" i="14" s="1"/>
  <c r="Q25" i="14"/>
  <c r="R25" i="14"/>
  <c r="M26" i="14"/>
  <c r="O26" i="14"/>
  <c r="L26" i="14" s="1"/>
  <c r="Q26" i="14"/>
  <c r="R26" i="14"/>
  <c r="M27" i="14"/>
  <c r="O27" i="14"/>
  <c r="L27" i="14" s="1"/>
  <c r="Q27" i="14"/>
  <c r="R27" i="14"/>
  <c r="M28" i="14"/>
  <c r="O28" i="14"/>
  <c r="L28" i="14" s="1"/>
  <c r="Q28" i="14"/>
  <c r="R28" i="14"/>
  <c r="M29" i="14"/>
  <c r="O29" i="14"/>
  <c r="L29" i="14" s="1"/>
  <c r="Q29" i="14"/>
  <c r="R29" i="14"/>
  <c r="M30" i="14"/>
  <c r="O30" i="14"/>
  <c r="L30" i="14" s="1"/>
  <c r="Q30" i="14"/>
  <c r="R30" i="14"/>
  <c r="M31" i="14"/>
  <c r="O31" i="14"/>
  <c r="L31" i="14" s="1"/>
  <c r="Q31" i="14"/>
  <c r="R31" i="14"/>
  <c r="M32" i="14"/>
  <c r="O32" i="14"/>
  <c r="L32" i="14" s="1"/>
  <c r="Q32" i="14"/>
  <c r="R32" i="14"/>
  <c r="M33" i="14"/>
  <c r="O33" i="14"/>
  <c r="L33" i="14" s="1"/>
  <c r="Q33" i="14"/>
  <c r="R33" i="14"/>
  <c r="M34" i="14"/>
  <c r="O34" i="14"/>
  <c r="L34" i="14" s="1"/>
  <c r="Q34" i="14"/>
  <c r="R34" i="14"/>
  <c r="M35" i="14"/>
  <c r="O35" i="14"/>
  <c r="L35" i="14" s="1"/>
  <c r="Q35" i="14"/>
  <c r="R35" i="14"/>
  <c r="M36" i="14"/>
  <c r="O36" i="14"/>
  <c r="L36" i="14" s="1"/>
  <c r="Q36" i="14"/>
  <c r="R36" i="14"/>
  <c r="M37" i="14"/>
  <c r="O37" i="14"/>
  <c r="L37" i="14" s="1"/>
  <c r="Q37" i="14"/>
  <c r="R37" i="14"/>
  <c r="M38" i="14"/>
  <c r="O38" i="14"/>
  <c r="L38" i="14" s="1"/>
  <c r="Q38" i="14"/>
  <c r="R38" i="14"/>
  <c r="M39" i="14"/>
  <c r="O39" i="14"/>
  <c r="L39" i="14" s="1"/>
  <c r="Q39" i="14"/>
  <c r="R39" i="14"/>
  <c r="M40" i="14"/>
  <c r="O40" i="14"/>
  <c r="L40" i="14" s="1"/>
  <c r="Q40" i="14"/>
  <c r="R40" i="14"/>
  <c r="M41" i="14"/>
  <c r="O41" i="14"/>
  <c r="L41" i="14" s="1"/>
  <c r="Q41" i="14"/>
  <c r="R41" i="14"/>
  <c r="M42" i="14"/>
  <c r="O42" i="14"/>
  <c r="L42" i="14" s="1"/>
  <c r="Q42" i="14"/>
  <c r="R42" i="14"/>
  <c r="M43" i="14"/>
  <c r="O43" i="14"/>
  <c r="L43" i="14" s="1"/>
  <c r="Q43" i="14"/>
  <c r="R43" i="14"/>
  <c r="M44" i="14"/>
  <c r="O44" i="14"/>
  <c r="L44" i="14" s="1"/>
  <c r="Q44" i="14"/>
  <c r="R44" i="14"/>
  <c r="M45" i="14"/>
  <c r="O45" i="14"/>
  <c r="L45" i="14" s="1"/>
  <c r="Q45" i="14"/>
  <c r="R45" i="14"/>
  <c r="M46" i="14"/>
  <c r="O46" i="14"/>
  <c r="L46" i="14" s="1"/>
  <c r="Q46" i="14"/>
  <c r="R46" i="14"/>
  <c r="M47" i="14"/>
  <c r="O47" i="14"/>
  <c r="L47" i="14" s="1"/>
  <c r="Q47" i="14"/>
  <c r="R47" i="14"/>
  <c r="M48" i="14"/>
  <c r="O48" i="14"/>
  <c r="L48" i="14" s="1"/>
  <c r="Q48" i="14"/>
  <c r="R48" i="14"/>
  <c r="M49" i="14"/>
  <c r="O49" i="14"/>
  <c r="L49" i="14" s="1"/>
  <c r="Q49" i="14"/>
  <c r="R49" i="14"/>
  <c r="M50" i="14"/>
  <c r="O50" i="14"/>
  <c r="L50" i="14" s="1"/>
  <c r="Q50" i="14"/>
  <c r="R50" i="14"/>
  <c r="M51" i="14"/>
  <c r="O51" i="14"/>
  <c r="L51" i="14" s="1"/>
  <c r="Q51" i="14"/>
  <c r="R51" i="14"/>
  <c r="M52" i="14"/>
  <c r="O52" i="14"/>
  <c r="L52" i="14" s="1"/>
  <c r="Q52" i="14"/>
  <c r="R52" i="14"/>
  <c r="M53" i="14"/>
  <c r="O53" i="14"/>
  <c r="L53" i="14" s="1"/>
  <c r="Q53" i="14"/>
  <c r="R53" i="14"/>
  <c r="M54" i="14"/>
  <c r="O54" i="14"/>
  <c r="L54" i="14" s="1"/>
  <c r="Q54" i="14"/>
  <c r="R54" i="14"/>
  <c r="M55" i="14"/>
  <c r="O55" i="14"/>
  <c r="L55" i="14" s="1"/>
  <c r="Q55" i="14"/>
  <c r="R55" i="14"/>
  <c r="M56" i="14"/>
  <c r="O56" i="14"/>
  <c r="L56" i="14" s="1"/>
  <c r="Q56" i="14"/>
  <c r="R56" i="14"/>
  <c r="M57" i="14"/>
  <c r="O57" i="14"/>
  <c r="L57" i="14" s="1"/>
  <c r="Q57" i="14"/>
  <c r="R57" i="14"/>
  <c r="M58" i="14"/>
  <c r="O58" i="14"/>
  <c r="L58" i="14" s="1"/>
  <c r="Q58" i="14"/>
  <c r="R58" i="14"/>
  <c r="M59" i="14"/>
  <c r="O59" i="14"/>
  <c r="L59" i="14" s="1"/>
  <c r="Q59" i="14"/>
  <c r="R59" i="14"/>
  <c r="M60" i="14"/>
  <c r="O60" i="14"/>
  <c r="L60" i="14" s="1"/>
  <c r="Q60" i="14"/>
  <c r="R60" i="14"/>
  <c r="M61" i="14"/>
  <c r="O61" i="14"/>
  <c r="L61" i="14" s="1"/>
  <c r="Q61" i="14"/>
  <c r="R61" i="14"/>
  <c r="M62" i="14"/>
  <c r="O62" i="14"/>
  <c r="L62" i="14" s="1"/>
  <c r="Q62" i="14"/>
  <c r="R62" i="14"/>
  <c r="M63" i="14"/>
  <c r="O63" i="14"/>
  <c r="L63" i="14" s="1"/>
  <c r="Q63" i="14"/>
  <c r="R63" i="14"/>
  <c r="M64" i="14"/>
  <c r="O64" i="14"/>
  <c r="L64" i="14" s="1"/>
  <c r="Q64" i="14"/>
  <c r="R64" i="14"/>
  <c r="M65" i="14"/>
  <c r="O65" i="14"/>
  <c r="L65" i="14" s="1"/>
  <c r="Q65" i="14"/>
  <c r="R65" i="14"/>
  <c r="M66" i="14"/>
  <c r="O66" i="14"/>
  <c r="L66" i="14" s="1"/>
  <c r="Q66" i="14"/>
  <c r="R66" i="14"/>
  <c r="M67" i="14"/>
  <c r="O67" i="14"/>
  <c r="L67" i="14" s="1"/>
  <c r="Q67" i="14"/>
  <c r="R67" i="14"/>
  <c r="M68" i="14"/>
  <c r="O68" i="14"/>
  <c r="L68" i="14" s="1"/>
  <c r="Q68" i="14"/>
  <c r="R68" i="14"/>
  <c r="M69" i="14"/>
  <c r="O69" i="14"/>
  <c r="L69" i="14" s="1"/>
  <c r="Q69" i="14"/>
  <c r="R69" i="14"/>
  <c r="M70" i="14"/>
  <c r="O70" i="14"/>
  <c r="L70" i="14" s="1"/>
  <c r="Q70" i="14"/>
  <c r="R70" i="14"/>
  <c r="M71" i="14"/>
  <c r="O71" i="14"/>
  <c r="L71" i="14" s="1"/>
  <c r="Q71" i="14"/>
  <c r="R71" i="14"/>
  <c r="M72" i="14"/>
  <c r="O72" i="14"/>
  <c r="L72" i="14" s="1"/>
  <c r="Q72" i="14"/>
  <c r="R72" i="14"/>
  <c r="M73" i="14"/>
  <c r="O73" i="14"/>
  <c r="L73" i="14" s="1"/>
  <c r="Q73" i="14"/>
  <c r="R73" i="14"/>
  <c r="M74" i="14"/>
  <c r="O74" i="14"/>
  <c r="L74" i="14" s="1"/>
  <c r="Q74" i="14"/>
  <c r="R74" i="14"/>
  <c r="M75" i="14"/>
  <c r="O75" i="14"/>
  <c r="L75" i="14" s="1"/>
  <c r="Q75" i="14"/>
  <c r="R75" i="14"/>
  <c r="M76" i="14"/>
  <c r="O76" i="14"/>
  <c r="L76" i="14" s="1"/>
  <c r="Q76" i="14"/>
  <c r="R76" i="14"/>
  <c r="M77" i="14"/>
  <c r="O77" i="14"/>
  <c r="L77" i="14" s="1"/>
  <c r="Q77" i="14"/>
  <c r="R77" i="14"/>
  <c r="M78" i="14"/>
  <c r="O78" i="14"/>
  <c r="L78" i="14" s="1"/>
  <c r="Q78" i="14"/>
  <c r="R78" i="14"/>
  <c r="M79" i="14"/>
  <c r="O79" i="14"/>
  <c r="L79" i="14" s="1"/>
  <c r="Q79" i="14"/>
  <c r="R79" i="14"/>
  <c r="M80" i="14"/>
  <c r="O80" i="14"/>
  <c r="L80" i="14" s="1"/>
  <c r="Q80" i="14"/>
  <c r="R80" i="14"/>
  <c r="M81" i="14"/>
  <c r="O81" i="14"/>
  <c r="L81" i="14" s="1"/>
  <c r="Q81" i="14"/>
  <c r="R81" i="14"/>
  <c r="M82" i="14"/>
  <c r="O82" i="14"/>
  <c r="L82" i="14" s="1"/>
  <c r="Q82" i="14"/>
  <c r="R82" i="14"/>
  <c r="M83" i="14"/>
  <c r="O83" i="14"/>
  <c r="L83" i="14" s="1"/>
  <c r="Q83" i="14"/>
  <c r="R83" i="14"/>
  <c r="M84" i="14"/>
  <c r="O84" i="14"/>
  <c r="L84" i="14" s="1"/>
  <c r="Q84" i="14"/>
  <c r="R84" i="14"/>
  <c r="M85" i="14"/>
  <c r="O85" i="14"/>
  <c r="L85" i="14" s="1"/>
  <c r="Q85" i="14"/>
  <c r="R85" i="14"/>
  <c r="M86" i="14"/>
  <c r="O86" i="14"/>
  <c r="L86" i="14" s="1"/>
  <c r="Q86" i="14"/>
  <c r="R86" i="14"/>
  <c r="M87" i="14"/>
  <c r="O87" i="14"/>
  <c r="L87" i="14" s="1"/>
  <c r="Q87" i="14"/>
  <c r="R87" i="14"/>
  <c r="M88" i="14"/>
  <c r="O88" i="14"/>
  <c r="L88" i="14" s="1"/>
  <c r="Q88" i="14"/>
  <c r="R88" i="14"/>
  <c r="M89" i="14"/>
  <c r="O89" i="14"/>
  <c r="L89" i="14" s="1"/>
  <c r="Q89" i="14"/>
  <c r="R89" i="14"/>
  <c r="M90" i="14"/>
  <c r="O90" i="14"/>
  <c r="L90" i="14" s="1"/>
  <c r="Q90" i="14"/>
  <c r="R90" i="14"/>
  <c r="M91" i="14"/>
  <c r="O91" i="14"/>
  <c r="L91" i="14" s="1"/>
  <c r="Q91" i="14"/>
  <c r="R91" i="14"/>
  <c r="M92" i="14"/>
  <c r="O92" i="14"/>
  <c r="L92" i="14" s="1"/>
  <c r="Q92" i="14"/>
  <c r="R92" i="14"/>
  <c r="M93" i="14"/>
  <c r="O93" i="14"/>
  <c r="L93" i="14" s="1"/>
  <c r="Q93" i="14"/>
  <c r="R93" i="14"/>
  <c r="M94" i="14"/>
  <c r="O94" i="14"/>
  <c r="L94" i="14" s="1"/>
  <c r="Q94" i="14"/>
  <c r="R94" i="14"/>
  <c r="M95" i="14"/>
  <c r="O95" i="14"/>
  <c r="L95" i="14" s="1"/>
  <c r="Q95" i="14"/>
  <c r="R95" i="14"/>
  <c r="M96" i="14"/>
  <c r="O96" i="14"/>
  <c r="L96" i="14" s="1"/>
  <c r="Q96" i="14"/>
  <c r="R96" i="14"/>
  <c r="M97" i="14"/>
  <c r="O97" i="14"/>
  <c r="L97" i="14" s="1"/>
  <c r="Q97" i="14"/>
  <c r="R97" i="14"/>
  <c r="M98" i="14"/>
  <c r="O98" i="14"/>
  <c r="L98" i="14" s="1"/>
  <c r="Q98" i="14"/>
  <c r="R98" i="14"/>
  <c r="M99" i="14"/>
  <c r="O99" i="14"/>
  <c r="L99" i="14" s="1"/>
  <c r="Q99" i="14"/>
  <c r="R99" i="14"/>
  <c r="M100" i="14"/>
  <c r="O100" i="14"/>
  <c r="L100" i="14" s="1"/>
  <c r="Q100" i="14"/>
  <c r="R100" i="14"/>
  <c r="M101" i="14"/>
  <c r="O101" i="14"/>
  <c r="L101" i="14" s="1"/>
  <c r="Q101" i="14"/>
  <c r="R101" i="14"/>
  <c r="M102" i="14"/>
  <c r="O102" i="14"/>
  <c r="L102" i="14" s="1"/>
  <c r="Q102" i="14"/>
  <c r="R102" i="14"/>
  <c r="M103" i="14"/>
  <c r="O103" i="14"/>
  <c r="L103" i="14" s="1"/>
  <c r="Q103" i="14"/>
  <c r="R103" i="14"/>
  <c r="M104" i="14"/>
  <c r="O104" i="14"/>
  <c r="L104" i="14" s="1"/>
  <c r="Q104" i="14"/>
  <c r="R104" i="14"/>
  <c r="M105" i="14"/>
  <c r="O105" i="14"/>
  <c r="L105" i="14" s="1"/>
  <c r="Q105" i="14"/>
  <c r="R105" i="14"/>
  <c r="M106" i="14"/>
  <c r="O106" i="14"/>
  <c r="L106" i="14" s="1"/>
  <c r="Q106" i="14"/>
  <c r="R106" i="14"/>
  <c r="M107" i="14"/>
  <c r="O107" i="14"/>
  <c r="L107" i="14" s="1"/>
  <c r="Q107" i="14"/>
  <c r="R107" i="14"/>
  <c r="M108" i="14"/>
  <c r="O108" i="14"/>
  <c r="L108" i="14" s="1"/>
  <c r="Q108" i="14"/>
  <c r="R108" i="14"/>
  <c r="M109" i="14"/>
  <c r="O109" i="14"/>
  <c r="L109" i="14" s="1"/>
  <c r="Q109" i="14"/>
  <c r="R109" i="14"/>
  <c r="M110" i="14"/>
  <c r="O110" i="14"/>
  <c r="L110" i="14" s="1"/>
  <c r="Q110" i="14"/>
  <c r="R110" i="14"/>
  <c r="M111" i="14"/>
  <c r="O111" i="14"/>
  <c r="L111" i="14" s="1"/>
  <c r="Q111" i="14"/>
  <c r="R111" i="14"/>
  <c r="M112" i="14"/>
  <c r="O112" i="14"/>
  <c r="L112" i="14" s="1"/>
  <c r="Q112" i="14"/>
  <c r="R112" i="14"/>
  <c r="M113" i="14"/>
  <c r="O113" i="14"/>
  <c r="L113" i="14" s="1"/>
  <c r="Q113" i="14"/>
  <c r="R113" i="14"/>
  <c r="M114" i="14"/>
  <c r="O114" i="14"/>
  <c r="L114" i="14" s="1"/>
  <c r="Q114" i="14"/>
  <c r="R114" i="14"/>
  <c r="M115" i="14"/>
  <c r="O115" i="14"/>
  <c r="L115" i="14" s="1"/>
  <c r="Q115" i="14"/>
  <c r="R115" i="14"/>
  <c r="M116" i="14"/>
  <c r="O116" i="14"/>
  <c r="L116" i="14" s="1"/>
  <c r="Q116" i="14"/>
  <c r="R116" i="14"/>
  <c r="M117" i="14"/>
  <c r="O117" i="14"/>
  <c r="L117" i="14" s="1"/>
  <c r="Q117" i="14"/>
  <c r="R117" i="14"/>
  <c r="M118" i="14"/>
  <c r="O118" i="14"/>
  <c r="L118" i="14" s="1"/>
  <c r="Q118" i="14"/>
  <c r="R118" i="14"/>
  <c r="M119" i="14"/>
  <c r="O119" i="14"/>
  <c r="L119" i="14" s="1"/>
  <c r="Q119" i="14"/>
  <c r="R119" i="14"/>
  <c r="M120" i="14"/>
  <c r="O120" i="14"/>
  <c r="L120" i="14" s="1"/>
  <c r="Q120" i="14"/>
  <c r="R120" i="14"/>
  <c r="M121" i="14"/>
  <c r="O121" i="14"/>
  <c r="L121" i="14" s="1"/>
  <c r="Q121" i="14"/>
  <c r="R121" i="14"/>
  <c r="M122" i="14"/>
  <c r="O122" i="14"/>
  <c r="L122" i="14" s="1"/>
  <c r="Q122" i="14"/>
  <c r="R122" i="14"/>
  <c r="M123" i="14"/>
  <c r="O123" i="14"/>
  <c r="L123" i="14" s="1"/>
  <c r="Q123" i="14"/>
  <c r="R123" i="14"/>
  <c r="M4" i="14"/>
  <c r="O4" i="14"/>
  <c r="L4" i="14" s="1"/>
  <c r="Q4" i="14"/>
  <c r="R4" i="14"/>
  <c r="B28" i="14"/>
  <c r="B27" i="14"/>
  <c r="B26" i="14"/>
  <c r="B25" i="14"/>
  <c r="B24" i="14"/>
  <c r="B23" i="14"/>
  <c r="B22" i="14"/>
  <c r="B21" i="14"/>
  <c r="B20" i="14"/>
  <c r="B19" i="14"/>
  <c r="A2" i="13"/>
  <c r="A3" i="13"/>
  <c r="A4" i="13"/>
  <c r="A5" i="13"/>
  <c r="A6" i="13"/>
  <c r="A7" i="13"/>
  <c r="A8" i="13"/>
  <c r="A9" i="13"/>
  <c r="A10" i="13"/>
  <c r="A11" i="13"/>
  <c r="A12" i="13"/>
  <c r="A13" i="13"/>
  <c r="A14" i="13"/>
  <c r="A15" i="13"/>
  <c r="A16" i="13"/>
  <c r="A17" i="13"/>
  <c r="A18" i="13"/>
  <c r="A19" i="13"/>
  <c r="A20" i="13"/>
  <c r="A21" i="13"/>
  <c r="A22" i="13"/>
  <c r="A23" i="13"/>
  <c r="A24" i="13"/>
  <c r="A25" i="13"/>
  <c r="A48" i="13"/>
  <c r="H48" i="13"/>
  <c r="A49" i="13"/>
  <c r="H49" i="13"/>
  <c r="A50" i="13"/>
  <c r="H50" i="13"/>
  <c r="A51" i="13"/>
  <c r="H51" i="13"/>
  <c r="B58" i="8"/>
  <c r="B57" i="8"/>
  <c r="B56" i="8"/>
  <c r="B55" i="8"/>
  <c r="B54" i="8"/>
  <c r="B53" i="8"/>
  <c r="B52" i="8"/>
  <c r="B51" i="8"/>
  <c r="B50" i="8"/>
  <c r="B49" i="8"/>
  <c r="B89" i="63" l="1"/>
  <c r="D29" i="60"/>
  <c r="G24" i="60"/>
  <c r="M14" i="55"/>
  <c r="M20" i="55"/>
  <c r="M25" i="55" s="1"/>
  <c r="N13" i="55"/>
  <c r="O10" i="55"/>
  <c r="G24" i="56"/>
  <c r="D27" i="56"/>
  <c r="B47" i="8"/>
  <c r="B46" i="8"/>
  <c r="B45" i="8"/>
  <c r="B44" i="8"/>
  <c r="B43" i="8"/>
  <c r="B42" i="8"/>
  <c r="B41" i="8"/>
  <c r="B40" i="8"/>
  <c r="B39" i="8"/>
  <c r="B38" i="8"/>
  <c r="B36" i="8"/>
  <c r="B35" i="8"/>
  <c r="B34" i="8"/>
  <c r="B33" i="8"/>
  <c r="B32" i="8"/>
  <c r="B31" i="8"/>
  <c r="B30" i="8"/>
  <c r="B29" i="8"/>
  <c r="B28" i="8"/>
  <c r="B27" i="8"/>
  <c r="D34" i="56" l="1"/>
  <c r="G27" i="56"/>
  <c r="D28" i="56"/>
  <c r="O13" i="55"/>
  <c r="P10" i="55"/>
  <c r="N14" i="55"/>
  <c r="N20" i="55"/>
  <c r="N25" i="55" s="1"/>
  <c r="D42" i="60"/>
  <c r="G29" i="60"/>
  <c r="B25" i="8"/>
  <c r="B24" i="8"/>
  <c r="B23" i="8"/>
  <c r="B22" i="8"/>
  <c r="B21" i="8"/>
  <c r="B20" i="8"/>
  <c r="B19" i="8"/>
  <c r="B18" i="8"/>
  <c r="B17" i="8"/>
  <c r="B16" i="8"/>
  <c r="B4" i="8"/>
  <c r="B5" i="8"/>
  <c r="B6" i="8"/>
  <c r="B7" i="8"/>
  <c r="B8" i="8"/>
  <c r="B9" i="8"/>
  <c r="B10" i="8"/>
  <c r="B11" i="8"/>
  <c r="B12" i="8"/>
  <c r="B3" i="8"/>
  <c r="D3" i="8"/>
  <c r="D49" i="8" s="1"/>
  <c r="E3" i="8"/>
  <c r="E49" i="8" s="1"/>
  <c r="F3" i="8"/>
  <c r="F49" i="8" s="1"/>
  <c r="G3" i="8"/>
  <c r="G49" i="8" s="1"/>
  <c r="H3" i="8"/>
  <c r="H49" i="8" s="1"/>
  <c r="I3" i="8"/>
  <c r="I49" i="8" s="1"/>
  <c r="J3" i="8"/>
  <c r="J49" i="8" s="1"/>
  <c r="K3" i="8"/>
  <c r="K49" i="8" s="1"/>
  <c r="L3" i="8"/>
  <c r="L49" i="8" s="1"/>
  <c r="M3" i="8"/>
  <c r="M49" i="8" s="1"/>
  <c r="N3" i="8"/>
  <c r="N49" i="8" s="1"/>
  <c r="D4" i="8"/>
  <c r="E4" i="8"/>
  <c r="F4" i="8"/>
  <c r="F50" i="8" s="1"/>
  <c r="G4" i="8"/>
  <c r="H4" i="8"/>
  <c r="I4" i="8"/>
  <c r="J4" i="8"/>
  <c r="J50" i="8" s="1"/>
  <c r="K4" i="8"/>
  <c r="L4" i="8"/>
  <c r="M4" i="8"/>
  <c r="N4" i="8"/>
  <c r="N50" i="8" s="1"/>
  <c r="D5" i="8"/>
  <c r="E5" i="8"/>
  <c r="F5" i="8"/>
  <c r="G5" i="8"/>
  <c r="G51" i="8" s="1"/>
  <c r="H5" i="8"/>
  <c r="I5" i="8"/>
  <c r="J5" i="8"/>
  <c r="J18" i="8" s="1"/>
  <c r="K5" i="8"/>
  <c r="K51" i="8" s="1"/>
  <c r="L5" i="8"/>
  <c r="M5" i="8"/>
  <c r="N5" i="8"/>
  <c r="D6" i="8"/>
  <c r="D52" i="8" s="1"/>
  <c r="E6" i="8"/>
  <c r="F6" i="8"/>
  <c r="G6" i="8"/>
  <c r="G52" i="8" s="1"/>
  <c r="H6" i="8"/>
  <c r="H52" i="8" s="1"/>
  <c r="I6" i="8"/>
  <c r="J6" i="8"/>
  <c r="K6" i="8"/>
  <c r="K52" i="8" s="1"/>
  <c r="L6" i="8"/>
  <c r="L52" i="8" s="1"/>
  <c r="M6" i="8"/>
  <c r="N6" i="8"/>
  <c r="D7" i="8"/>
  <c r="E7" i="8"/>
  <c r="F7" i="8"/>
  <c r="G7" i="8"/>
  <c r="H7" i="8"/>
  <c r="I7" i="8"/>
  <c r="J7" i="8"/>
  <c r="K7" i="8"/>
  <c r="L7" i="8"/>
  <c r="M7" i="8"/>
  <c r="N7" i="8"/>
  <c r="D8" i="8"/>
  <c r="E8" i="8"/>
  <c r="F8" i="8"/>
  <c r="F54" i="8" s="1"/>
  <c r="G8" i="8"/>
  <c r="H8" i="8"/>
  <c r="I8" i="8"/>
  <c r="J8" i="8"/>
  <c r="J54" i="8" s="1"/>
  <c r="K8" i="8"/>
  <c r="L8" i="8"/>
  <c r="M8" i="8"/>
  <c r="N8" i="8"/>
  <c r="N54" i="8" s="1"/>
  <c r="D9" i="8"/>
  <c r="D55" i="8" s="1"/>
  <c r="E9" i="8"/>
  <c r="E55" i="8" s="1"/>
  <c r="F9" i="8"/>
  <c r="F55" i="8" s="1"/>
  <c r="G9" i="8"/>
  <c r="G55" i="8" s="1"/>
  <c r="H9" i="8"/>
  <c r="H55" i="8" s="1"/>
  <c r="I9" i="8"/>
  <c r="I55" i="8" s="1"/>
  <c r="J9" i="8"/>
  <c r="J55" i="8" s="1"/>
  <c r="K9" i="8"/>
  <c r="K55" i="8" s="1"/>
  <c r="L9" i="8"/>
  <c r="L55" i="8" s="1"/>
  <c r="M9" i="8"/>
  <c r="M55" i="8" s="1"/>
  <c r="N9" i="8"/>
  <c r="N55" i="8" s="1"/>
  <c r="D10" i="8"/>
  <c r="D56" i="8" s="1"/>
  <c r="E10" i="8"/>
  <c r="F10" i="8"/>
  <c r="G10" i="8"/>
  <c r="G56" i="8" s="1"/>
  <c r="H10" i="8"/>
  <c r="H56" i="8" s="1"/>
  <c r="I10" i="8"/>
  <c r="J10" i="8"/>
  <c r="K10" i="8"/>
  <c r="K56" i="8" s="1"/>
  <c r="L10" i="8"/>
  <c r="L56" i="8" s="1"/>
  <c r="M10" i="8"/>
  <c r="N10" i="8"/>
  <c r="D11" i="8"/>
  <c r="D57" i="8" s="1"/>
  <c r="E11" i="8"/>
  <c r="E57" i="8" s="1"/>
  <c r="F11" i="8"/>
  <c r="F57" i="8" s="1"/>
  <c r="G11" i="8"/>
  <c r="G57" i="8" s="1"/>
  <c r="H11" i="8"/>
  <c r="H57" i="8" s="1"/>
  <c r="I11" i="8"/>
  <c r="I57" i="8" s="1"/>
  <c r="J11" i="8"/>
  <c r="J57" i="8" s="1"/>
  <c r="K11" i="8"/>
  <c r="K57" i="8" s="1"/>
  <c r="L11" i="8"/>
  <c r="L57" i="8" s="1"/>
  <c r="M11" i="8"/>
  <c r="M57" i="8" s="1"/>
  <c r="N11" i="8"/>
  <c r="N57" i="8" s="1"/>
  <c r="D12" i="8"/>
  <c r="D58" i="8" s="1"/>
  <c r="E12" i="8"/>
  <c r="E58" i="8" s="1"/>
  <c r="F12" i="8"/>
  <c r="F58" i="8" s="1"/>
  <c r="G12" i="8"/>
  <c r="G58" i="8" s="1"/>
  <c r="H12" i="8"/>
  <c r="H58" i="8" s="1"/>
  <c r="I12" i="8"/>
  <c r="I58" i="8" s="1"/>
  <c r="J12" i="8"/>
  <c r="J58" i="8" s="1"/>
  <c r="K12" i="8"/>
  <c r="K58" i="8" s="1"/>
  <c r="L12" i="8"/>
  <c r="L58" i="8" s="1"/>
  <c r="M12" i="8"/>
  <c r="M58" i="8" s="1"/>
  <c r="N12" i="8"/>
  <c r="N58" i="8" s="1"/>
  <c r="C12" i="8"/>
  <c r="C58" i="8" s="1"/>
  <c r="C11" i="8"/>
  <c r="C57" i="8" s="1"/>
  <c r="C10" i="8"/>
  <c r="C9" i="8"/>
  <c r="C55" i="8" s="1"/>
  <c r="C8" i="8"/>
  <c r="C7" i="8"/>
  <c r="C53" i="8" s="1"/>
  <c r="C6" i="8"/>
  <c r="C5" i="8"/>
  <c r="C4" i="8"/>
  <c r="C50" i="8" s="1"/>
  <c r="C3" i="8"/>
  <c r="C49" i="8" s="1"/>
  <c r="B36" i="6"/>
  <c r="B35" i="6"/>
  <c r="B34" i="6"/>
  <c r="B33" i="6"/>
  <c r="B32" i="6"/>
  <c r="B31" i="6"/>
  <c r="D9" i="6"/>
  <c r="D18" i="6" s="1"/>
  <c r="E9" i="6"/>
  <c r="E18" i="6" s="1"/>
  <c r="F9" i="6"/>
  <c r="F18" i="6" s="1"/>
  <c r="G9" i="6"/>
  <c r="G18" i="6" s="1"/>
  <c r="H9" i="6"/>
  <c r="H18" i="6" s="1"/>
  <c r="I9" i="6"/>
  <c r="I18" i="6" s="1"/>
  <c r="J9" i="6"/>
  <c r="J18" i="6" s="1"/>
  <c r="K9" i="6"/>
  <c r="K18" i="6" s="1"/>
  <c r="L9" i="6"/>
  <c r="L18" i="6" s="1"/>
  <c r="M9" i="6"/>
  <c r="M18" i="6" s="1"/>
  <c r="N9" i="6"/>
  <c r="N18" i="6" s="1"/>
  <c r="C9" i="6"/>
  <c r="M17" i="4"/>
  <c r="N20" i="6" s="1"/>
  <c r="M16" i="4"/>
  <c r="C16" i="4"/>
  <c r="D16" i="4"/>
  <c r="E16" i="4"/>
  <c r="F16" i="4"/>
  <c r="G13" i="6" s="1"/>
  <c r="G16" i="4"/>
  <c r="H19" i="6" s="1"/>
  <c r="H25" i="6" s="1"/>
  <c r="H16" i="4"/>
  <c r="I16" i="4"/>
  <c r="J16" i="4"/>
  <c r="K13" i="6" s="1"/>
  <c r="K16" i="4"/>
  <c r="L19" i="6" s="1"/>
  <c r="L25" i="6" s="1"/>
  <c r="L16" i="4"/>
  <c r="C17" i="4"/>
  <c r="D17" i="4"/>
  <c r="E17" i="4"/>
  <c r="F17" i="4"/>
  <c r="G17" i="4"/>
  <c r="H20" i="6" s="1"/>
  <c r="H17" i="4"/>
  <c r="I17" i="4"/>
  <c r="J17" i="4"/>
  <c r="K17" i="4"/>
  <c r="L20" i="6" s="1"/>
  <c r="L17" i="4"/>
  <c r="C18" i="4"/>
  <c r="D21" i="6" s="1"/>
  <c r="D18" i="4"/>
  <c r="E18" i="4"/>
  <c r="F18" i="4"/>
  <c r="G18" i="4"/>
  <c r="H18" i="4"/>
  <c r="I18" i="4"/>
  <c r="J18" i="4"/>
  <c r="K18" i="4"/>
  <c r="L18" i="4"/>
  <c r="M18" i="4"/>
  <c r="B18" i="4"/>
  <c r="C21" i="6" s="1"/>
  <c r="B17" i="4"/>
  <c r="B16" i="4"/>
  <c r="C13" i="6" s="1"/>
  <c r="C43" i="6" s="1"/>
  <c r="B3" i="6"/>
  <c r="B4" i="6"/>
  <c r="B5" i="6"/>
  <c r="B6" i="6"/>
  <c r="B7" i="6"/>
  <c r="B2" i="6"/>
  <c r="D11" i="5"/>
  <c r="G23" i="5" s="1"/>
  <c r="E11" i="5"/>
  <c r="G29" i="5" s="1"/>
  <c r="F11" i="5"/>
  <c r="G35" i="5" s="1"/>
  <c r="G11" i="5"/>
  <c r="G41" i="5" s="1"/>
  <c r="H11" i="5"/>
  <c r="G47" i="5" s="1"/>
  <c r="I11" i="5"/>
  <c r="G53" i="5" s="1"/>
  <c r="J11" i="5"/>
  <c r="G59" i="5" s="1"/>
  <c r="K11" i="5"/>
  <c r="G65" i="5" s="1"/>
  <c r="L11" i="5"/>
  <c r="G71" i="5" s="1"/>
  <c r="M11" i="5"/>
  <c r="G77" i="5" s="1"/>
  <c r="N11" i="5"/>
  <c r="G83" i="5" s="1"/>
  <c r="D12" i="5"/>
  <c r="G24" i="5" s="1"/>
  <c r="E12" i="5"/>
  <c r="G30" i="5" s="1"/>
  <c r="F12" i="5"/>
  <c r="G36" i="5" s="1"/>
  <c r="G12" i="5"/>
  <c r="G42" i="5" s="1"/>
  <c r="H12" i="5"/>
  <c r="G48" i="5" s="1"/>
  <c r="I12" i="5"/>
  <c r="G54" i="5" s="1"/>
  <c r="J12" i="5"/>
  <c r="G60" i="5" s="1"/>
  <c r="K12" i="5"/>
  <c r="G66" i="5" s="1"/>
  <c r="L12" i="5"/>
  <c r="G72" i="5" s="1"/>
  <c r="M12" i="5"/>
  <c r="G78" i="5" s="1"/>
  <c r="N12" i="5"/>
  <c r="G84" i="5" s="1"/>
  <c r="D13" i="5"/>
  <c r="G25" i="5" s="1"/>
  <c r="E13" i="5"/>
  <c r="G31" i="5" s="1"/>
  <c r="F13" i="5"/>
  <c r="G37" i="5" s="1"/>
  <c r="G13" i="5"/>
  <c r="G43" i="5" s="1"/>
  <c r="H13" i="5"/>
  <c r="G49" i="5" s="1"/>
  <c r="I13" i="5"/>
  <c r="G55" i="5" s="1"/>
  <c r="J13" i="5"/>
  <c r="G61" i="5" s="1"/>
  <c r="K13" i="5"/>
  <c r="G67" i="5" s="1"/>
  <c r="L13" i="5"/>
  <c r="G73" i="5" s="1"/>
  <c r="M13" i="5"/>
  <c r="G79" i="5" s="1"/>
  <c r="N13" i="5"/>
  <c r="G85" i="5" s="1"/>
  <c r="D14" i="5"/>
  <c r="G26" i="5" s="1"/>
  <c r="E14" i="5"/>
  <c r="G32" i="5" s="1"/>
  <c r="F14" i="5"/>
  <c r="G38" i="5" s="1"/>
  <c r="G14" i="5"/>
  <c r="G44" i="5" s="1"/>
  <c r="H14" i="5"/>
  <c r="G50" i="5" s="1"/>
  <c r="I14" i="5"/>
  <c r="G56" i="5" s="1"/>
  <c r="J14" i="5"/>
  <c r="G62" i="5" s="1"/>
  <c r="K14" i="5"/>
  <c r="G68" i="5" s="1"/>
  <c r="L14" i="5"/>
  <c r="G74" i="5" s="1"/>
  <c r="M14" i="5"/>
  <c r="G80" i="5" s="1"/>
  <c r="N14" i="5"/>
  <c r="G86" i="5" s="1"/>
  <c r="D15" i="5"/>
  <c r="G27" i="5" s="1"/>
  <c r="E15" i="5"/>
  <c r="G33" i="5" s="1"/>
  <c r="F15" i="5"/>
  <c r="G39" i="5" s="1"/>
  <c r="G15" i="5"/>
  <c r="G45" i="5" s="1"/>
  <c r="H15" i="5"/>
  <c r="G51" i="5" s="1"/>
  <c r="I15" i="5"/>
  <c r="G57" i="5" s="1"/>
  <c r="J15" i="5"/>
  <c r="G63" i="5" s="1"/>
  <c r="K15" i="5"/>
  <c r="G69" i="5" s="1"/>
  <c r="L15" i="5"/>
  <c r="G75" i="5" s="1"/>
  <c r="M15" i="5"/>
  <c r="G81" i="5" s="1"/>
  <c r="N15" i="5"/>
  <c r="G87" i="5" s="1"/>
  <c r="D16" i="5"/>
  <c r="G28" i="5" s="1"/>
  <c r="E16" i="5"/>
  <c r="G34" i="5" s="1"/>
  <c r="F16" i="5"/>
  <c r="G40" i="5" s="1"/>
  <c r="G16" i="5"/>
  <c r="G46" i="5" s="1"/>
  <c r="H16" i="5"/>
  <c r="G52" i="5" s="1"/>
  <c r="I16" i="5"/>
  <c r="G58" i="5" s="1"/>
  <c r="J16" i="5"/>
  <c r="G64" i="5" s="1"/>
  <c r="K16" i="5"/>
  <c r="G70" i="5" s="1"/>
  <c r="L16" i="5"/>
  <c r="G76" i="5" s="1"/>
  <c r="M16" i="5"/>
  <c r="G82" i="5" s="1"/>
  <c r="N16" i="5"/>
  <c r="G88" i="5" s="1"/>
  <c r="C16" i="5"/>
  <c r="G22" i="5" s="1"/>
  <c r="C15" i="5"/>
  <c r="C14" i="5"/>
  <c r="G20" i="5" s="1"/>
  <c r="C13" i="5"/>
  <c r="G19" i="5" s="1"/>
  <c r="C12" i="5"/>
  <c r="G18" i="5" s="1"/>
  <c r="C11" i="5"/>
  <c r="B16" i="5"/>
  <c r="I19" i="13" s="1"/>
  <c r="B15" i="5"/>
  <c r="I18" i="13" s="1"/>
  <c r="B14" i="5"/>
  <c r="I17" i="13" s="1"/>
  <c r="B13" i="5"/>
  <c r="I16" i="13" s="1"/>
  <c r="B12" i="5"/>
  <c r="I15" i="13" s="1"/>
  <c r="B11" i="5"/>
  <c r="I14" i="13" s="1"/>
  <c r="B8" i="5"/>
  <c r="B7" i="5"/>
  <c r="B6" i="5"/>
  <c r="B5" i="5"/>
  <c r="B4" i="5"/>
  <c r="B3" i="5"/>
  <c r="D23" i="2"/>
  <c r="D16" i="2"/>
  <c r="D44" i="60" l="1"/>
  <c r="G44" i="60" s="1"/>
  <c r="G42" i="60"/>
  <c r="O14" i="55"/>
  <c r="O20" i="55"/>
  <c r="O25" i="55" s="1"/>
  <c r="P13" i="55"/>
  <c r="Q10" i="55"/>
  <c r="G34" i="56"/>
  <c r="D39" i="56"/>
  <c r="G39" i="56" s="1"/>
  <c r="C54" i="8"/>
  <c r="C51" i="8"/>
  <c r="C52" i="8"/>
  <c r="C56" i="8"/>
  <c r="N12" i="6"/>
  <c r="D19" i="6"/>
  <c r="D25" i="6" s="1"/>
  <c r="C7" i="6"/>
  <c r="C36" i="6" s="1"/>
  <c r="D14" i="6"/>
  <c r="J12" i="6"/>
  <c r="F12" i="6"/>
  <c r="C6" i="6"/>
  <c r="C35" i="6" s="1"/>
  <c r="C54" i="6" s="1"/>
  <c r="M11" i="6"/>
  <c r="I11" i="6"/>
  <c r="E11" i="6"/>
  <c r="C14" i="6"/>
  <c r="C44" i="6" s="1"/>
  <c r="E45" i="13" s="1"/>
  <c r="N8" i="11"/>
  <c r="N9" i="11"/>
  <c r="J8" i="11"/>
  <c r="J9" i="11"/>
  <c r="F8" i="11"/>
  <c r="F9" i="11"/>
  <c r="L6" i="11"/>
  <c r="L5" i="11"/>
  <c r="H6" i="11"/>
  <c r="H5" i="11"/>
  <c r="C10" i="6"/>
  <c r="C40" i="6" s="1"/>
  <c r="L15" i="6"/>
  <c r="H15" i="6"/>
  <c r="D15" i="6"/>
  <c r="K14" i="6"/>
  <c r="G14" i="6"/>
  <c r="N13" i="6"/>
  <c r="J13" i="6"/>
  <c r="F13" i="6"/>
  <c r="M12" i="6"/>
  <c r="I12" i="6"/>
  <c r="E12" i="6"/>
  <c r="L11" i="6"/>
  <c r="H11" i="6"/>
  <c r="D11" i="6"/>
  <c r="K10" i="6"/>
  <c r="G10" i="6"/>
  <c r="C19" i="6"/>
  <c r="C25" i="6" s="1"/>
  <c r="M21" i="6"/>
  <c r="M27" i="6" s="1"/>
  <c r="E314" i="6" s="1"/>
  <c r="I21" i="6"/>
  <c r="I27" i="6" s="1"/>
  <c r="E310" i="6" s="1"/>
  <c r="E21" i="6"/>
  <c r="D20" i="6"/>
  <c r="E5" i="11" s="1"/>
  <c r="K19" i="6"/>
  <c r="K25" i="6" s="1"/>
  <c r="G19" i="6"/>
  <c r="G25" i="6" s="1"/>
  <c r="C5" i="6"/>
  <c r="C34" i="6" s="1"/>
  <c r="C53" i="6" s="1"/>
  <c r="D6" i="11"/>
  <c r="D5" i="11"/>
  <c r="D7" i="11" s="1"/>
  <c r="M9" i="11"/>
  <c r="M8" i="11"/>
  <c r="I9" i="11"/>
  <c r="I8" i="11"/>
  <c r="I10" i="11" s="1"/>
  <c r="K5" i="11"/>
  <c r="K6" i="11"/>
  <c r="G5" i="11"/>
  <c r="G6" i="11"/>
  <c r="C11" i="6"/>
  <c r="C41" i="6" s="1"/>
  <c r="E27" i="13" s="1"/>
  <c r="C15" i="6"/>
  <c r="K15" i="6"/>
  <c r="G15" i="6"/>
  <c r="N14" i="6"/>
  <c r="J14" i="6"/>
  <c r="F14" i="6"/>
  <c r="M13" i="6"/>
  <c r="I13" i="6"/>
  <c r="E13" i="6"/>
  <c r="L12" i="6"/>
  <c r="H12" i="6"/>
  <c r="D12" i="6"/>
  <c r="K11" i="6"/>
  <c r="G11" i="6"/>
  <c r="N10" i="6"/>
  <c r="J10" i="6"/>
  <c r="F10" i="6"/>
  <c r="L21" i="6"/>
  <c r="L27" i="6" s="1"/>
  <c r="E313" i="6" s="1"/>
  <c r="H21" i="6"/>
  <c r="H27" i="6" s="1"/>
  <c r="E309" i="6" s="1"/>
  <c r="K20" i="6"/>
  <c r="K26" i="6" s="1"/>
  <c r="E300" i="6" s="1"/>
  <c r="G20" i="6"/>
  <c r="N19" i="6"/>
  <c r="N25" i="6" s="1"/>
  <c r="E291" i="6" s="1"/>
  <c r="J19" i="6"/>
  <c r="J25" i="6" s="1"/>
  <c r="E287" i="6" s="1"/>
  <c r="F19" i="6"/>
  <c r="F25" i="6" s="1"/>
  <c r="L64" i="6" s="1"/>
  <c r="C4" i="6"/>
  <c r="C33" i="6" s="1"/>
  <c r="C52" i="6" s="1"/>
  <c r="D9" i="11"/>
  <c r="D8" i="11"/>
  <c r="D10" i="11" s="1"/>
  <c r="L9" i="11"/>
  <c r="L8" i="11"/>
  <c r="H9" i="11"/>
  <c r="H8" i="11"/>
  <c r="H10" i="11" s="1"/>
  <c r="N5" i="11"/>
  <c r="N6" i="11"/>
  <c r="J5" i="11"/>
  <c r="J6" i="11"/>
  <c r="F5" i="11"/>
  <c r="F6" i="11"/>
  <c r="C12" i="6"/>
  <c r="C42" i="6" s="1"/>
  <c r="E28" i="13" s="1"/>
  <c r="N15" i="6"/>
  <c r="J15" i="6"/>
  <c r="F15" i="6"/>
  <c r="M14" i="6"/>
  <c r="I14" i="6"/>
  <c r="E14" i="6"/>
  <c r="L13" i="6"/>
  <c r="H13" i="6"/>
  <c r="D13" i="6"/>
  <c r="D43" i="6" s="1"/>
  <c r="K210" i="6" s="1"/>
  <c r="K12" i="6"/>
  <c r="G12" i="6"/>
  <c r="N11" i="6"/>
  <c r="J11" i="6"/>
  <c r="F11" i="6"/>
  <c r="M10" i="6"/>
  <c r="I10" i="6"/>
  <c r="E10" i="6"/>
  <c r="C20" i="6"/>
  <c r="C26" i="6" s="1"/>
  <c r="K21" i="6"/>
  <c r="G21" i="6"/>
  <c r="G27" i="6" s="1"/>
  <c r="E308" i="6" s="1"/>
  <c r="J20" i="6"/>
  <c r="J26" i="6" s="1"/>
  <c r="E299" i="6" s="1"/>
  <c r="F20" i="6"/>
  <c r="F26" i="6" s="1"/>
  <c r="M19" i="6"/>
  <c r="M25" i="6" s="1"/>
  <c r="I19" i="6"/>
  <c r="I25" i="6" s="1"/>
  <c r="E19" i="6"/>
  <c r="E25" i="6" s="1"/>
  <c r="E282" i="6" s="1"/>
  <c r="E51" i="13"/>
  <c r="D50" i="13"/>
  <c r="N22" i="8"/>
  <c r="C3" i="6"/>
  <c r="D3" i="6" s="1"/>
  <c r="E41" i="6" s="1"/>
  <c r="O8" i="11"/>
  <c r="O9" i="11"/>
  <c r="K8" i="11"/>
  <c r="K9" i="11"/>
  <c r="G8" i="11"/>
  <c r="G9" i="11"/>
  <c r="M6" i="11"/>
  <c r="M5" i="11"/>
  <c r="I6" i="11"/>
  <c r="I5" i="11"/>
  <c r="O5" i="11"/>
  <c r="O6" i="11"/>
  <c r="M15" i="6"/>
  <c r="I15" i="6"/>
  <c r="E15" i="6"/>
  <c r="L14" i="6"/>
  <c r="H14" i="6"/>
  <c r="L10" i="6"/>
  <c r="H10" i="6"/>
  <c r="D10" i="6"/>
  <c r="N21" i="6"/>
  <c r="N27" i="6" s="1"/>
  <c r="E315" i="6" s="1"/>
  <c r="J21" i="6"/>
  <c r="F21" i="6"/>
  <c r="F27" i="6" s="1"/>
  <c r="M20" i="6"/>
  <c r="M26" i="6" s="1"/>
  <c r="E302" i="6" s="1"/>
  <c r="I20" i="6"/>
  <c r="I26" i="6" s="1"/>
  <c r="E298" i="6" s="1"/>
  <c r="E20" i="6"/>
  <c r="C2" i="6"/>
  <c r="D2" i="6" s="1"/>
  <c r="G50" i="13"/>
  <c r="G51" i="13"/>
  <c r="G48" i="13"/>
  <c r="G49" i="13"/>
  <c r="E288" i="6"/>
  <c r="E284" i="6"/>
  <c r="E290" i="6"/>
  <c r="E286" i="6"/>
  <c r="E280" i="6"/>
  <c r="E289" i="6"/>
  <c r="E285" i="6"/>
  <c r="E281" i="6"/>
  <c r="J207" i="6"/>
  <c r="L26" i="6"/>
  <c r="E301" i="6" s="1"/>
  <c r="H26" i="6"/>
  <c r="E297" i="6" s="1"/>
  <c r="D26" i="6"/>
  <c r="E6" i="11"/>
  <c r="C27" i="6"/>
  <c r="D40" i="13" s="1"/>
  <c r="D27" i="6"/>
  <c r="E8" i="11"/>
  <c r="E9" i="11"/>
  <c r="G26" i="6"/>
  <c r="E296" i="6" s="1"/>
  <c r="E3" i="11"/>
  <c r="E2" i="11"/>
  <c r="N51" i="8"/>
  <c r="F51" i="8"/>
  <c r="K27" i="6"/>
  <c r="E312" i="6" s="1"/>
  <c r="M51" i="8"/>
  <c r="I51" i="8"/>
  <c r="E51" i="8"/>
  <c r="E27" i="6"/>
  <c r="E306" i="6" s="1"/>
  <c r="J51" i="8"/>
  <c r="J27" i="6"/>
  <c r="E311" i="6" s="1"/>
  <c r="L51" i="8"/>
  <c r="H51" i="8"/>
  <c r="D51" i="8"/>
  <c r="M54" i="8"/>
  <c r="I54" i="8"/>
  <c r="N26" i="6"/>
  <c r="E303" i="6" s="1"/>
  <c r="N56" i="8"/>
  <c r="J56" i="8"/>
  <c r="F56" i="8"/>
  <c r="L54" i="8"/>
  <c r="H54" i="8"/>
  <c r="D54" i="8"/>
  <c r="N52" i="8"/>
  <c r="J52" i="8"/>
  <c r="F52" i="8"/>
  <c r="E54" i="8"/>
  <c r="E26" i="6"/>
  <c r="E294" i="6" s="1"/>
  <c r="M56" i="8"/>
  <c r="I56" i="8"/>
  <c r="E56" i="8"/>
  <c r="K54" i="8"/>
  <c r="G54" i="8"/>
  <c r="M52" i="8"/>
  <c r="I52" i="8"/>
  <c r="E52" i="8"/>
  <c r="M53" i="8"/>
  <c r="E53" i="8"/>
  <c r="L53" i="8"/>
  <c r="H53" i="8"/>
  <c r="D53" i="8"/>
  <c r="M50" i="8"/>
  <c r="I50" i="8"/>
  <c r="E50" i="8"/>
  <c r="G17" i="5"/>
  <c r="K19" i="5"/>
  <c r="G21" i="5"/>
  <c r="K53" i="8"/>
  <c r="G53" i="8"/>
  <c r="L50" i="8"/>
  <c r="H50" i="8"/>
  <c r="D50" i="8"/>
  <c r="I53" i="8"/>
  <c r="N53" i="8"/>
  <c r="J53" i="8"/>
  <c r="F53" i="8"/>
  <c r="K50" i="8"/>
  <c r="G50" i="8"/>
  <c r="E41" i="13"/>
  <c r="E63" i="6"/>
  <c r="E26" i="13"/>
  <c r="D32" i="13"/>
  <c r="E67" i="6"/>
  <c r="E30" i="13"/>
  <c r="E2" i="13"/>
  <c r="D8" i="13"/>
  <c r="E6" i="13"/>
  <c r="D12" i="13"/>
  <c r="E3" i="13"/>
  <c r="D9" i="13"/>
  <c r="E7" i="13"/>
  <c r="D13" i="13"/>
  <c r="E65" i="6"/>
  <c r="D34" i="13"/>
  <c r="E4" i="13"/>
  <c r="D10" i="13"/>
  <c r="E66" i="6"/>
  <c r="E29" i="13"/>
  <c r="D35" i="13"/>
  <c r="E44" i="13"/>
  <c r="E5" i="13"/>
  <c r="D11" i="13"/>
  <c r="E19" i="13"/>
  <c r="D25" i="13"/>
  <c r="D22" i="13"/>
  <c r="E16" i="13"/>
  <c r="E17" i="13"/>
  <c r="D23" i="13"/>
  <c r="E15" i="13"/>
  <c r="D21" i="13"/>
  <c r="E14" i="13"/>
  <c r="D20" i="13"/>
  <c r="E18" i="13"/>
  <c r="D24" i="13"/>
  <c r="A27" i="13"/>
  <c r="A33" i="13"/>
  <c r="A37" i="13"/>
  <c r="A26" i="13"/>
  <c r="A28" i="13"/>
  <c r="A30" i="13"/>
  <c r="A32" i="13"/>
  <c r="A34" i="13"/>
  <c r="A36" i="13"/>
  <c r="A29" i="13"/>
  <c r="A31" i="13"/>
  <c r="A35" i="13"/>
  <c r="F25" i="8"/>
  <c r="E25" i="8"/>
  <c r="J22" i="8"/>
  <c r="I21" i="8"/>
  <c r="F18" i="8"/>
  <c r="J21" i="8"/>
  <c r="N25" i="8"/>
  <c r="J24" i="8"/>
  <c r="F22" i="8"/>
  <c r="E21" i="8"/>
  <c r="J17" i="8"/>
  <c r="M25" i="8"/>
  <c r="I24" i="8"/>
  <c r="M21" i="8"/>
  <c r="I20" i="8"/>
  <c r="I17" i="8"/>
  <c r="N20" i="8"/>
  <c r="F20" i="8"/>
  <c r="J25" i="8"/>
  <c r="N24" i="8"/>
  <c r="F24" i="8"/>
  <c r="M20" i="8"/>
  <c r="E20" i="8"/>
  <c r="N17" i="8"/>
  <c r="F17" i="8"/>
  <c r="I25" i="8"/>
  <c r="M24" i="8"/>
  <c r="E24" i="8"/>
  <c r="N21" i="8"/>
  <c r="F21" i="8"/>
  <c r="J20" i="8"/>
  <c r="N18" i="8"/>
  <c r="M17" i="8"/>
  <c r="E17" i="8"/>
  <c r="K16" i="8"/>
  <c r="N23" i="8"/>
  <c r="J19" i="8"/>
  <c r="J16" i="8"/>
  <c r="M23" i="8"/>
  <c r="E23" i="8"/>
  <c r="I22" i="8"/>
  <c r="M19" i="8"/>
  <c r="E19" i="8"/>
  <c r="I18" i="8"/>
  <c r="M16" i="8"/>
  <c r="I16" i="8"/>
  <c r="E16" i="8"/>
  <c r="L25" i="8"/>
  <c r="H25" i="8"/>
  <c r="D25" i="8"/>
  <c r="L24" i="8"/>
  <c r="H24" i="8"/>
  <c r="D24" i="8"/>
  <c r="L23" i="8"/>
  <c r="H23" i="8"/>
  <c r="D23" i="8"/>
  <c r="L22" i="8"/>
  <c r="H22" i="8"/>
  <c r="D22" i="8"/>
  <c r="L21" i="8"/>
  <c r="H21" i="8"/>
  <c r="D21" i="8"/>
  <c r="L20" i="8"/>
  <c r="H20" i="8"/>
  <c r="D20" i="8"/>
  <c r="L19" i="8"/>
  <c r="H19" i="8"/>
  <c r="D19" i="8"/>
  <c r="L18" i="8"/>
  <c r="H18" i="8"/>
  <c r="D18" i="8"/>
  <c r="L17" i="8"/>
  <c r="H17" i="8"/>
  <c r="D17" i="8"/>
  <c r="C16" i="8"/>
  <c r="G16" i="8"/>
  <c r="J23" i="8"/>
  <c r="F23" i="8"/>
  <c r="N19" i="8"/>
  <c r="F19" i="8"/>
  <c r="N16" i="8"/>
  <c r="F16" i="8"/>
  <c r="I23" i="8"/>
  <c r="M22" i="8"/>
  <c r="E22" i="8"/>
  <c r="I19" i="8"/>
  <c r="M18" i="8"/>
  <c r="E18" i="8"/>
  <c r="L16" i="8"/>
  <c r="H16" i="8"/>
  <c r="D16" i="8"/>
  <c r="K25" i="8"/>
  <c r="G25" i="8"/>
  <c r="C25" i="8"/>
  <c r="K24" i="8"/>
  <c r="G24" i="8"/>
  <c r="C24" i="8"/>
  <c r="K23" i="8"/>
  <c r="G23" i="8"/>
  <c r="C23" i="8"/>
  <c r="K22" i="8"/>
  <c r="G22" i="8"/>
  <c r="C22" i="8"/>
  <c r="K21" i="8"/>
  <c r="G21" i="8"/>
  <c r="C21" i="8"/>
  <c r="K20" i="8"/>
  <c r="G20" i="8"/>
  <c r="C20" i="8"/>
  <c r="K19" i="8"/>
  <c r="G19" i="8"/>
  <c r="C19" i="8"/>
  <c r="K18" i="8"/>
  <c r="G18" i="8"/>
  <c r="C18" i="8"/>
  <c r="K17" i="8"/>
  <c r="G17" i="8"/>
  <c r="C17" i="8"/>
  <c r="M3" i="11"/>
  <c r="M2" i="11"/>
  <c r="I3" i="11"/>
  <c r="I2" i="11"/>
  <c r="J2" i="11"/>
  <c r="N2" i="11"/>
  <c r="N3" i="11"/>
  <c r="O3" i="11"/>
  <c r="O2" i="11"/>
  <c r="C18" i="6"/>
  <c r="C45" i="6"/>
  <c r="D4" i="6"/>
  <c r="D5" i="6"/>
  <c r="E43" i="6" s="1"/>
  <c r="D44" i="6" l="1"/>
  <c r="K211" i="6" s="1"/>
  <c r="R10" i="55"/>
  <c r="R13" i="55" s="1"/>
  <c r="Q13" i="55"/>
  <c r="P14" i="55"/>
  <c r="P20" i="55"/>
  <c r="P25" i="55" s="1"/>
  <c r="D7" i="6"/>
  <c r="E7" i="6" s="1"/>
  <c r="F7" i="6" s="1"/>
  <c r="G7" i="6" s="1"/>
  <c r="H7" i="6" s="1"/>
  <c r="I7" i="6" s="1"/>
  <c r="J7" i="6" s="1"/>
  <c r="K7" i="6" s="1"/>
  <c r="L7" i="6" s="1"/>
  <c r="M7" i="6" s="1"/>
  <c r="N7" i="6" s="1"/>
  <c r="N36" i="6" s="1"/>
  <c r="C31" i="6"/>
  <c r="C50" i="6" s="1"/>
  <c r="I7" i="11"/>
  <c r="G10" i="11"/>
  <c r="D42" i="6"/>
  <c r="K209" i="6" s="1"/>
  <c r="D6" i="6"/>
  <c r="D35" i="6" s="1"/>
  <c r="D36" i="13"/>
  <c r="E43" i="13"/>
  <c r="F2" i="11"/>
  <c r="E40" i="6"/>
  <c r="L2" i="11"/>
  <c r="K3" i="11"/>
  <c r="C59" i="6"/>
  <c r="D41" i="6"/>
  <c r="K208" i="6" s="1"/>
  <c r="H3" i="11"/>
  <c r="E42" i="13"/>
  <c r="D45" i="6"/>
  <c r="K212" i="6" s="1"/>
  <c r="F59" i="6"/>
  <c r="G2" i="11"/>
  <c r="D33" i="13"/>
  <c r="F10" i="11"/>
  <c r="E42" i="6"/>
  <c r="E77" i="6" s="1"/>
  <c r="C32" i="6"/>
  <c r="C51" i="6" s="1"/>
  <c r="G3" i="11"/>
  <c r="L3" i="11"/>
  <c r="L4" i="11" s="1"/>
  <c r="E64" i="6"/>
  <c r="E283" i="6"/>
  <c r="D40" i="6"/>
  <c r="K207" i="6" s="1"/>
  <c r="D2" i="11"/>
  <c r="K2" i="11"/>
  <c r="K4" i="11" s="1"/>
  <c r="F3" i="11"/>
  <c r="H2" i="11"/>
  <c r="J3" i="11"/>
  <c r="J4" i="11" s="1"/>
  <c r="D3" i="11"/>
  <c r="M10" i="11"/>
  <c r="J10" i="11"/>
  <c r="D14" i="8"/>
  <c r="E14" i="8"/>
  <c r="F14" i="8"/>
  <c r="O10" i="11"/>
  <c r="F7" i="11"/>
  <c r="N7" i="11"/>
  <c r="N10" i="11"/>
  <c r="O7" i="11"/>
  <c r="M7" i="11"/>
  <c r="K10" i="11"/>
  <c r="D59" i="6"/>
  <c r="E59" i="6"/>
  <c r="E28" i="6"/>
  <c r="J28" i="6"/>
  <c r="K28" i="6"/>
  <c r="C14" i="8"/>
  <c r="D49" i="13"/>
  <c r="E48" i="13"/>
  <c r="K14" i="8"/>
  <c r="H14" i="8"/>
  <c r="I14" i="8"/>
  <c r="J14" i="8"/>
  <c r="L59" i="6"/>
  <c r="I28" i="6"/>
  <c r="J7" i="11"/>
  <c r="N28" i="6"/>
  <c r="G7" i="11"/>
  <c r="C28" i="6"/>
  <c r="L7" i="11"/>
  <c r="D28" i="6"/>
  <c r="L14" i="8"/>
  <c r="N14" i="8"/>
  <c r="M14" i="8"/>
  <c r="M28" i="6"/>
  <c r="L10" i="11"/>
  <c r="C58" i="6"/>
  <c r="H28" i="6"/>
  <c r="G14" i="8"/>
  <c r="M59" i="6"/>
  <c r="F28" i="6"/>
  <c r="K7" i="11"/>
  <c r="G28" i="6"/>
  <c r="H7" i="11"/>
  <c r="L28" i="6"/>
  <c r="N59" i="6"/>
  <c r="K59" i="6"/>
  <c r="H59" i="6"/>
  <c r="I59" i="6"/>
  <c r="J59" i="6"/>
  <c r="G59" i="6"/>
  <c r="L65" i="6"/>
  <c r="E295" i="6"/>
  <c r="E304" i="6"/>
  <c r="J209" i="6"/>
  <c r="E305" i="6"/>
  <c r="E293" i="6"/>
  <c r="J208" i="6"/>
  <c r="D39" i="13"/>
  <c r="E292" i="6"/>
  <c r="L66" i="6"/>
  <c r="E307" i="6"/>
  <c r="K36" i="6"/>
  <c r="E45" i="6"/>
  <c r="M45" i="6"/>
  <c r="D36" i="6"/>
  <c r="M36" i="6"/>
  <c r="H45" i="6"/>
  <c r="G36" i="6"/>
  <c r="H36" i="6"/>
  <c r="E36" i="6"/>
  <c r="F45" i="6"/>
  <c r="M69" i="6" s="1"/>
  <c r="L45" i="6"/>
  <c r="E10" i="11"/>
  <c r="E2" i="6"/>
  <c r="E7" i="11"/>
  <c r="F36" i="6"/>
  <c r="I45" i="6"/>
  <c r="G45" i="6"/>
  <c r="E4" i="11"/>
  <c r="E78" i="6"/>
  <c r="E72" i="6"/>
  <c r="E68" i="6"/>
  <c r="D37" i="13"/>
  <c r="E46" i="13"/>
  <c r="E31" i="13"/>
  <c r="D38" i="13"/>
  <c r="E76" i="6"/>
  <c r="E71" i="6"/>
  <c r="E73" i="6"/>
  <c r="N4" i="11"/>
  <c r="A42" i="13"/>
  <c r="A44" i="13"/>
  <c r="A46" i="13"/>
  <c r="A45" i="13"/>
  <c r="A41" i="13"/>
  <c r="A38" i="13"/>
  <c r="A40" i="13"/>
  <c r="A43" i="13"/>
  <c r="A47" i="13"/>
  <c r="A39" i="13"/>
  <c r="M4" i="11"/>
  <c r="D31" i="6"/>
  <c r="O4" i="11"/>
  <c r="I4" i="11"/>
  <c r="H47" i="6" s="1"/>
  <c r="C55" i="6"/>
  <c r="E4" i="6"/>
  <c r="F42" i="6" s="1"/>
  <c r="M66" i="6" s="1"/>
  <c r="D33" i="6"/>
  <c r="E3" i="6"/>
  <c r="F41" i="6" s="1"/>
  <c r="M65" i="6" s="1"/>
  <c r="D32" i="6"/>
  <c r="E5" i="6"/>
  <c r="D34" i="6"/>
  <c r="J45" i="6" l="1"/>
  <c r="K45" i="6"/>
  <c r="I36" i="6"/>
  <c r="Q20" i="55"/>
  <c r="Q25" i="55" s="1"/>
  <c r="Q14" i="55"/>
  <c r="R20" i="55"/>
  <c r="R25" i="55" s="1"/>
  <c r="R14" i="55"/>
  <c r="D55" i="6"/>
  <c r="N45" i="6"/>
  <c r="E74" i="6"/>
  <c r="J36" i="6"/>
  <c r="J55" i="6" s="1"/>
  <c r="L36" i="6"/>
  <c r="L55" i="6" s="1"/>
  <c r="E44" i="6"/>
  <c r="E79" i="6" s="1"/>
  <c r="E70" i="6"/>
  <c r="E6" i="6"/>
  <c r="F44" i="6" s="1"/>
  <c r="M68" i="6" s="1"/>
  <c r="F4" i="11"/>
  <c r="E47" i="6" s="1"/>
  <c r="K47" i="6"/>
  <c r="L47" i="6"/>
  <c r="M47" i="6"/>
  <c r="L71" i="6"/>
  <c r="H4" i="11"/>
  <c r="G47" i="6" s="1"/>
  <c r="G4" i="11"/>
  <c r="F47" i="6" s="1"/>
  <c r="M70" i="6" s="1"/>
  <c r="J214" i="6"/>
  <c r="I47" i="6"/>
  <c r="D4" i="11"/>
  <c r="E47" i="13" s="1"/>
  <c r="E69" i="6"/>
  <c r="N47" i="6"/>
  <c r="D50" i="6"/>
  <c r="J47" i="6"/>
  <c r="N55" i="6"/>
  <c r="E55" i="6"/>
  <c r="H55" i="6"/>
  <c r="F2" i="6"/>
  <c r="F31" i="6" s="1"/>
  <c r="F40" i="6"/>
  <c r="M64" i="6" s="1"/>
  <c r="G55" i="6"/>
  <c r="I55" i="6"/>
  <c r="E80" i="6"/>
  <c r="E31" i="6"/>
  <c r="D47" i="6"/>
  <c r="D58" i="6" s="1"/>
  <c r="F55" i="6"/>
  <c r="E82" i="6"/>
  <c r="E75" i="6"/>
  <c r="E83" i="6"/>
  <c r="D51" i="6"/>
  <c r="D53" i="6"/>
  <c r="E34" i="6"/>
  <c r="E53" i="6" s="1"/>
  <c r="F43" i="6"/>
  <c r="D52" i="6"/>
  <c r="F5" i="6"/>
  <c r="G5" i="6" s="1"/>
  <c r="D54" i="6"/>
  <c r="F3" i="6"/>
  <c r="G41" i="6" s="1"/>
  <c r="E32" i="6"/>
  <c r="F4" i="6"/>
  <c r="G42" i="6" s="1"/>
  <c r="E33" i="6"/>
  <c r="M55" i="6" l="1"/>
  <c r="E35" i="6"/>
  <c r="E58" i="6"/>
  <c r="E60" i="6" s="1"/>
  <c r="K55" i="6"/>
  <c r="F6" i="6"/>
  <c r="F35" i="6" s="1"/>
  <c r="F58" i="6"/>
  <c r="F60" i="6" s="1"/>
  <c r="M67" i="6"/>
  <c r="M71" i="6" s="1"/>
  <c r="E81" i="6"/>
  <c r="K213" i="6"/>
  <c r="K214" i="6" s="1"/>
  <c r="F50" i="6"/>
  <c r="E50" i="6"/>
  <c r="G2" i="6"/>
  <c r="G40" i="6"/>
  <c r="E86" i="6"/>
  <c r="D60" i="6"/>
  <c r="E88" i="6"/>
  <c r="E84" i="6"/>
  <c r="E85" i="6"/>
  <c r="E89" i="6"/>
  <c r="G34" i="6"/>
  <c r="H43" i="6"/>
  <c r="E54" i="6"/>
  <c r="F34" i="6"/>
  <c r="F53" i="6" s="1"/>
  <c r="G43" i="6"/>
  <c r="E51" i="6"/>
  <c r="E52" i="6"/>
  <c r="G4" i="6"/>
  <c r="H42" i="6" s="1"/>
  <c r="F33" i="6"/>
  <c r="F52" i="6" s="1"/>
  <c r="F32" i="6"/>
  <c r="G3" i="6"/>
  <c r="H41" i="6" s="1"/>
  <c r="H5" i="6"/>
  <c r="F54" i="6" l="1"/>
  <c r="G44" i="6"/>
  <c r="G6" i="6"/>
  <c r="E87" i="6"/>
  <c r="H2" i="6"/>
  <c r="H40" i="6"/>
  <c r="G31" i="6"/>
  <c r="E92" i="6"/>
  <c r="G58" i="6"/>
  <c r="G60" i="6" s="1"/>
  <c r="E91" i="6"/>
  <c r="E95" i="6"/>
  <c r="E90" i="6"/>
  <c r="E94" i="6"/>
  <c r="E96" i="6"/>
  <c r="G35" i="6"/>
  <c r="G54" i="6" s="1"/>
  <c r="H44" i="6"/>
  <c r="G53" i="6"/>
  <c r="H34" i="6"/>
  <c r="I43" i="6"/>
  <c r="F51" i="6"/>
  <c r="G32" i="6"/>
  <c r="H3" i="6"/>
  <c r="I41" i="6" s="1"/>
  <c r="H4" i="6"/>
  <c r="I42" i="6" s="1"/>
  <c r="G33" i="6"/>
  <c r="I5" i="6"/>
  <c r="H6" i="6"/>
  <c r="G50" i="6" l="1"/>
  <c r="E93" i="6"/>
  <c r="I2" i="6"/>
  <c r="I40" i="6"/>
  <c r="H31" i="6"/>
  <c r="H58" i="6"/>
  <c r="H60" i="6" s="1"/>
  <c r="E98" i="6"/>
  <c r="E102" i="6"/>
  <c r="E100" i="6"/>
  <c r="E97" i="6"/>
  <c r="E101" i="6"/>
  <c r="I34" i="6"/>
  <c r="I53" i="6" s="1"/>
  <c r="J43" i="6"/>
  <c r="H53" i="6"/>
  <c r="H35" i="6"/>
  <c r="I44" i="6"/>
  <c r="G52" i="6"/>
  <c r="G51" i="6"/>
  <c r="I4" i="6"/>
  <c r="J42" i="6" s="1"/>
  <c r="H33" i="6"/>
  <c r="H52" i="6" s="1"/>
  <c r="H32" i="6"/>
  <c r="I3" i="6"/>
  <c r="J41" i="6" s="1"/>
  <c r="I6" i="6"/>
  <c r="J5" i="6"/>
  <c r="E99" i="6" l="1"/>
  <c r="J2" i="6"/>
  <c r="J40" i="6"/>
  <c r="I31" i="6"/>
  <c r="H50" i="6"/>
  <c r="I58" i="6"/>
  <c r="I60" i="6" s="1"/>
  <c r="E104" i="6"/>
  <c r="E108" i="6"/>
  <c r="E106" i="6"/>
  <c r="E103" i="6"/>
  <c r="E107" i="6"/>
  <c r="I35" i="6"/>
  <c r="I54" i="6" s="1"/>
  <c r="J44" i="6"/>
  <c r="H54" i="6"/>
  <c r="J34" i="6"/>
  <c r="J53" i="6" s="1"/>
  <c r="K43" i="6"/>
  <c r="H51" i="6"/>
  <c r="I32" i="6"/>
  <c r="I51" i="6" s="1"/>
  <c r="J3" i="6"/>
  <c r="K41" i="6" s="1"/>
  <c r="J4" i="6"/>
  <c r="K42" i="6" s="1"/>
  <c r="I33" i="6"/>
  <c r="I52" i="6" s="1"/>
  <c r="K5" i="6"/>
  <c r="J6" i="6"/>
  <c r="K2" i="6" l="1"/>
  <c r="K40" i="6"/>
  <c r="J31" i="6"/>
  <c r="E105" i="6"/>
  <c r="I50" i="6"/>
  <c r="J58" i="6"/>
  <c r="J60" i="6" s="1"/>
  <c r="E110" i="6"/>
  <c r="E113" i="6"/>
  <c r="E114" i="6"/>
  <c r="E109" i="6"/>
  <c r="E112" i="6"/>
  <c r="K34" i="6"/>
  <c r="L43" i="6"/>
  <c r="J35" i="6"/>
  <c r="J54" i="6" s="1"/>
  <c r="K44" i="6"/>
  <c r="K53" i="6"/>
  <c r="K4" i="6"/>
  <c r="L42" i="6" s="1"/>
  <c r="J33" i="6"/>
  <c r="J32" i="6"/>
  <c r="K3" i="6"/>
  <c r="L41" i="6" s="1"/>
  <c r="L5" i="6"/>
  <c r="K6" i="6"/>
  <c r="E111" i="6" l="1"/>
  <c r="L2" i="6"/>
  <c r="L40" i="6"/>
  <c r="K31" i="6"/>
  <c r="K50" i="6" s="1"/>
  <c r="J50" i="6"/>
  <c r="K58" i="6"/>
  <c r="K60" i="6" s="1"/>
  <c r="E116" i="6"/>
  <c r="E115" i="6"/>
  <c r="E119" i="6"/>
  <c r="E120" i="6"/>
  <c r="E118" i="6"/>
  <c r="J51" i="6"/>
  <c r="K35" i="6"/>
  <c r="L44" i="6"/>
  <c r="J52" i="6"/>
  <c r="L34" i="6"/>
  <c r="M43" i="6"/>
  <c r="K32" i="6"/>
  <c r="L3" i="6"/>
  <c r="M41" i="6" s="1"/>
  <c r="L4" i="6"/>
  <c r="M42" i="6" s="1"/>
  <c r="K33" i="6"/>
  <c r="L6" i="6"/>
  <c r="M5" i="6"/>
  <c r="M2" i="6" l="1"/>
  <c r="M40" i="6"/>
  <c r="L31" i="6"/>
  <c r="L50" i="6"/>
  <c r="E117" i="6"/>
  <c r="L58" i="6"/>
  <c r="L60" i="6" s="1"/>
  <c r="E122" i="6"/>
  <c r="E124" i="6"/>
  <c r="E121" i="6"/>
  <c r="E126" i="6"/>
  <c r="E125" i="6"/>
  <c r="M34" i="6"/>
  <c r="N43" i="6"/>
  <c r="L35" i="6"/>
  <c r="M44" i="6"/>
  <c r="L53" i="6"/>
  <c r="K52" i="6"/>
  <c r="K51" i="6"/>
  <c r="K54" i="6"/>
  <c r="M4" i="6"/>
  <c r="N42" i="6" s="1"/>
  <c r="L33" i="6"/>
  <c r="L52" i="6" s="1"/>
  <c r="L32" i="6"/>
  <c r="M3" i="6"/>
  <c r="N41" i="6" s="1"/>
  <c r="N5" i="6"/>
  <c r="N34" i="6" s="1"/>
  <c r="M6" i="6"/>
  <c r="E123" i="6" l="1"/>
  <c r="N2" i="6"/>
  <c r="N31" i="6" s="1"/>
  <c r="N40" i="6"/>
  <c r="M31" i="6"/>
  <c r="M58" i="6"/>
  <c r="M60" i="6" s="1"/>
  <c r="E128" i="6"/>
  <c r="E127" i="6"/>
  <c r="E132" i="6"/>
  <c r="E130" i="6"/>
  <c r="E131" i="6"/>
  <c r="N53" i="6"/>
  <c r="M35" i="6"/>
  <c r="M54" i="6" s="1"/>
  <c r="N44" i="6"/>
  <c r="L51" i="6"/>
  <c r="M53" i="6"/>
  <c r="L54" i="6"/>
  <c r="M32" i="6"/>
  <c r="N3" i="6"/>
  <c r="N32" i="6" s="1"/>
  <c r="N4" i="6"/>
  <c r="N33" i="6" s="1"/>
  <c r="M33" i="6"/>
  <c r="N6" i="6"/>
  <c r="N35" i="6" s="1"/>
  <c r="N50" i="6" l="1"/>
  <c r="E129" i="6"/>
  <c r="M50" i="6"/>
  <c r="N58" i="6"/>
  <c r="N60" i="6" s="1"/>
  <c r="E134" i="6"/>
  <c r="E133" i="6"/>
  <c r="N54" i="6"/>
  <c r="N51" i="6"/>
  <c r="N52" i="6"/>
  <c r="M52" i="6"/>
  <c r="M51" i="6"/>
  <c r="E569" i="6" l="1"/>
  <c r="I187" i="6"/>
  <c r="I189" i="6" s="1"/>
  <c r="C60" i="6" l="1"/>
  <c r="H9" i="29"/>
  <c r="H14" i="29" s="1"/>
  <c r="H27" i="29" s="1"/>
  <c r="H14" i="26"/>
  <c r="H16" i="26" l="1"/>
  <c r="H26" i="26"/>
  <c r="G9" i="24"/>
  <c r="G13" i="24" s="1"/>
  <c r="G28" i="24" s="1"/>
  <c r="H25" i="26" l="1"/>
  <c r="G26" i="35"/>
  <c r="F24" i="35" s="1"/>
  <c r="I9" i="29"/>
  <c r="I14" i="29" s="1"/>
  <c r="I27" i="29" s="1"/>
  <c r="I14" i="26"/>
  <c r="I16" i="26" l="1"/>
  <c r="I26" i="26"/>
  <c r="I25" i="26" l="1"/>
  <c r="K14" i="26"/>
  <c r="K9" i="29"/>
  <c r="K14" i="29" s="1"/>
  <c r="K27" i="29" s="1"/>
  <c r="J9" i="29"/>
  <c r="J14" i="29" s="1"/>
  <c r="J27" i="29" s="1"/>
  <c r="J14" i="26"/>
  <c r="K16" i="26" l="1"/>
  <c r="K26" i="26"/>
  <c r="J16" i="26"/>
  <c r="J25" i="26" s="1"/>
  <c r="J26" i="26"/>
  <c r="K25" i="26" l="1"/>
  <c r="M9" i="29"/>
  <c r="M14" i="29" s="1"/>
  <c r="M27" i="29" s="1"/>
  <c r="M14" i="26"/>
  <c r="L14" i="26"/>
  <c r="L9" i="29"/>
  <c r="L14" i="29" s="1"/>
  <c r="L27" i="29" s="1"/>
  <c r="L16" i="26" l="1"/>
  <c r="Q22" i="61" s="1"/>
  <c r="Q24" i="61" s="1"/>
  <c r="L26" i="26"/>
  <c r="M16" i="26"/>
  <c r="M26" i="26"/>
  <c r="M25" i="26" l="1"/>
  <c r="P22" i="61"/>
  <c r="L25" i="26"/>
  <c r="O9" i="29"/>
  <c r="O14" i="29" s="1"/>
  <c r="O27" i="29" s="1"/>
  <c r="O14" i="26"/>
  <c r="N9" i="29"/>
  <c r="N14" i="29" s="1"/>
  <c r="N27" i="29" s="1"/>
  <c r="N14" i="26"/>
  <c r="F77" i="64" l="1"/>
  <c r="G77" i="64" s="1"/>
  <c r="P24" i="61"/>
  <c r="O16" i="26"/>
  <c r="O26" i="26"/>
  <c r="N16" i="26"/>
  <c r="N26" i="26"/>
  <c r="H77" i="64" l="1"/>
  <c r="L75" i="64"/>
  <c r="P74" i="64"/>
  <c r="O25" i="26"/>
  <c r="D28" i="44"/>
  <c r="G52" i="37"/>
  <c r="N25" i="26"/>
  <c r="E28" i="44"/>
  <c r="H52" i="37"/>
  <c r="P14" i="26"/>
  <c r="P9" i="29"/>
  <c r="P14" i="29" s="1"/>
  <c r="P27" i="29" s="1"/>
  <c r="J52" i="37" l="1"/>
  <c r="F49" i="37"/>
  <c r="F53" i="64" s="1"/>
  <c r="F28" i="44"/>
  <c r="C25" i="44"/>
  <c r="P16" i="26"/>
  <c r="P25" i="26" s="1"/>
  <c r="P26" i="26"/>
  <c r="S46" i="19"/>
  <c r="R46" i="19"/>
  <c r="G53" i="64" l="1"/>
  <c r="L51" i="64"/>
  <c r="H53" i="64"/>
  <c r="R47" i="19"/>
  <c r="Q14" i="26"/>
  <c r="J9" i="24"/>
  <c r="Q9" i="29"/>
  <c r="Q14" i="29" s="1"/>
  <c r="Q27" i="29" s="1"/>
  <c r="Q16" i="26" l="1"/>
  <c r="Q25" i="26" s="1"/>
  <c r="Q26" i="26"/>
  <c r="J13" i="24"/>
  <c r="J28" i="24" s="1"/>
  <c r="G14" i="28"/>
  <c r="G17" i="28" s="1"/>
  <c r="G18" i="28" s="1"/>
  <c r="G29" i="28" s="1"/>
  <c r="M51" i="59"/>
  <c r="G51" i="59"/>
  <c r="F51" i="59"/>
  <c r="I51" i="59"/>
  <c r="K51" i="59"/>
  <c r="J51" i="59"/>
  <c r="L51" i="59"/>
  <c r="H51" i="59"/>
  <c r="D51" i="59"/>
  <c r="O51" i="59"/>
  <c r="N51" i="59"/>
  <c r="E40" i="59"/>
  <c r="E42" i="59" s="1"/>
  <c r="E44" i="59" s="1"/>
  <c r="E46" i="59" s="1"/>
  <c r="E51" i="59"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<sst xmlns="http://schemas.openxmlformats.org/spreadsheetml/2006/main" count="9948" uniqueCount="1033">
  <si>
    <t>Product</t>
  </si>
  <si>
    <t>Components</t>
  </si>
  <si>
    <t>Product A</t>
  </si>
  <si>
    <t>Component 1</t>
  </si>
  <si>
    <t>Component 2</t>
  </si>
  <si>
    <t>Component 3</t>
  </si>
  <si>
    <t>Component 4</t>
  </si>
  <si>
    <t>Manufacture labour 1h base</t>
  </si>
  <si>
    <t>Packaging labour 1h base</t>
  </si>
  <si>
    <t>Product A Cost</t>
  </si>
  <si>
    <t>Product B</t>
  </si>
  <si>
    <t>Component 5</t>
  </si>
  <si>
    <t>Component 6</t>
  </si>
  <si>
    <t>Product B Cost</t>
  </si>
  <si>
    <t>Product C</t>
  </si>
  <si>
    <t>Product C Cost</t>
  </si>
  <si>
    <t>Consumption</t>
  </si>
  <si>
    <t>January</t>
  </si>
  <si>
    <t>February</t>
  </si>
  <si>
    <t>March</t>
  </si>
  <si>
    <t>April</t>
  </si>
  <si>
    <t>May</t>
  </si>
  <si>
    <t>June</t>
  </si>
  <si>
    <t>July</t>
  </si>
  <si>
    <t>August</t>
  </si>
  <si>
    <t>September</t>
  </si>
  <si>
    <t>October</t>
  </si>
  <si>
    <t>November</t>
  </si>
  <si>
    <t>December</t>
  </si>
  <si>
    <t>Client designation</t>
  </si>
  <si>
    <t>Products</t>
  </si>
  <si>
    <t>Client 2</t>
  </si>
  <si>
    <t>Client 5</t>
  </si>
  <si>
    <t>Client 7</t>
  </si>
  <si>
    <t>Client 9</t>
  </si>
  <si>
    <t>Client 10</t>
  </si>
  <si>
    <t>Client 4</t>
  </si>
  <si>
    <t>Client 6</t>
  </si>
  <si>
    <t>Client 8</t>
  </si>
  <si>
    <t>Client 1</t>
  </si>
  <si>
    <t>Client 3</t>
  </si>
  <si>
    <t>Purchases volumes</t>
  </si>
  <si>
    <t>Purchases costs</t>
  </si>
  <si>
    <t>Sales per product</t>
  </si>
  <si>
    <t>Consumption per month</t>
  </si>
  <si>
    <t xml:space="preserve">Product </t>
  </si>
  <si>
    <t>Initial Stock</t>
  </si>
  <si>
    <t>Values</t>
  </si>
  <si>
    <t>Verification</t>
  </si>
  <si>
    <t>Client name</t>
  </si>
  <si>
    <t>Product name</t>
  </si>
  <si>
    <t>Date</t>
  </si>
  <si>
    <t>Journal Entry ID</t>
  </si>
  <si>
    <t>Account</t>
  </si>
  <si>
    <t>Debit</t>
  </si>
  <si>
    <t>Credit</t>
  </si>
  <si>
    <t>Description</t>
  </si>
  <si>
    <t>Document Reference</t>
  </si>
  <si>
    <t>Currency</t>
  </si>
  <si>
    <t>Component</t>
  </si>
  <si>
    <t>Opening Stock</t>
  </si>
  <si>
    <t>Transfer of opening stock balance for Component 1</t>
  </si>
  <si>
    <t>Transfer of opening stock balance for Component 2</t>
  </si>
  <si>
    <t>Transfer of opening stock balance for Component 3</t>
  </si>
  <si>
    <t>Transfer of opening stock balance for Component 4</t>
  </si>
  <si>
    <t>Transfer of opening stock balance for Component 5</t>
  </si>
  <si>
    <t>Transfer of opening stock balance for Component 6</t>
  </si>
  <si>
    <t>Raw material inventory</t>
  </si>
  <si>
    <t>Accounts Payable</t>
  </si>
  <si>
    <t>Recording accounts payable for Component 1</t>
  </si>
  <si>
    <t>Recording accounts payable for Component 2</t>
  </si>
  <si>
    <t>Recording accounts payable for Component 3</t>
  </si>
  <si>
    <t>Recording accounts payable for Component 4</t>
  </si>
  <si>
    <t>Recording accounts payable for Component 5</t>
  </si>
  <si>
    <t>Recording accounts payable for Component 6</t>
  </si>
  <si>
    <t>Recording of inventory increase with purchases component 1</t>
  </si>
  <si>
    <t>Recording of inventory increase with purchases component 2</t>
  </si>
  <si>
    <t>Recording of inventory increase with purchases component 3</t>
  </si>
  <si>
    <t>Recording of inventory increase with purchases component 4</t>
  </si>
  <si>
    <t>Recording of inventory increase with purchases component 5</t>
  </si>
  <si>
    <t>Recording of inventory increase with purchases component 6</t>
  </si>
  <si>
    <t>Cost of Goods Sold</t>
  </si>
  <si>
    <t>Consumption of component 1</t>
  </si>
  <si>
    <t>Consumption of component 2</t>
  </si>
  <si>
    <t>Consumption of component 3</t>
  </si>
  <si>
    <t>Consumption of component 4</t>
  </si>
  <si>
    <t>Consumption of component 5</t>
  </si>
  <si>
    <t>Consumption of component 6</t>
  </si>
  <si>
    <t>Test</t>
  </si>
  <si>
    <t>Inventory Finished goods Product A</t>
  </si>
  <si>
    <t>Inventory Finished goods Product B</t>
  </si>
  <si>
    <t>Inventory Finished goods Product C</t>
  </si>
  <si>
    <t>Wages payable</t>
  </si>
  <si>
    <t>Finished goods inventory Product A</t>
  </si>
  <si>
    <t>Finished goods inventory Product B</t>
  </si>
  <si>
    <t>Finished goods inventory Product C</t>
  </si>
  <si>
    <t>Finished good inventory</t>
  </si>
  <si>
    <t>Accounts Receivable</t>
  </si>
  <si>
    <t>Sales Revenue</t>
  </si>
  <si>
    <t>Sale product C to client 1</t>
  </si>
  <si>
    <t>Turnover</t>
  </si>
  <si>
    <t>Date of payment</t>
  </si>
  <si>
    <t>Date of Sale</t>
  </si>
  <si>
    <t>COGS</t>
  </si>
  <si>
    <t>Supplier/client</t>
  </si>
  <si>
    <t>Revenues</t>
  </si>
  <si>
    <t>Client</t>
  </si>
  <si>
    <t>Row Labels</t>
  </si>
  <si>
    <t>Grand Total</t>
  </si>
  <si>
    <t>janv</t>
  </si>
  <si>
    <t>févr</t>
  </si>
  <si>
    <t>mars</t>
  </si>
  <si>
    <t>oct</t>
  </si>
  <si>
    <t>nov</t>
  </si>
  <si>
    <t>déc</t>
  </si>
  <si>
    <t>juil</t>
  </si>
  <si>
    <t>août</t>
  </si>
  <si>
    <t>sept</t>
  </si>
  <si>
    <t>avr</t>
  </si>
  <si>
    <t>mai</t>
  </si>
  <si>
    <t>juin</t>
  </si>
  <si>
    <t>Sum of Credit</t>
  </si>
  <si>
    <t>Sum of 02/01/2022</t>
  </si>
  <si>
    <t>Supplier A</t>
  </si>
  <si>
    <t>Supplier B</t>
  </si>
  <si>
    <t>Supplier D</t>
  </si>
  <si>
    <t>Wages</t>
  </si>
  <si>
    <t>Total wages</t>
  </si>
  <si>
    <t>Coût déclaré produit</t>
  </si>
  <si>
    <t>Coût cumulé consommation</t>
  </si>
  <si>
    <t>Componenents</t>
  </si>
  <si>
    <t>FIFO</t>
  </si>
  <si>
    <t>Variation de stock - OD Equilibre</t>
  </si>
  <si>
    <t>A</t>
  </si>
  <si>
    <t>B</t>
  </si>
  <si>
    <t>C</t>
  </si>
  <si>
    <t>D</t>
  </si>
  <si>
    <t>E</t>
  </si>
  <si>
    <t>Sum of C</t>
  </si>
  <si>
    <t>Sum of D</t>
  </si>
  <si>
    <t>Prod A</t>
  </si>
  <si>
    <t>Prod B</t>
  </si>
  <si>
    <t>Prod C</t>
  </si>
  <si>
    <t>Cost of goods sold</t>
  </si>
  <si>
    <t>Sum of January</t>
  </si>
  <si>
    <t>Sum of February</t>
  </si>
  <si>
    <t>Wages payables</t>
  </si>
  <si>
    <t>Sum of Debit</t>
  </si>
  <si>
    <t>Solde</t>
  </si>
  <si>
    <t>Sum of Solde</t>
  </si>
  <si>
    <t>Cash and cash equivalents</t>
  </si>
  <si>
    <t>2022</t>
  </si>
  <si>
    <t>Years (Date)</t>
  </si>
  <si>
    <t>Months (Date)</t>
  </si>
  <si>
    <t>Facility</t>
  </si>
  <si>
    <t>Administration</t>
  </si>
  <si>
    <t>Share Capital</t>
  </si>
  <si>
    <t>Personnel</t>
  </si>
  <si>
    <t>Financial income</t>
  </si>
  <si>
    <t>Financial Cost</t>
  </si>
  <si>
    <t>DSO</t>
  </si>
  <si>
    <t>DIO</t>
  </si>
  <si>
    <t>DPO</t>
  </si>
  <si>
    <t>Dashboard</t>
  </si>
  <si>
    <t>Financial statements</t>
  </si>
  <si>
    <t>Working Capital</t>
  </si>
  <si>
    <t>KPI Analysis</t>
  </si>
  <si>
    <t>Budgeting &amp; Forecasting</t>
  </si>
  <si>
    <t>Working Capital Analysis</t>
  </si>
  <si>
    <t>AI-dvisor (Gen AI)</t>
  </si>
  <si>
    <t>Benchmarking</t>
  </si>
  <si>
    <t>Risk Management</t>
  </si>
  <si>
    <t>IFRS Advanced module</t>
  </si>
  <si>
    <t>Montecarlo simulation</t>
  </si>
  <si>
    <t>Month</t>
  </si>
  <si>
    <t>Year</t>
  </si>
  <si>
    <t>Profit and loss statement</t>
  </si>
  <si>
    <t>Actuals</t>
  </si>
  <si>
    <t>Budget</t>
  </si>
  <si>
    <t>Variance</t>
  </si>
  <si>
    <t>Previous period</t>
  </si>
  <si>
    <t>GROSS MARGIN</t>
  </si>
  <si>
    <t>EBITDA</t>
  </si>
  <si>
    <t>NET RESULT</t>
  </si>
  <si>
    <t>Liabilities</t>
  </si>
  <si>
    <t>Retained earnings</t>
  </si>
  <si>
    <t>Balance sheet</t>
  </si>
  <si>
    <t>Accounts receivable</t>
  </si>
  <si>
    <t>Accounts payable</t>
  </si>
  <si>
    <t>Property, Plant, and Equipment (PPE)</t>
  </si>
  <si>
    <t>Intangible Assets</t>
  </si>
  <si>
    <t>Cash and Cash Equivalents</t>
  </si>
  <si>
    <t>Short-term Debt</t>
  </si>
  <si>
    <t>Balance sheet cutoff</t>
  </si>
  <si>
    <t>Assets</t>
  </si>
  <si>
    <t>Equity</t>
  </si>
  <si>
    <t>Check</t>
  </si>
  <si>
    <t>Impact on EBITDA</t>
  </si>
  <si>
    <t>Impact of GP on EBITDA</t>
  </si>
  <si>
    <t>Costs Impact</t>
  </si>
  <si>
    <t>P&amp;L</t>
  </si>
  <si>
    <t>Balance Sheet</t>
  </si>
  <si>
    <t>Cash flow statement</t>
  </si>
  <si>
    <t>Cashflow statement</t>
  </si>
  <si>
    <t>- Other finance items and taxes</t>
  </si>
  <si>
    <t>PROFIT</t>
  </si>
  <si>
    <t xml:space="preserve">  + Provisions (Inventory &amp; Receivables)</t>
  </si>
  <si>
    <t>Gross Cash Flow</t>
  </si>
  <si>
    <t xml:space="preserve">  Trade Receivables &amp; Income accruals</t>
  </si>
  <si>
    <t xml:space="preserve">  Inventories &amp; Prepayments</t>
  </si>
  <si>
    <t xml:space="preserve">  Trade payables &amp; Expense accruals</t>
  </si>
  <si>
    <t>Cash flow from operations</t>
  </si>
  <si>
    <t>as % of EBITDA</t>
  </si>
  <si>
    <t>Financial Investment</t>
  </si>
  <si>
    <t>Investment in fixed assets</t>
  </si>
  <si>
    <t>Cash Flow after Investment</t>
  </si>
  <si>
    <t>Cash Flow from Financing</t>
  </si>
  <si>
    <t>Net Cash Flow</t>
  </si>
  <si>
    <t>Inter Client Loans Granted &amp; Received</t>
  </si>
  <si>
    <t>Non Current Liabilities</t>
  </si>
  <si>
    <t>Intangibles</t>
  </si>
  <si>
    <t>Ongoing Year earning</t>
  </si>
  <si>
    <t>Ongoing earnings</t>
  </si>
  <si>
    <t>PPE Balance sheet</t>
  </si>
  <si>
    <t>Intangible Balance sheet</t>
  </si>
  <si>
    <t>Balance sheet Cash and Cash Equivalents</t>
  </si>
  <si>
    <t>Balance sheetShort-term Debt</t>
  </si>
  <si>
    <t>Balance sheet Share cap</t>
  </si>
  <si>
    <t>Working Capital  evoultion</t>
  </si>
  <si>
    <t>Balance sheet AccPay</t>
  </si>
  <si>
    <t>Balance sheet AccRec</t>
  </si>
  <si>
    <t>Supplier A - Detailed working Capital</t>
  </si>
  <si>
    <t>Supplier B - Detailed working Capital</t>
  </si>
  <si>
    <t>Supplier D - Detailed working Capital</t>
  </si>
  <si>
    <t>Company DPO</t>
  </si>
  <si>
    <t>Company DSO</t>
  </si>
  <si>
    <t>Balance sheet Rawmatinv</t>
  </si>
  <si>
    <t>Clôtures mensuelles --</t>
  </si>
  <si>
    <t>Revenue</t>
  </si>
  <si>
    <t>Forecast</t>
  </si>
  <si>
    <t>AI Insights</t>
  </si>
  <si>
    <t>Margin</t>
  </si>
  <si>
    <t>AI Analytics result</t>
  </si>
  <si>
    <t>Collect P&amp;L Data from Aifina</t>
  </si>
  <si>
    <t>Key</t>
  </si>
  <si>
    <t>sk-k6xUglk-eXAjsAHExHRUjRL6m3wGxjlIvhH8tIN9olT3BlbkFJ81v5JksINI5OxwVX2ifrjvwQtKWm71iqPSMkCXzd0A</t>
  </si>
  <si>
    <t>Analyse</t>
  </si>
  <si>
    <t>Analyse GPT</t>
  </si>
  <si>
    <t>Working Capital is a crucial measure of a company's liquidity and financial health. In the case of , the current Working Capital stands at 63,1705911271209. This indicates the firm's ability to meet its short-term obligations and fund its day-to-day operations. 
Analyzing the historical working capital details, we can identify trends and patterns that provide insights into the company's working capital management efficiency. 
Looking at the Days Sales Outstanding (DSO) figure of 2,95744542651894, we can see that the company takes approximately 2,957 days to collect its accounts receivable. This suggests potential inefficiencies in credit policies and/or collection processes. 
The Days Inventory Outstanding (DIO) figure of 90,8163594244125 indicates that the company takes 90 days to sell its inventory. This could suggest overstocking or slow-moving inventory, which ties up cash and limits liquidity. 
Unfortunately, the Days Payable Outstanding (DPO) figure is missing from the data provided, making it challenging to assess the company's payment terms and relationship with suppliers.
To improve working capital management, some strategic recommendations could include:
1. Streamlining accounts receivable processes to reduce DSO and improve cash flow. This could involve implementing stricter credit policies, offering discounts for early payments, or utilizing technology for faster invoicing and collections.
2. Optimizing inventory management by forecasting demand accurately, reducing excess inventory levels, and improving inventory turnover ratios.
3. Negotiating favorable payment terms with suppliers to extend DPO and preserve cash flow. Building strong relationships with suppliers can also lead to discounts or better terms in the future. 
Overall, a focus on improving receivables, inventory, and payables management can enhance liquidity, strengthen working capital position, and support long-term financial sustainability for the company.</t>
  </si>
  <si>
    <t>vs.</t>
  </si>
  <si>
    <t>Details</t>
  </si>
  <si>
    <t>AI insights</t>
  </si>
  <si>
    <t>Total per month</t>
  </si>
  <si>
    <t xml:space="preserve">Margin </t>
  </si>
  <si>
    <t>Actual</t>
  </si>
  <si>
    <t>Prior Period</t>
  </si>
  <si>
    <t xml:space="preserve">Print </t>
  </si>
  <si>
    <t>?</t>
  </si>
  <si>
    <t>Download</t>
  </si>
  <si>
    <t>Save</t>
  </si>
  <si>
    <t>Var</t>
  </si>
  <si>
    <t>Financial Performance Analysis:
1. Profitability:
- Sales revenue has increased significantly from the previous period, indicating strong growth and demand for the company's products/services.
- Cost of goods sold has also increased, but not at the same rate as sales revenue, leading to a higher gross margin.
- Net result has shown a positive variance, indicating improved profitability compared to the previous period.
2. Cost Control:
- Personnel costs have increased, which may be due to hiring more employees to support the increase in sales. It is important to monitor and optimize these costs to ensure they are in line with the revenue growth.
- Facility costs have also increased, possibly due to expansion or upgrades. Evaluating the efficiency of these expenses can help improve cost control.
- Administration costs have increased as well, and strategies to streamline processes and reduce overhead could be implemented to better control these expenses.
3. Margins:
- Gross margin has improved, showing that the company is managing its production costs effectively.
- EBITDA performance is not provided in the data, so it is unclear how operational profitability is impacted by other factors such as depreciation and amortization.
- Financial income has decreased, which may indicate lower returns on investments. It is important to assess the performance of investment portfolios and explore opportunities for higher returns.
- Financial costs are not provided in the data, making it difficult to analyze the impact on overall margins.
Strategies for Improvement:
1. Monitor and optimize personnel costs by aligning workforce planning with business needs.
2. Evaluate facility costs to identify areas for cost-saving measures or efficiency improvements.
3. Implement cost-saving initiatives in administration to reduce overhead expenses.
4. Review investment strategies to increase financial income and potentially reduce financial costs.
5. Continuously monitor and adjust pricing strategies to maintain or increase profitability margins.
Overall, the company has shown positive growth in sales revenue and profitability, but there are opportunities to improve cost control and margins by focusing on optimizing expenses and investment returns. Regular monitoring and adjustment of financial performance metrics will be crucial in sustaining and enhancing the company's profitability in the long term.</t>
  </si>
  <si>
    <t>Cash and Cash Equivalents Total</t>
  </si>
  <si>
    <t>Bilan CashandCash</t>
  </si>
  <si>
    <t>Cash Conversion Cycle</t>
  </si>
  <si>
    <t>Working capital evolution LTM</t>
  </si>
  <si>
    <t>Days Sales Outstanding (DSO)</t>
  </si>
  <si>
    <t>DETAIL</t>
  </si>
  <si>
    <t>AI Insight</t>
  </si>
  <si>
    <r>
      <t xml:space="preserve">In May, the DSO analysis reveals significant variations among clients, with Client 6 exhibiting the highest DSO at 85, followed by Clients 2 and 4 at 90, indicating potential collection issues that could impact cash flow. Conversely, Client 8 demonstrates effective collection practices with the lowest DSO of 54. To improve overall cash flow, it is recommended to prioritize follow-ups with high DSO clients, reassess their credit terms, and implement stricter payment policies. Additionally, leveraging successful strategies from Client 8 can provide insights for enhancing collection processes across the board, while establishing regular monitoring will help identify clients needing immediate attention.
</t>
    </r>
    <r>
      <rPr>
        <i/>
        <u/>
        <sz val="11"/>
        <color theme="4"/>
        <rFont val="Aptos Display"/>
        <family val="2"/>
        <scheme val="major"/>
      </rPr>
      <t>Premium+ analysis: If Clients 2, 4, and 6 were operating at the correct DSO level of 70 days, the cash flow impact would be approximately $601.30K, $564.00K, and $351.70K, respectively. This indicates a substantial potential improvement in cash flow by reducing the DSO for these clients.</t>
    </r>
  </si>
  <si>
    <r>
      <t xml:space="preserve">In May, the analysis of the Days Payable Outstanding (DPO) reveals significant concerns, particularly with Supplier B, whose DPO stands at an unsustainable 209 days, while Supplier A follows closely at 119 days; both well above the company average of 95 days. The total cost of goods sold (COGS) for the month amounts to $9,245.12K, with accounts payable totaling $29,079.50K, indicating potential liquidity risks. While a high DPO can temporarily improve cash flow by delaying payments, it may strain relationships with suppliers, particularly if it leads to unfavorable terms or supply chain disruptions. Immediate action is recommended to engage with Suppliers A and B to renegotiate payment terms, aiming to reduce DPO and enhance cash flow management. Additionally, establishing a dashboard for monitoring DPO and implementing streamlined accounts payable processes will be critical for ensuring timely payments and maintaining supplier satisfaction, thus securing financial stability in the upcoming months.
</t>
    </r>
    <r>
      <rPr>
        <i/>
        <u/>
        <sz val="11"/>
        <color theme="4"/>
        <rFont val="Aptos Display"/>
        <family val="2"/>
        <scheme val="major"/>
      </rPr>
      <t>Premium+ analysis: Paying Supplier D at the company DPO level of 95 days presents a significant opportunity to enhance cash flow, freeing up approximately $26,721.18K for other operational uses. This adjustment would not only improve liquidity but also strengthen working capital management. However, it is crucial to manage supplier relationships carefully to maintain favorable terms and ensure continued collaboration.</t>
    </r>
  </si>
  <si>
    <t>Company DIO</t>
  </si>
  <si>
    <t>Days Inventory Outstanding (DIO)</t>
  </si>
  <si>
    <r>
      <t xml:space="preserve">Efficiency Insights:
- Component 1 (DIO = 24 days) and Component 2 (DIO = 13 days) both indicate longer inventory holding periods compared to the company average. These components, along with Component 4 (39 days), suggest that inventory management can be optimized.
- Components 3, 5, and 6 show efficient turnover with low DIO, highlighting best practices that could be applied to higher DIO components.
Cash Flow Implications:
- High DIO for Components 1, 2, and 4 can lead to cash being tied up in inventory, impacting liquidity. Reducing DIO in these components would free up capital currently held in excess inventory, thus enhancing cash flow.
- Aligning the inventory turnover with the company’s average DIO of 11 days across all components can significantly improve cash flow.
Recommendations:
- Inventory Optimization: Implement just-in-time (JIT) inventory practices to reduce excess stock and associated holding costs, particularly for Components 1 and 4.
- Supplier Collaboration: Work with suppliers to streamline the supply chain, ensuring timely deliveries that match inventory needs and reduce excess.
- Regular Monitoring: Establish KPIs to track DIO across all components and adjust inventory strategies based on real-time sales data.
</t>
    </r>
    <r>
      <rPr>
        <i/>
        <u/>
        <sz val="11"/>
        <color theme="4"/>
        <rFont val="Aptos Display"/>
        <family val="2"/>
        <scheme val="major"/>
      </rPr>
      <t xml:space="preserve">Premium+ analysis: Aligning the inventory turnover for Components 1, 2, and 4 with the company’s DIO of 11 days could free up approximately $286.05K for Component 1, $63.86K for Component 2, and $1,762.56K for Component 4 in cash flow. This improvement would significantly enhance liquidity and operational efficiency, allowing the company to better utilize its capital. </t>
    </r>
  </si>
  <si>
    <t>Days Payables Outstanding (DPO)</t>
  </si>
  <si>
    <t>Revenue per client</t>
  </si>
  <si>
    <t>Volume per client</t>
  </si>
  <si>
    <t>Volume effect</t>
  </si>
  <si>
    <t>Price effect</t>
  </si>
  <si>
    <t>Revenue evolution analysis</t>
  </si>
  <si>
    <t>Variance vs. Previous period</t>
  </si>
  <si>
    <t>Item</t>
  </si>
  <si>
    <t>Analysis per client - Volume</t>
  </si>
  <si>
    <t>Analysis per client -prix</t>
  </si>
  <si>
    <t>Ai insights</t>
  </si>
  <si>
    <t>Overview of Total Sales Revenue Trend:
January: $13,745.71 K
February: $12,726.47 K (decrease of $1,019.24 K from January)
March: $10,796.66 K (decrease of $1,929.81 K from February)
Key Observations:
There is a consistent decline in total sales revenue over these three months. The total sales dropped by approximately 21% from January to March, indicating significant operational or market challenges.
A notable part of this revenue drop is linked to the reduction in volumes sold, with January's 246,433 units dropping to 188,831 units in March—a 23% reduction.
2. Volume Effect Analysis (January - March):
The Volume Effect isolates the impact of changes in sales quantities, assuming stable prices.
February:
Severe volume reductions occurred, particularly for Client 1 (-1,961,850 units), Client 7 (-528,224 units), and Client 10 (+316,761 units). These drastic changes significantly impacted overall revenue.
March:
Client 1 shows partial recovery in volume (+964,653). Clients 3 and 8 also show positive volume recovery. However, Client 5 and Client 10 saw further volume declines in March, contributing heavily to the revenue drop.
Key Volume Changes:
Client 1: After a large volume drop in February (-$1,961.85 K), they saw a positive recovery in March (+964,653 units).
Client 5: Volumes dropped drastically in March (-1,339,272 units), leading to a revenue decline from $1,827.74 K in February to only $421.86 K in March.
Client 8: Had a positive volume recovery in March, increasing by $1,021,496 K, which helped to offset the overall revenue decline.
3. Price Effect Analysis:
The Price Effect measures the revenue impact caused by changes in pricing, assuming constant volumes.
February:
Client 10 experienced a strong positive price effect (+$587,685), which helped stabilize their revenue. Client 1 also saw a moderate price effect (+$137,223).
March:
Client 1 saw another positive price effect (+$383,652), which, combined with volume recovery, improved their position.
On the downside, Client 6 and Client 9 faced negative price effects in both February and March, possibly indicating discounts or competitive pressure that hurt revenue.
Key Price Effect Takeaways:
Client 1 and Client 10 benefitted from positive pricing effects in February and March, which helped offset their volume challenges.
Clients 2, 7, 8, and 9 saw negative price effects, indicating competitive pricing pressures or discounts affecting revenue stability.
4. Client-Specific Highlights:
Client 1: After a severe drop in February (both volume and revenue), this client rebounded in March, driven by price increases and partial volume recovery. However, March revenue is still down by ~11% compared to January.
Client 5: Suffered a drastic 77% revenue decline in March due to significant volume losses. This client requires immediate strategic intervention.
Client 10: Showed some stability due to price increases in February, but March was marked by declines in both volume and pricing effects.
5. Actionable Insights for March:
Focus on Client Retention &amp; Volume Recovery: The primary driver of the revenue decline has been volume reductions. The company should focus on retaining and increasing volumes for key clients like Client 5 and Client 7.
Review Price Strategy: While price increases benefitted Client 1 and Client 10, others such as Client 2 and Client 9 experienced negative price effects, likely due to discounts. The pricing strategy should be revisited to stabilize revenues without eroding margins.
Client Diversification: The company is currently vulnerable to revenue swings from major clients. Diversifying the client base can mitigate the risk of heavy dependence on key clients like Client 1 and Client 5.
Revenue Recalibration: Shifting from a volume-driven growth model to a balanced strategy of volume and pricing optimization is essential for stabilizing revenue.
6. Strategic Recommendations:
Implement Volume Recovery Initiatives: Use volume-based discounts or incentives to encourage higher orders, especially from clients like Client 1 and Client 5.
Develop Dynamic Pricing Models: Expand on the positive price effects seen for Client 1 and Client 10 by employing dynamic pricing models that adjust to market demand without eroding margins.
Client Segmentation Strategies: Differentiate approaches based on client segments. Focus on recovering volume for clients like Client 5 and Client 7, while optimizing pricing strategies for clients like Client 2 and Client 9.
Summary:
The CFO analysis reveals a business facing a significant decline in revenue, driven largely by volume reductions. Positive price effects in certain areas have helped offset some of these losses, but the overall trend requires immediate attention. Key clients, especially Client 5 and Client 7, require targeted interventions to recover volumes, while the pricing strategy should be revisited to address the negative price effects impacting Clients 2, 6, and 9. A diversified client base and a balanced approach to pricing and volume will be critical to stabilize revenue moving forward.</t>
  </si>
  <si>
    <t>Client concentration analysis</t>
  </si>
  <si>
    <t>Revenue contrib</t>
  </si>
  <si>
    <t>Calculs</t>
  </si>
  <si>
    <t>Analysis</t>
  </si>
  <si>
    <t>Margin per client</t>
  </si>
  <si>
    <t>Margin contribution per client</t>
  </si>
  <si>
    <t>Total</t>
  </si>
  <si>
    <t>Cost analysis</t>
  </si>
  <si>
    <t>Cost impact</t>
  </si>
  <si>
    <t>Cost Impact</t>
  </si>
  <si>
    <t>Product cost</t>
  </si>
  <si>
    <t>YTD</t>
  </si>
  <si>
    <t>Year-to-date</t>
  </si>
  <si>
    <t>Var vs. Budget</t>
  </si>
  <si>
    <t>Vs. Prior Period</t>
  </si>
  <si>
    <t>- Raw material inventory (Variation )</t>
  </si>
  <si>
    <t>- Accounts receivable ( Variation )</t>
  </si>
  <si>
    <t>- Accounts payable (Variation)</t>
  </si>
  <si>
    <t>- Financial cost</t>
  </si>
  <si>
    <t>- Financial income</t>
  </si>
  <si>
    <t>Cash flow from financing</t>
  </si>
  <si>
    <t xml:space="preserve">- </t>
  </si>
  <si>
    <t>Cash flow investments</t>
  </si>
  <si>
    <t>Net Cash flow</t>
  </si>
  <si>
    <t>Opening Cashflow</t>
  </si>
  <si>
    <t>Closing cashflow</t>
  </si>
  <si>
    <t>- Retained earnings</t>
  </si>
  <si>
    <t>Cash position</t>
  </si>
  <si>
    <t>EBITDA PER REVENUE</t>
  </si>
  <si>
    <t>This value for the chart</t>
  </si>
  <si>
    <t>Budget Margin</t>
  </si>
  <si>
    <t>Previous period Margin</t>
  </si>
  <si>
    <t>YTD Margin</t>
  </si>
  <si>
    <t>Profitability</t>
  </si>
  <si>
    <t xml:space="preserve">Net result </t>
  </si>
  <si>
    <t>Net Profitability</t>
  </si>
  <si>
    <t>Budget Profitability</t>
  </si>
  <si>
    <t>Previous period Profitability</t>
  </si>
  <si>
    <t>YTD Profitability</t>
  </si>
  <si>
    <t>Return on equity</t>
  </si>
  <si>
    <t>Net income YTD</t>
  </si>
  <si>
    <t>ROE</t>
  </si>
  <si>
    <t>Return on assets</t>
  </si>
  <si>
    <t>ROA</t>
  </si>
  <si>
    <t xml:space="preserve"> </t>
  </si>
  <si>
    <t>Products sales</t>
  </si>
  <si>
    <t>Total revenue</t>
  </si>
  <si>
    <t>Sum of March</t>
  </si>
  <si>
    <t>Sum of April</t>
  </si>
  <si>
    <t>Sum of June</t>
  </si>
  <si>
    <t>Sum of May</t>
  </si>
  <si>
    <t>Sum of July</t>
  </si>
  <si>
    <t>Sum of August</t>
  </si>
  <si>
    <t>Sum of September</t>
  </si>
  <si>
    <t>Sum of October</t>
  </si>
  <si>
    <t>Sum of November</t>
  </si>
  <si>
    <t>Sum of December</t>
  </si>
  <si>
    <t>Top 5 clients</t>
  </si>
  <si>
    <t>Top most profitable clients</t>
  </si>
  <si>
    <t>Margin contribution</t>
  </si>
  <si>
    <t>Other clients</t>
  </si>
  <si>
    <t>Previous</t>
  </si>
  <si>
    <t xml:space="preserve">Actuals </t>
  </si>
  <si>
    <t>Var.</t>
  </si>
  <si>
    <t>CCC</t>
  </si>
  <si>
    <t>Credit line usage</t>
  </si>
  <si>
    <t>Credit line available</t>
  </si>
  <si>
    <t>Credit line utilisation</t>
  </si>
  <si>
    <t>Available credit line</t>
  </si>
  <si>
    <t>Overdraft rate</t>
  </si>
  <si>
    <t>Overdraft availability</t>
  </si>
  <si>
    <t>Executive summary of the company situation</t>
  </si>
  <si>
    <t>Action plan</t>
  </si>
  <si>
    <t>Debt to equity</t>
  </si>
  <si>
    <t>Debt</t>
  </si>
  <si>
    <t>Ratio Debt to equity</t>
  </si>
  <si>
    <t>Current assets - Inventory</t>
  </si>
  <si>
    <t>Current liabilities</t>
  </si>
  <si>
    <t>Quick Ratio (Liquidity)</t>
  </si>
  <si>
    <t>Industry</t>
  </si>
  <si>
    <t>Retail</t>
  </si>
  <si>
    <t xml:space="preserve">Metrics </t>
  </si>
  <si>
    <t>Company Data</t>
  </si>
  <si>
    <t xml:space="preserve">Forecasting </t>
  </si>
  <si>
    <t>Benchmarking data</t>
  </si>
  <si>
    <t>Your position</t>
  </si>
  <si>
    <t xml:space="preserve">   MARGIN</t>
  </si>
  <si>
    <t>Insight and analysis</t>
  </si>
  <si>
    <t xml:space="preserve">   EBITDA per Revenue</t>
  </si>
  <si>
    <t xml:space="preserve">Data source: </t>
  </si>
  <si>
    <t>Size</t>
  </si>
  <si>
    <t>+100M $</t>
  </si>
  <si>
    <t xml:space="preserve">   Working Capital (CCC)</t>
  </si>
  <si>
    <t xml:space="preserve">   Days Sales Outstanding (DSO)</t>
  </si>
  <si>
    <t xml:space="preserve">   Days Payables Outstanding (DPO)</t>
  </si>
  <si>
    <t xml:space="preserve">   Days Inventory Outstanding (DIO)</t>
  </si>
  <si>
    <t>Gap</t>
  </si>
  <si>
    <t xml:space="preserve">   Overdraft rate</t>
  </si>
  <si>
    <t xml:space="preserve">   Financial income rates</t>
  </si>
  <si>
    <t xml:space="preserve">   Operational costs / Revenue</t>
  </si>
  <si>
    <t xml:space="preserve">  Return on equity</t>
  </si>
  <si>
    <t xml:space="preserve">   Return on assets</t>
  </si>
  <si>
    <r>
      <rPr>
        <b/>
        <sz val="14"/>
        <color theme="3" tint="9.9978637043366805E-2"/>
        <rFont val="Aptos Display"/>
        <family val="2"/>
        <scheme val="major"/>
      </rPr>
      <t xml:space="preserve">   </t>
    </r>
    <r>
      <rPr>
        <b/>
        <u/>
        <sz val="14"/>
        <color theme="3" tint="9.9978637043366805E-2"/>
        <rFont val="Aptos Display"/>
        <family val="2"/>
        <scheme val="major"/>
      </rPr>
      <t>Industry best practices</t>
    </r>
  </si>
  <si>
    <t xml:space="preserve">   Strategic industry insights</t>
  </si>
  <si>
    <t>Strenghs</t>
  </si>
  <si>
    <t>Threats</t>
  </si>
  <si>
    <t>Opportunities</t>
  </si>
  <si>
    <t>Weaknesses</t>
  </si>
  <si>
    <r>
      <rPr>
        <b/>
        <sz val="14"/>
        <color theme="3" tint="9.9978637043366805E-2"/>
        <rFont val="Aptos Display"/>
        <family val="2"/>
        <scheme val="major"/>
      </rPr>
      <t xml:space="preserve">   </t>
    </r>
    <r>
      <rPr>
        <b/>
        <u/>
        <sz val="14"/>
        <color theme="3" tint="9.9978637043366805E-2"/>
        <rFont val="Aptos Display"/>
        <family val="2"/>
        <scheme val="major"/>
      </rPr>
      <t>Industry general risks</t>
    </r>
  </si>
  <si>
    <r>
      <rPr>
        <b/>
        <sz val="14"/>
        <color theme="3" tint="9.9978637043366805E-2"/>
        <rFont val="Aptos Display"/>
        <family val="2"/>
        <scheme val="major"/>
      </rPr>
      <t xml:space="preserve">   </t>
    </r>
    <r>
      <rPr>
        <b/>
        <u/>
        <sz val="14"/>
        <color theme="3" tint="9.9978637043366805E-2"/>
        <rFont val="Aptos Display"/>
        <family val="2"/>
        <scheme val="major"/>
      </rPr>
      <t>Industry trends and news</t>
    </r>
  </si>
  <si>
    <r>
      <rPr>
        <b/>
        <sz val="14"/>
        <color theme="3" tint="9.9978637043366805E-2"/>
        <rFont val="Aptos Display"/>
        <family val="2"/>
        <scheme val="major"/>
      </rPr>
      <t xml:space="preserve">   </t>
    </r>
    <r>
      <rPr>
        <b/>
        <u/>
        <sz val="14"/>
        <color theme="3" tint="9.9978637043366805E-2"/>
        <rFont val="Aptos Display"/>
        <family val="2"/>
        <scheme val="major"/>
      </rPr>
      <t>Revenue and margin drivers</t>
    </r>
  </si>
  <si>
    <r>
      <rPr>
        <b/>
        <sz val="14"/>
        <color theme="3" tint="9.9978637043366805E-2"/>
        <rFont val="Aptos Display"/>
        <family val="2"/>
        <scheme val="major"/>
      </rPr>
      <t xml:space="preserve">   </t>
    </r>
    <r>
      <rPr>
        <b/>
        <u/>
        <sz val="14"/>
        <color theme="3" tint="9.9978637043366805E-2"/>
        <rFont val="Aptos Display"/>
        <family val="2"/>
        <scheme val="major"/>
      </rPr>
      <t>Projections and forecasts</t>
    </r>
  </si>
  <si>
    <t>Update date</t>
  </si>
  <si>
    <t xml:space="preserve">   Net result</t>
  </si>
  <si>
    <t xml:space="preserve"> Data accuracy - Journal entries</t>
  </si>
  <si>
    <t xml:space="preserve">   Liquidity risk</t>
  </si>
  <si>
    <t xml:space="preserve">   Unusual transactions</t>
  </si>
  <si>
    <t xml:space="preserve">   Duplicate transactions</t>
  </si>
  <si>
    <t xml:space="preserve">   Round number transactions</t>
  </si>
  <si>
    <t xml:space="preserve">   Journal entries to adjustment accounts</t>
  </si>
  <si>
    <t xml:space="preserve">   Debit/Credit entries to Debit/Credit accoutns</t>
  </si>
  <si>
    <t xml:space="preserve">   Cashflow mismatch</t>
  </si>
  <si>
    <t xml:space="preserve">   Payables vs. Receivables evolution</t>
  </si>
  <si>
    <t xml:space="preserve">   Current ratio</t>
  </si>
  <si>
    <t xml:space="preserve">   Quick ratio</t>
  </si>
  <si>
    <t xml:space="preserve">   Cash conversion cycle (Working capital evolution)</t>
  </si>
  <si>
    <t xml:space="preserve">   Operational risk</t>
  </si>
  <si>
    <t xml:space="preserve">   Number of adjustments</t>
  </si>
  <si>
    <t xml:space="preserve">   Days payables outstanding evolution</t>
  </si>
  <si>
    <t xml:space="preserve">   Days sales outstanding evolution</t>
  </si>
  <si>
    <t xml:space="preserve">   Budget vs. Actuals operational expenses evolution</t>
  </si>
  <si>
    <t xml:space="preserve">   Delayed payments</t>
  </si>
  <si>
    <t xml:space="preserve">   Delayed receipts</t>
  </si>
  <si>
    <t xml:space="preserve">   Credit risk</t>
  </si>
  <si>
    <t xml:space="preserve">   Aging receivables</t>
  </si>
  <si>
    <t xml:space="preserve">   Bad Debt Write-Offs</t>
  </si>
  <si>
    <t xml:space="preserve">   Accounts Receivable Turnover</t>
  </si>
  <si>
    <t xml:space="preserve">   Bad Debt Ratio</t>
  </si>
  <si>
    <t xml:space="preserve">   Inventory Risk</t>
  </si>
  <si>
    <t xml:space="preserve">   Inventory level</t>
  </si>
  <si>
    <t xml:space="preserve">   Inventory Write-Downs</t>
  </si>
  <si>
    <t xml:space="preserve">   Inventory Turnover Ratio </t>
  </si>
  <si>
    <t xml:space="preserve">   Profitability Risk</t>
  </si>
  <si>
    <t xml:space="preserve">   Profit Margin</t>
  </si>
  <si>
    <t xml:space="preserve">   High Operating Costs</t>
  </si>
  <si>
    <t xml:space="preserve">   Net Profit Margin</t>
  </si>
  <si>
    <t xml:space="preserve">   Foreign Exchange (FX) Risk</t>
  </si>
  <si>
    <t xml:space="preserve">   FX Exposure</t>
  </si>
  <si>
    <t xml:space="preserve">   Currencies exposition</t>
  </si>
  <si>
    <t xml:space="preserve">   Hedging policies evolution</t>
  </si>
  <si>
    <t xml:space="preserve">   Debt risk</t>
  </si>
  <si>
    <t xml:space="preserve">   Debt exposure</t>
  </si>
  <si>
    <t xml:space="preserve">   Interest Coverage Ratio</t>
  </si>
  <si>
    <t xml:space="preserve">   Debt Service Coverage Ratio (DSCR)</t>
  </si>
  <si>
    <t>Risks area</t>
  </si>
  <si>
    <t>Risk score</t>
  </si>
  <si>
    <t>High</t>
  </si>
  <si>
    <t>Medium</t>
  </si>
  <si>
    <t>Low</t>
  </si>
  <si>
    <t xml:space="preserve">   Concentration risk</t>
  </si>
  <si>
    <t xml:space="preserve">    Revenue concentration</t>
  </si>
  <si>
    <t xml:space="preserve">   Expense concentration</t>
  </si>
  <si>
    <t xml:space="preserve">   Geographic concentration</t>
  </si>
  <si>
    <t xml:space="preserve">   Going concern risk</t>
  </si>
  <si>
    <t xml:space="preserve">   Operating cash flow / Total debt</t>
  </si>
  <si>
    <t xml:space="preserve">   Net value (net equity evolution)</t>
  </si>
  <si>
    <t xml:space="preserve">Forecast - Profit and loss statement </t>
  </si>
  <si>
    <t>Method</t>
  </si>
  <si>
    <t>Linear regression</t>
  </si>
  <si>
    <t>Regression Slope</t>
  </si>
  <si>
    <t>Regression intercept</t>
  </si>
  <si>
    <t>Exponential smoothing</t>
  </si>
  <si>
    <t>https://www.dnb.com/content/dam/english/dnb-solutions/finance/dnb_frs-q2-2023-ar-dso-report.pdf</t>
  </si>
  <si>
    <t>Your DSO is above the market average, showing slower collection in February.</t>
  </si>
  <si>
    <r>
      <t xml:space="preserve">This is a </t>
    </r>
    <r>
      <rPr>
        <b/>
        <sz val="11"/>
        <color theme="1"/>
        <rFont val="Aptos Narrow"/>
        <family val="2"/>
        <scheme val="minor"/>
      </rPr>
      <t>red flag</t>
    </r>
    <r>
      <rPr>
        <sz val="11"/>
        <color theme="1"/>
        <rFont val="Aptos Narrow"/>
        <family val="2"/>
        <scheme val="minor"/>
      </rPr>
      <t>. March shows much slower collection than the market average, potentially indicating issues with customer payments or extended credit terms.</t>
    </r>
  </si>
  <si>
    <r>
      <t xml:space="preserve">Still </t>
    </r>
    <r>
      <rPr>
        <b/>
        <sz val="11"/>
        <color theme="1"/>
        <rFont val="Aptos Narrow"/>
        <family val="2"/>
        <scheme val="minor"/>
      </rPr>
      <t>above average</t>
    </r>
    <r>
      <rPr>
        <sz val="11"/>
        <color theme="1"/>
        <rFont val="Aptos Narrow"/>
        <family val="2"/>
        <scheme val="minor"/>
      </rPr>
      <t>, but an improvement from March.</t>
    </r>
  </si>
  <si>
    <t>Your DSO remains higher than the average, suggesting slower payment collection.</t>
  </si>
  <si>
    <t>Consistently high, which can strain your working capital as cash collection slows down.</t>
  </si>
  <si>
    <t>Payment terms remain long, though there’s a slight improvement.</t>
  </si>
  <si>
    <t>DSO continues to be above the market average.</t>
  </si>
  <si>
    <t>Your DSO is still high, which could indicate delayed payments from customers.</t>
  </si>
  <si>
    <r>
      <t xml:space="preserve">Although slightly lower, it remains </t>
    </r>
    <r>
      <rPr>
        <b/>
        <sz val="11"/>
        <color theme="1"/>
        <rFont val="Aptos Narrow"/>
        <family val="2"/>
        <scheme val="minor"/>
      </rPr>
      <t>above the market average</t>
    </r>
    <r>
      <rPr>
        <sz val="11"/>
        <color theme="1"/>
        <rFont val="Aptos Narrow"/>
        <family val="2"/>
        <scheme val="minor"/>
      </rPr>
      <t>.</t>
    </r>
  </si>
  <si>
    <t>Similar trend to previous months, above average.</t>
  </si>
  <si>
    <r>
      <t xml:space="preserve">An improvement, but still </t>
    </r>
    <r>
      <rPr>
        <b/>
        <sz val="11"/>
        <color theme="1"/>
        <rFont val="Aptos Narrow"/>
        <family val="2"/>
        <scheme val="minor"/>
      </rPr>
      <t>higher than the UAE retail market average</t>
    </r>
    <r>
      <rPr>
        <sz val="11"/>
        <color theme="1"/>
        <rFont val="Aptos Narrow"/>
        <family val="2"/>
        <scheme val="minor"/>
      </rPr>
      <t>.</t>
    </r>
  </si>
  <si>
    <r>
      <t xml:space="preserve">Your </t>
    </r>
    <r>
      <rPr>
        <b/>
        <sz val="11"/>
        <color theme="1"/>
        <rFont val="Aptos Narrow"/>
        <family val="2"/>
        <scheme val="minor"/>
      </rPr>
      <t>January performance</t>
    </r>
    <r>
      <rPr>
        <sz val="11"/>
        <color theme="1"/>
        <rFont val="Aptos Narrow"/>
        <family val="2"/>
        <scheme val="minor"/>
      </rPr>
      <t xml:space="preserve"> is excellent, well below the average, indicating good credit management during that month.</t>
    </r>
  </si>
  <si>
    <r>
      <t>March</t>
    </r>
    <r>
      <rPr>
        <sz val="11"/>
        <color theme="1"/>
        <rFont val="Aptos Narrow"/>
        <family val="2"/>
        <scheme val="minor"/>
      </rPr>
      <t xml:space="preserve"> is a concerning outlier with an </t>
    </r>
    <r>
      <rPr>
        <b/>
        <sz val="11"/>
        <color theme="1"/>
        <rFont val="Aptos Narrow"/>
        <family val="2"/>
        <scheme val="minor"/>
      </rPr>
      <t>84-day DSO</t>
    </r>
    <r>
      <rPr>
        <sz val="11"/>
        <color theme="1"/>
        <rFont val="Aptos Narrow"/>
        <family val="2"/>
        <scheme val="minor"/>
      </rPr>
      <t>, indicating much slower collection. It's important to investigate any operational or credit issues specific to that period.</t>
    </r>
  </si>
  <si>
    <r>
      <t xml:space="preserve">The months from </t>
    </r>
    <r>
      <rPr>
        <b/>
        <sz val="11"/>
        <color theme="1"/>
        <rFont val="Aptos Narrow"/>
        <family val="2"/>
        <scheme val="minor"/>
      </rPr>
      <t>May through September</t>
    </r>
    <r>
      <rPr>
        <sz val="11"/>
        <color theme="1"/>
        <rFont val="Aptos Narrow"/>
        <family val="2"/>
        <scheme val="minor"/>
      </rPr>
      <t xml:space="preserve"> consistently show DSO levels above </t>
    </r>
    <r>
      <rPr>
        <b/>
        <sz val="11"/>
        <color theme="1"/>
        <rFont val="Aptos Narrow"/>
        <family val="2"/>
        <scheme val="minor"/>
      </rPr>
      <t>70 days</t>
    </r>
    <r>
      <rPr>
        <sz val="11"/>
        <color theme="1"/>
        <rFont val="Aptos Narrow"/>
        <family val="2"/>
        <scheme val="minor"/>
      </rPr>
      <t>, which could indicate ongoing collection challenges, credit term leniency, or delayed payments from certain customers.</t>
    </r>
  </si>
  <si>
    <r>
      <t xml:space="preserve">The </t>
    </r>
    <r>
      <rPr>
        <b/>
        <sz val="11"/>
        <color theme="1"/>
        <rFont val="Aptos Narrow"/>
        <family val="2"/>
        <scheme val="minor"/>
      </rPr>
      <t>retail market average DSO</t>
    </r>
    <r>
      <rPr>
        <sz val="11"/>
        <color theme="1"/>
        <rFont val="Aptos Narrow"/>
        <family val="2"/>
        <scheme val="minor"/>
      </rPr>
      <t xml:space="preserve"> for 2023 ranges between </t>
    </r>
    <r>
      <rPr>
        <b/>
        <sz val="11"/>
        <color theme="1"/>
        <rFont val="Aptos Narrow"/>
        <family val="2"/>
        <scheme val="minor"/>
      </rPr>
      <t>53 and 55 days</t>
    </r>
    <r>
      <rPr>
        <sz val="11"/>
        <color theme="1"/>
        <rFont val="Aptos Narrow"/>
        <family val="2"/>
        <scheme val="minor"/>
      </rPr>
      <t xml:space="preserve"> across quarters, indicating that your company’s receivables collection is slower than competitors in most months, with the exception of January.</t>
    </r>
  </si>
  <si>
    <t>DSO Key insights in Benchmark</t>
  </si>
  <si>
    <r>
      <t>January (62 days)</t>
    </r>
    <r>
      <rPr>
        <sz val="11"/>
        <color theme="1"/>
        <rFont val="Aptos Narrow"/>
        <family val="2"/>
        <scheme val="minor"/>
      </rPr>
      <t xml:space="preserve"> is close to the </t>
    </r>
    <r>
      <rPr>
        <b/>
        <sz val="11"/>
        <color theme="1"/>
        <rFont val="Aptos Narrow"/>
        <family val="2"/>
        <scheme val="minor"/>
      </rPr>
      <t>higher end</t>
    </r>
    <r>
      <rPr>
        <sz val="11"/>
        <color theme="1"/>
        <rFont val="Aptos Narrow"/>
        <family val="2"/>
        <scheme val="minor"/>
      </rPr>
      <t xml:space="preserve"> of market standards for DPO, indicating reasonable payment terms. However, starting from February, DPO consistently exceeds the typical </t>
    </r>
    <r>
      <rPr>
        <b/>
        <sz val="11"/>
        <color theme="1"/>
        <rFont val="Aptos Narrow"/>
        <family val="2"/>
        <scheme val="minor"/>
      </rPr>
      <t>30-60 days</t>
    </r>
    <r>
      <rPr>
        <sz val="11"/>
        <color theme="1"/>
        <rFont val="Aptos Narrow"/>
        <family val="2"/>
        <scheme val="minor"/>
      </rPr>
      <t xml:space="preserve"> range.</t>
    </r>
  </si>
  <si>
    <r>
      <t>March through August</t>
    </r>
    <r>
      <rPr>
        <sz val="11"/>
        <color theme="1"/>
        <rFont val="Aptos Narrow"/>
        <family val="2"/>
        <scheme val="minor"/>
      </rPr>
      <t xml:space="preserve"> shows increasingly higher DPO values, peaking at </t>
    </r>
    <r>
      <rPr>
        <b/>
        <sz val="11"/>
        <color theme="1"/>
        <rFont val="Aptos Narrow"/>
        <family val="2"/>
        <scheme val="minor"/>
      </rPr>
      <t>122 days</t>
    </r>
    <r>
      <rPr>
        <sz val="11"/>
        <color theme="1"/>
        <rFont val="Aptos Narrow"/>
        <family val="2"/>
        <scheme val="minor"/>
      </rPr>
      <t xml:space="preserve"> in August, which is concerning. While this could be a cash management strategy, it poses risks to supplier relationships.</t>
    </r>
  </si>
  <si>
    <r>
      <t>September onward</t>
    </r>
    <r>
      <rPr>
        <sz val="11"/>
        <color theme="1"/>
        <rFont val="Aptos Narrow"/>
        <family val="2"/>
        <scheme val="minor"/>
      </rPr>
      <t xml:space="preserve"> shows a slight improvement, but DPO remains above market averages. </t>
    </r>
    <r>
      <rPr>
        <b/>
        <sz val="11"/>
        <color theme="1"/>
        <rFont val="Aptos Narrow"/>
        <family val="2"/>
        <scheme val="minor"/>
      </rPr>
      <t>Monitoring supplier relations</t>
    </r>
    <r>
      <rPr>
        <sz val="11"/>
        <color theme="1"/>
        <rFont val="Aptos Narrow"/>
        <family val="2"/>
        <scheme val="minor"/>
      </rPr>
      <t xml:space="preserve"> and negotiating favorable payment terms could help mitigate potential risks.</t>
    </r>
  </si>
  <si>
    <t>DPO Key insights in Benchmark</t>
  </si>
  <si>
    <t>DIO Key insights in Benchmark</t>
  </si>
  <si>
    <t>Your DPO is just above the market range, showing slower payments to suppliers.</t>
  </si>
  <si>
    <t>Your DPO exceeds market norms, indicating extended payment terms to suppliers.</t>
  </si>
  <si>
    <t>Longer than average, possibly leveraging supplier payment terms for cash flow management.</t>
  </si>
  <si>
    <t>Similar to May, continuing a trend of delayed payments.</t>
  </si>
  <si>
    <t>Very Far beyond the market norm.</t>
  </si>
  <si>
    <t>Very Consistently above market averages, maintaining slow payment trends.</t>
  </si>
  <si>
    <t>Very Similar trend to October, with extended payment terms.</t>
  </si>
  <si>
    <t>Closing the year with DPO levels still above market norms.</t>
  </si>
  <si>
    <t xml:space="preserve"> Extended payments beyond market practices.</t>
  </si>
  <si>
    <t>Your company performs  better than the market (lower DSO), indicating that your customers pay much faster in January, improving cash flow.</t>
  </si>
  <si>
    <t>This  exceeds the industry standard.</t>
  </si>
  <si>
    <t xml:space="preserve"> This DPO is concerning, potentially indicating strained relationships with suppliers.</t>
  </si>
  <si>
    <t>Still higher than market expectations but showing some improvement.</t>
  </si>
  <si>
    <t>Excellent inventory turnover, indicating fast-moving stock.</t>
  </si>
  <si>
    <t>Continued strong performance, far exceeding the market average.</t>
  </si>
  <si>
    <t>Still performing better than the market, but inventory is slowing slightly.</t>
  </si>
  <si>
    <t>Inventory turnover is still above average, though gradually slowing.</t>
  </si>
  <si>
    <t>Inventory is still moving faster than market averages.</t>
  </si>
  <si>
    <t>Starting to align with the market, suggesting slower inventory movement.</t>
  </si>
  <si>
    <t>Slightly above market averages, but still within acceptable ranges.</t>
  </si>
  <si>
    <t>Performance continues to stay within the market average range.</t>
  </si>
  <si>
    <t>Inventory turnover is slowing further, but still competitive.</t>
  </si>
  <si>
    <t>Starting to push toward the higher end of the market average.</t>
  </si>
  <si>
    <t>Slower inventory movement, but still within the acceptable market range.</t>
  </si>
  <si>
    <t>At the higher end of the market average, indicating slower inventory turnover.</t>
  </si>
  <si>
    <r>
      <t>1. January to May</t>
    </r>
    <r>
      <rPr>
        <sz val="11"/>
        <color theme="1"/>
        <rFont val="Aptos Narrow"/>
        <family val="2"/>
        <scheme val="minor"/>
      </rPr>
      <t xml:space="preserve">: Your company shows </t>
    </r>
    <r>
      <rPr>
        <b/>
        <sz val="11"/>
        <color theme="1"/>
        <rFont val="Aptos Narrow"/>
        <family val="2"/>
        <scheme val="minor"/>
      </rPr>
      <t>outstanding performance</t>
    </r>
    <r>
      <rPr>
        <sz val="11"/>
        <color theme="1"/>
        <rFont val="Aptos Narrow"/>
        <family val="2"/>
        <scheme val="minor"/>
      </rPr>
      <t xml:space="preserve"> with fast inventory turnover, well below the UAE market average, which is a positive sign for cash flow and inventory management.</t>
    </r>
  </si>
  <si>
    <r>
      <t>2. June onward</t>
    </r>
    <r>
      <rPr>
        <sz val="11"/>
        <color theme="1"/>
        <rFont val="Aptos Narrow"/>
        <family val="2"/>
        <scheme val="minor"/>
      </rPr>
      <t xml:space="preserve">: DIO starts to align with market averages, indicating </t>
    </r>
    <r>
      <rPr>
        <b/>
        <sz val="11"/>
        <color theme="1"/>
        <rFont val="Aptos Narrow"/>
        <family val="2"/>
        <scheme val="minor"/>
      </rPr>
      <t>slower movement</t>
    </r>
    <r>
      <rPr>
        <sz val="11"/>
        <color theme="1"/>
        <rFont val="Aptos Narrow"/>
        <family val="2"/>
        <scheme val="minor"/>
      </rPr>
      <t xml:space="preserve"> of inventory. However, it’s still within the typical retail range, suggesting a balanced inventory management strategy.</t>
    </r>
  </si>
  <si>
    <r>
      <t>3. December (25 days)</t>
    </r>
    <r>
      <rPr>
        <sz val="11"/>
        <color theme="1"/>
        <rFont val="Aptos Narrow"/>
        <family val="2"/>
        <scheme val="minor"/>
      </rPr>
      <t>: While still within acceptable market ranges, your DIO is on the higher side, meaning stock is turning over more slowly by year-end. This could be due to seasonality or changing demand patterns.</t>
    </r>
  </si>
  <si>
    <t>Your company’s overdraft rate of 5.7% is within the typical range for the UAE retail market but leans slightly toward the higher end. This implies that while the rate is competitive, there may be an opportunity to negotiate a lower rate or explore alternative financing options to reduce borrowing costs and improve liquidity management. In comparison to the UAE market average, where overdraft rates range from 5% to 6%, maintaining or lowering your rate can optimize working capital, especially in managing short-term cash flow needs.</t>
  </si>
  <si>
    <t xml:space="preserve"> Indicates tighter profit margins this month.</t>
  </si>
  <si>
    <t xml:space="preserve"> Performing within the market average.</t>
  </si>
  <si>
    <t xml:space="preserve"> Slightly lower margin than typical market levels.</t>
  </si>
  <si>
    <t xml:space="preserve"> Margins are just under the average range.</t>
  </si>
  <si>
    <t xml:space="preserve"> Indicates a challenging month with reduced margins.</t>
  </si>
  <si>
    <t xml:space="preserve"> Strong gross margins this month, higher than average.</t>
  </si>
  <si>
    <t xml:space="preserve"> Performing within the expected retail market range.</t>
  </si>
  <si>
    <t xml:space="preserve"> Indicates lower margins compared to market levels.</t>
  </si>
  <si>
    <t xml:space="preserve"> Consistent with market norms.</t>
  </si>
  <si>
    <t xml:space="preserve"> Margins are aligned with market expectations.</t>
  </si>
  <si>
    <t xml:space="preserve"> Just under the average margin for the market.</t>
  </si>
  <si>
    <t xml:space="preserve"> December’s margin is within the market range.</t>
  </si>
  <si>
    <t>Ebitda per revenue</t>
  </si>
  <si>
    <t>Market</t>
  </si>
  <si>
    <t xml:space="preserve"> Slightly underperforming compared to the market.</t>
  </si>
  <si>
    <t xml:space="preserve"> Strong performance well above market average.</t>
  </si>
  <si>
    <t xml:space="preserve"> A concerning month, with EBITDA in negative territory.</t>
  </si>
  <si>
    <t xml:space="preserve"> EBITDA is below the industry standard.</t>
  </si>
  <si>
    <t xml:space="preserve"> Again in negative territory, raising red flags for this period.</t>
  </si>
  <si>
    <t xml:space="preserve"> Exceptional performance, well beyond the market average.</t>
  </si>
  <si>
    <t xml:space="preserve"> Slightly higher than the market, but still a solid performance.</t>
  </si>
  <si>
    <t xml:space="preserve"> Another challenging month with negative EBITDA.</t>
  </si>
  <si>
    <t xml:space="preserve"> Positive performance above the market average.</t>
  </si>
  <si>
    <t xml:space="preserve"> Slightly below market averages, but not alarming.</t>
  </si>
  <si>
    <t xml:space="preserve"> Margins are below the average.</t>
  </si>
  <si>
    <t xml:space="preserve"> Still below market norms, though improving from prior months.</t>
  </si>
  <si>
    <t>Comments</t>
  </si>
  <si>
    <t>Revenue fell by 7.42% from January to February, signaling a significant decline that requires immediate attention. Although there was a positive price impact, the overall loss was driven by reduced sales volumes. A price increase provided a buffer, adding 710.68 K$ to revenue. This reflects well on the pricing strategy, but it wasn't enough to counter the volume losses. The main driver of the decline was a reduction in sales volume, accounting for a negative impact of 1,729.92 K$. This points to either decreased market demand, delayed orders, or challenges in sales execution. Addressing this issue will be critical moving forward.</t>
  </si>
  <si>
    <t>Monthly</t>
  </si>
  <si>
    <t>By the end of March, the year-to-date revenue loss stands at nearly 3M$, marking a serious challenge. The primary driver is the continuous fall in sales volume, while price actions have failed to stabilize revenue.</t>
  </si>
  <si>
    <t>Revenue continued to fall sharply in March, dropping by 15.16%. This is the second consecutive month of decline, indicating worsening market conditions or operational issues. The price reduction, coupled with a further fall in volume, is a major concern. The negative price effect suggests that price reductions were implemented, resulting in a loss of 359.05 K$ in revenue. This price drop may reflect attempts to stimulate demand but did not produce the desired effect.The volume impact remains the dominant factor, with 1,570.76 K$ lost due to lower sales volumes. This consistent drop points to potentially deeper market or internal issues. If this trend continues, further corrective measures will be necessary.</t>
  </si>
  <si>
    <t>In April, we saw a welcome 15.57% increase in revenue, mainly driven by a significant recovery in sales volume. However, the negative price effect indicates that we had to sacrifice pricing to regain volume.
The price effect remained negative, indicating that pricing was further reduced by 367.86 K$ to regain market share. This is a temporary trade-off to recover volume but should be closely monitored to avoid damaging long-term profitability.
The positive volume impact of 2,049.60 K$ suggests a strong recovery in demand or better sales execution. This indicates a turning point, but it’s essential to sustain this momentum while improving margins in the coming months.</t>
  </si>
  <si>
    <t>Despite the April recovery, the year-to-date revenue remains 1.27M$ below the January baseline. We must capitalize on the volume growth while correcting our pricing strategy to fully recover.</t>
  </si>
  <si>
    <t>May's revenue decline of 4.82% reflects a partial reversal of April's gains. The pricing improved, but the drop in volume is concerning. The challenge remains sustaining demand while managing price recovery.
The price effect turned positive, adding 361.18 K$ to revenue. This suggests a successful attempt to recover prices, but it wasn't sufficient to offset the decline in volume.
The volume effect was negative, with 962.49 K$ lost due to reduced sales. The fluctuation in sales volumes highlights underlying market volatility or inconsistent sales performance.</t>
  </si>
  <si>
    <t>We are still down nearly 1.9M$ year-to-date. May’s drop highlights that we have yet to find the right balance between volume growth and price recovery.</t>
  </si>
  <si>
    <t>June saw a solid 5.90% revenue increase, driven by a strong price recovery. However, the drop in volume remains a concern as we work to stabilize both price and demand.
A significant positive price impact of 1,276.11 K$ reflects successful price recovery efforts. This is a positive development that can improve margins moving forward.
The negative volume effect indicates a continued drop in sales volumes, losing 575.39 K$. This suggests that while price recovery is effective, demand-side issues remain unresolved.</t>
  </si>
  <si>
    <t>With a 1.17M$ YTD deficit, June's positive movement shows we're on the right path with pricing. However, we must focus on regaining volumes to fully recover.</t>
  </si>
  <si>
    <r>
      <t xml:space="preserve">July's </t>
    </r>
    <r>
      <rPr>
        <b/>
        <sz val="11"/>
        <color theme="1"/>
        <rFont val="Aptos Narrow"/>
        <family val="2"/>
        <scheme val="minor"/>
      </rPr>
      <t>4.29% revenue increase</t>
    </r>
    <r>
      <rPr>
        <sz val="11"/>
        <color theme="1"/>
        <rFont val="Aptos Narrow"/>
        <family val="2"/>
        <scheme val="minor"/>
      </rPr>
      <t xml:space="preserve"> indicates further improvement, driven by a recovery in volume. However, the negative price effect is concerning and could erode profitability if not corrected.
The price effect was negative again, losing 1,027.25 K$, suggesting continued pricing pressure. This could be due to competitive dynamics or discounts to stimulate volume.
The strong positive volume effect of 1,567.33 K$ reflects a significant recovery in demand, which is encouraging. Maintaining this volume growth is key while addressing price challenges.</t>
    </r>
  </si>
  <si>
    <t>Our year-to-date deficit has narrowed to just 627.81 K$. July’s strong volume recovery is promising, but we must address the pricing strategy to prevent further margin erosion.</t>
  </si>
  <si>
    <t>August’s 15.63% revenue decline is a sharp reversal of July’s gains, driven by a significant volume drop. This is a major setback that requires immediate intervention to understand the underlying causes.
The price effect continued its negative trend, losing 709.27 K$. The combined negative price and volume effects are indicative of competitive pressures or market weakness.
The volume effect was deeply negative, losing 1,341.89 K$. This suggests a severe drop in demand, potentially due to seasonality or changes in customer behavior.</t>
  </si>
  <si>
    <t>With a YTD deficit of nearly 2.68M$, August marks a critical turning point. The significant volume decline must be investigated, and pricing actions should be reassessed.</t>
  </si>
  <si>
    <t>September's 3.80% revenue increase is a positive sign following August's sharp decline. Both price and volume show improvements, but the magnitude of recovery is still not enough to offset the year-to-date losses.
A strong price recovery contributed +691.53 K$ to the positive variance, indicating a rebound in pricing power after several months of pressure. This suggests either improved market conditions or successful pricing strategies.
Despite the price increase, the volume effect remains slightly negative, with -270.68 K$ lost due to a minor reduction in sales volume. While this is an improvement over August, maintaining volume growth remains a challenge.</t>
  </si>
  <si>
    <t>With a 2.26M$ YTD deficit, September's partial recovery is encouraging, especially in terms of pricing. However, the ongoing volume fluctuation suggests that demand remains unstable.</t>
  </si>
  <si>
    <t>October’s slight 1.17% revenue decline suggests stabilization after September’s recovery, though the negative price impact points to continued challenges in maintaining pricing discipline.
A minor price decline contributed -106.91 K$ to the revenue drop. This could reflect increased competition or necessary pricing adjustments to retain market share.
The volume effect was nearly neutral, with a small decline of -27.49 K$. This suggests that while pricing is still under pressure, demand remained relatively steady in October.</t>
  </si>
  <si>
    <t>By the end of October, the year-to-date revenue loss is 2.39M$. Although October’s decline was small, it highlights the need for a better balance between price recovery and maintaining volume.</t>
  </si>
  <si>
    <t>November’s 0.64% revenue decline indicates a continued plateau in performance, with pricing pressure remaining a concern. Although there was a positive volume effect, it wasn’t enough to offset the price decline.
The negative price effect of -393.92 K$ suggests that prices were lowered to maintain volume, reflecting sustained competitive pressure or market weakness.
The volume effect turned positive, contributing +320.47 K$. This indicates a slight recovery in demand, which is encouraging, though it wasn’t sufficient to counterbalance the price reductions.</t>
  </si>
  <si>
    <t>By November, the YTD deficit has reached 2.47M$. The positive volume trend is a good sign, but price recovery is essential to improving the company’s financial health.</t>
  </si>
  <si>
    <t>December closed the year with a 4.27% revenue decline, driven by continued pricing challenges and a drop in sales volume. This reflects a soft year-end, which may be influenced by seasonal factors or macroeconomic conditions.
The price effect remains negative, with -253.21 K$ lost due to further price reductions. This could indicate a need to discount products to maintain competitiveness, or it may reflect weaker demand overall.
The volume effect was also negative, contributing -228.96 K$ to the revenue decline. This suggests that both demand and pricing were under pressure in December, resulting in a weaker close to the year.</t>
  </si>
  <si>
    <t>The year closed with a YTD revenue deficit of nearly 2.95M$, marking a challenging year. The primary drivers were pricing pressures and inconsistent volume growth. As we move into the next fiscal year, addressing both price and volume dynamics will be critical to returning to growth.</t>
  </si>
  <si>
    <t>Prompt</t>
  </si>
  <si>
    <t>I want a detailed CFO-level analysis of the monthly revenue performance for each period in my financial data. Please follow this structure for each month:
Net Revenue Variance:
Calculate the net revenue variance vs. the previous month and provide a CFO comment explaining the revenue movement (increase or decrease).
Compare the month with prior performance and highlight any significant trends.
Price Effect:
Calculate the impact of price changes on revenue (positive or negative) and provide a brief explanation on how pricing influenced the variance.
Include any observations about pricing trends over time.
Volume Effect:
Calculate the impact of sales volume changes on revenue (positive or negative) and explain how volume changes contributed to the variance.
Include comments on volume trends, such as demand, sales execution, or market conditions.
YTD Evolution:
Track the year-to-date (YTD) net revenue evolution, and provide insights into how each month's performance affects the overall annual trend.
Offer CFO-level reflections on whether the company is recovering or facing further challenges, based on cumulative YTD results.
For context:
Revenue movements should be analyzed in terms of percentage change and absolute value (K$).
All insights should take into account the previous months' performance to provide a cohesive view of the overall trend.
Make sure to highlight key turning points, such as recovery months or months of steep decline.
Use this structure each time I request a revenue analysis."
How This Prompt Works:
Consistency: By outlining a detailed structure, you ensure the analysis will follow the same format every time, providing consistent insights.
Customization: You can tweak the prompt to include additional metrics or points based on your preferences (such as gross margin analysis or other P&amp;L items).
Efficiency: The prompt ensures a quick and efficient analysis without needing to go through multiple steps each time.
You can save or use this prompt to ask for revenue analysis regularly! Would you like me to refine or add anything specific to this template?</t>
  </si>
  <si>
    <t>Prompt revenue analysis</t>
  </si>
  <si>
    <t>Net Revenue Variance</t>
  </si>
  <si>
    <t>Price Effect</t>
  </si>
  <si>
    <t>Volume Effect</t>
  </si>
  <si>
    <t>Client Risk and Segmentation</t>
  </si>
  <si>
    <t>January to February</t>
  </si>
  <si>
    <t>The overall revenue decline of 1,019.24 K$ in February was heavily driven by Client 1’s sharp drop, which contributed 1.8M$ to the negative variance. Although Client 10 and Client 5 provided positive gains, other clients like Client 3, Client 7, and Client 8 also underperformed, compounding the losses. The heavy reliance on Client 1 continues to pose a significant risk, and the company must diversify its client portfolio to stabilize revenue.</t>
  </si>
  <si>
    <t>February saw significant positive price impacts from Client 10, Client 4, and Client 5, which combined added over 1M$ to overall revenue. However, Client 1’s price reductions, alongside declines in Client 3 and Client 8, partially offset these gains.</t>
  </si>
  <si>
    <t>The volume decline from Client 1 continues to be the largest driver of the revenue downturn, accounting for nearly 2M$ of lost revenue. Other clients, such as Client 7 and Client 8, also posted significant volume declines. Positive gains from Client 5 and Client 4.</t>
  </si>
  <si>
    <t>The company continues to face significant client concentration risks, with Client 1 driving the majority of the negative variance. Despite positive signs from other clients, diversifying the client base remains crucial to mitigate risks.</t>
  </si>
  <si>
    <t>February to March</t>
  </si>
  <si>
    <t>March saw a further revenue decline of 1,929.81 K$, primarily driven by significant reductions from Client 5 and Client 10. Although Client 2 posted a slight increase, it was insufficient to counterbalance the losses. The dependency on large clients remains a considerable risk, particularly when two clients contribute over 3M$ in lost revenue.</t>
  </si>
  <si>
    <t>While Client 2 and Client 10 contributed positively through price increases, price reductions for Client 1 continue to negatively impact overall performance.</t>
  </si>
  <si>
    <t>The most concerning issue in March is the significant volume decline, particularly with Client 5 and Client 10. Their combined reduction accounted for over 3M$ in lost revenue. Minor fluctuations in other clients require attention.</t>
  </si>
  <si>
    <t>The concentration risk from large clients, particularly Client 1, remains a major concern. Although smaller clients performed positively, large-client volatility is creating ongoing risk.</t>
  </si>
  <si>
    <t>March to April</t>
  </si>
  <si>
    <t>April marked a welcome recovery with a 1,681.74 K$ increase in revenue, largely driven by improved performance from Client 1 and a significant recovery from Client 10. This suggests that previous issues with key clients may have been temporary, though continued engagement is needed to ensure sustained growth.</t>
  </si>
  <si>
    <t>Price improvements from Client 10 and Client 1 helped mitigate March’s decline, adding over 1.6M$. However, Client 4’s significant price reductions continue to erode revenue. Stabilizing pricing is necessary to prevent further declines.</t>
  </si>
  <si>
    <t>Volume increases from Client 1 helped drive positive performance, but the volume decline from Client 4 offset progress. Addressing the root causes of Client 4’s declining demand while maintaining volume growth for Client 1 is essential.</t>
  </si>
  <si>
    <t>Despite the recovery in Client 1, Client 4’s volatility poses risks. The company should continue to balance its client portfolio to reduce the impact of potential fluctuations in key accounts.</t>
  </si>
  <si>
    <t>April to May</t>
  </si>
  <si>
    <t>May saw a 4.82% revenue decline, largely driven by losses from Client 5 and Client 9. Despite a positive contribution from Client 1, it wasn’t enough to offset underperformance by other major clients. Sustaining client engagement remains a challenge across the board.</t>
  </si>
  <si>
    <t>Price recovery for Client 1 and Client 10 was a positive development in May, adding over 900K$. However, price reductions for Client 4 and others reduced the benefit. Stabilizing pricing across the client base is needed without sacrificing profitability.</t>
  </si>
  <si>
    <t>Volume losses from Client 5 and Client 9 offset the positive impact from Client 1. The volume recovery for Client 1 is promising, but declining volumes in other clients must be addressed to prevent further revenue loss.</t>
  </si>
  <si>
    <t>Client risk remains high, especially with major declines from Client 5 and Client 9. The company's reliance on a few large clients continues to expose it to significant volatility.</t>
  </si>
  <si>
    <t>May to June</t>
  </si>
  <si>
    <t>June saw a 5.90% revenue increase, driven by strong recovery from Client 3 and continued growth from Client 9. Despite a decline from Client 1, overall performance shows a positive trend as the company expands its client base and regains lost ground.</t>
  </si>
  <si>
    <t>Price improvements from Client 3 and Client 9 drove much of June’s revenue growth, adding nearly 1M$. However, continued price pressure on Client 1 highlights challenges in maintaining competitive pricing while preserving margins.</t>
  </si>
  <si>
    <t>Client 3’s volume recovery was a key driver in June’s revenue growth. Despite the decline in Client 1, diversified volume gains offer promise. Volume growth in smaller clients should be a focus to sustain future performance.</t>
  </si>
  <si>
    <t>While Client 1 continues to show volatility, positive recoveries from other clients like Client 3 and Client 9 are helping to balance the portfolio. The company should continue its diversification efforts.</t>
  </si>
  <si>
    <t>June to July</t>
  </si>
  <si>
    <t>July saw a 4.29% revenue increase, driven by improvements in Client 5 and Client 3. However, Client 1’s continued decline is concerning, indicating unstable demand. The company must maintain growth in mid-tier clients to balance the volatility in larger accounts.</t>
  </si>
  <si>
    <t>Price increases from Client 3 and Client 5 positively impacted revenue, while price pressure on Client 1 and Client 10 led to a net negative price effect. The company should assess whether discounts are necessary or if pricing strategies should stabilize margins.</t>
  </si>
  <si>
    <t>The growth in Client 5’s volume and Client 3’s sustained demand helped offset Client 1’s continued volume decline. Addressing Client 1’s volume drop while fostering growth in smaller clients remains a key challenge.</t>
  </si>
  <si>
    <t>Client concentration risk remains high, particularly with Client 1’s ongoing volatility. Growth in mid-tier clients like Client 5 and Client 3 is promising, but further diversification is needed to mitigate the risk.</t>
  </si>
  <si>
    <t>July to August</t>
  </si>
  <si>
    <t>August saw a sharp 15.63% decline in revenue, primarily due to a 1.5M$ reduction in orders from Client 1. Additionally, declines in Client 9 compounded the negative performance. Exposure to large clients is becoming more problematic, requiring immediate recovery action or new clients.</t>
  </si>
  <si>
    <t>The sharp decline in Client 1’s revenue was exacerbated by both price reductions and volume loss. Pricing strategies for Client 1 must be reassessed to prevent further erosion of revenue. Client 5’s price improvements were a bright spot.</t>
  </si>
  <si>
    <t>The volume decline from Client 1 drove most of the revenue drop, with Client 9 also contributing negatively. Retaining volume from large clients is becoming a significant challenge that must be addressed.</t>
  </si>
  <si>
    <t>The company's reliance on Client 1 continues to be a major risk, with sharp drops in revenue in August underscoring the need for diversification. Immediate action is needed to reduce dependency on a few large clients.</t>
  </si>
  <si>
    <t>August to September</t>
  </si>
  <si>
    <t>September’s 3.80% increase in revenue reflects partial recovery from August’s sharp decline, with Client 1 showing improvement. However, the recovery remains fragile, and declines in smaller clients like Client 3 and Client 10 offset some of the gains.</t>
  </si>
  <si>
    <t>Client 1’s price recovery of 691.53 K$ was a significant contributor to the positive performance. Price increases from Client 9 also helped, but pressure on Client 10 and Client 3 slightly diluted these gains. Pricing discipline is crucial to sustaining this trend.</t>
  </si>
  <si>
    <t>Client 1’s volume recovery added 444.37 K$, driving positive performance. Declines from smaller clients like Client 3 slightly offset the overall improvement. Maintaining growth across the portfolio is essential.</t>
  </si>
  <si>
    <t>While Client 1’s recovery is a positive sign, the company remains vulnerable to declines from smaller clients like Client 3 and Client 10. The recovery remains fragile, and further client diversification is needed.</t>
  </si>
  <si>
    <t>September to October</t>
  </si>
  <si>
    <t>October’s 1.17% revenue decline was driven by significant drops in Client 4’s revenue (over 450K$ loss), partially offset by Client 10’s significant recovery and further growth from Client 1. Reliance on large clients remains high, indicating continued volatility risks.</t>
  </si>
  <si>
    <t>Price improvements from Client 10 and Client 1 added over 1.6M$ to October’s performance. However, Client 4’s significant price reductions eroded much of the gain. Stabilizing pricing for large clients like Client 4 is essential.</t>
  </si>
  <si>
    <t>Volume recovery from Client 1 helped drive positive performance, but Client 4’s volume decline offset these gains. Addressing the root causes of Client 4’s declining demand remains critical while maintaining growth with Client 1.</t>
  </si>
  <si>
    <t>The company’s reliance on large clients, particularly Client 1 and Client 10, is again evident. Although Client 10’s recovery is positive, volatility remains a key risk, especially with ongoing drops from Client 4.</t>
  </si>
  <si>
    <t>October to November</t>
  </si>
  <si>
    <t>November saw a slight 0.64% revenue decline, with Client 1 continuing to improve performance, but losses from Client 9 and Client 7 offset growth. While Client 1's recovery is encouraging, overall stagnation suggests more attention is needed on underperforming key clients.</t>
  </si>
  <si>
    <t>Client 1’s strong price recovery continued to contribute positively, but price reductions from Client 9 and Client 7 eroded much of the gain. Continued pricing discipline is needed to counter the negative impact from other clients.</t>
  </si>
  <si>
    <t>Client 1’s volume recovery was a key driver, but declines from Client 9 and Client 7 offset the gains. Addressing the volume drop in underperforming clients will be key for maintaining overall revenue growth.</t>
  </si>
  <si>
    <t>The company’s reliance on Client 1's recovery remains, but stagnation due to declines in other clients highlights ongoing risks. The company must address underperforming clients to sustain growth.</t>
  </si>
  <si>
    <t>Month number</t>
  </si>
  <si>
    <t>November to December</t>
  </si>
  <si>
    <t>December closed with a 4.27% revenue decline, primarily driven by a significant drop from Client 1, leading to a 1.4M$ loss. However, growth from Client 9 and Client 10 offset some of the decline. The company remains highly dependent on large clients, with volatility a persistent risk.</t>
  </si>
  <si>
    <t>The price improvement from Clients 9 and 10 added over 1M$, but the nearly 800K$ price reduction from Client 1 eroded much of the gain. Stabilizing pricing for Client 1 will be critical to sustaining overall performance.</t>
  </si>
  <si>
    <t>The volume decline from Client 1 accounted for over 1.4M$ in lost revenue. While Client 9 and Client 10 saw volume improvements, the overall negative impact of Client 1’s decline remains the most significant challenge.</t>
  </si>
  <si>
    <t>The company’s reliance on a few large clients continues to pose significant risks. Client 1's volatility highlights the need for diversification, while Client 9 and Client 10 offer potential for growth if nurtured effectively.</t>
  </si>
  <si>
    <t>YTD comments</t>
  </si>
  <si>
    <t>By the end of February, the company’s year-to-date revenue deficit stands at 1.02M$, primarily driven by losses from Client 1. Although other clients like Client 4 and Client 10 have performed well, the company remains overly reliant on a few large accounts, which increases risk. Strengthening mid-tier client relationships should be a priority moving forward.</t>
  </si>
  <si>
    <t>The company’s year-to-date revenue deficit increased by 1.93M$ in March, mainly due to the continued decline of Client 1 and significant reductions in Client 5 and Client 10. Despite some small recoveries from Client 2, the heavy reliance on large clients poses ongoing risks. A more balanced client base is crucial to stabilizing performance.</t>
  </si>
  <si>
    <t>With a 1.68M$ recovery in April, the company’s YTD revenue shows some improvement, thanks to positive performance from Client 1 and Client 10. This indicates the potential for stabilization, though continued efforts are required to mitigate any future volatility from these large clients.</t>
  </si>
  <si>
    <t>The YTD deficit increased by 4.82% in May, with declines from Client 5 and Client 9 exacerbating the company’s overall performance. Despite Client 1’s continued positive contribution, the lack of sustained engagement from other clients is a concern and requires immediate focus.</t>
  </si>
  <si>
    <t>The company showed a 5.90% improvement in June, with YTD performance beginning to stabilize due to the recovery of Client 3 and growth in Client 9. However, the volatility in Client 1 remains a challenge, and the company must continue focusing on diversifying its client portfolio to reduce future risks.</t>
  </si>
  <si>
    <t>July’s 4.29% YTD growth is encouraging, driven by mid-tier client gains like Client 5 and Client 3. However, the volatility in Client 1’s demand continues to highlight the company’s reliance on a few key accounts, posing risks to long-term stability.</t>
  </si>
  <si>
    <t>With a 15.63% decline in August, the YTD deficit has widened, largely due to a sharp drop in Client 1 and Client 9’s underperformance. Immediate actions are required to manage the volatility in larger accounts while nurturing growth in smaller and mid-tier clients to mitigate overall risks.</t>
  </si>
  <si>
    <t>The 3.80% increase in September YTD performance reflects a partial recovery from August’s sharp decline, but overall growth remains fragile. The company’s heavy dependence on Client 1 continues to pose risks, with smaller clients like Client 3 not providing enough momentum to balance the portfolio.</t>
  </si>
  <si>
    <t>The 1.17% decline in October’s YTD performance shows that the company is still struggling with client volatility, especially from Client 4. The partial recovery from Client 10 is encouraging, but overall reliance on large accounts continues to expose the company to risk.</t>
  </si>
  <si>
    <t>The year-to-date revenue deficit of 2.47M$ at the end of November indicates stagnation, despite Client 1’s recovery. The company must address underperformance from other key clients like Client 9 and Client 7 to ensure stronger revenue growth heading into the next fiscal period.</t>
  </si>
  <si>
    <t>The company closed the year with a 2.95M$ YTD revenue deficit, primarily driven by the continued volatility in Client 1 and losses in Client 9 and Client 7. The recovery from Client 10 and Client 9 shows promise, but the overall performance indicates a need for a more diversified client base.</t>
  </si>
  <si>
    <t>Comment for the dashboard</t>
  </si>
  <si>
    <t>Revenue impact</t>
  </si>
  <si>
    <t>Cogs impact</t>
  </si>
  <si>
    <t>Margin evolution</t>
  </si>
  <si>
    <t>Revenue Impact</t>
  </si>
  <si>
    <t>Absolute value impact</t>
  </si>
  <si>
    <t>Margin  per client</t>
  </si>
  <si>
    <t>x</t>
  </si>
  <si>
    <t>Aspect</t>
  </si>
  <si>
    <r>
      <t xml:space="preserve">In February, margin performance reflects a </t>
    </r>
    <r>
      <rPr>
        <b/>
        <sz val="11"/>
        <color theme="1"/>
        <rFont val="Aptos Narrow"/>
        <family val="2"/>
        <scheme val="minor"/>
      </rPr>
      <t>-24% impact</t>
    </r>
    <r>
      <rPr>
        <sz val="11"/>
        <color theme="1"/>
        <rFont val="Aptos Narrow"/>
        <family val="2"/>
        <scheme val="minor"/>
      </rPr>
      <t xml:space="preserve"> from the decline in revenue, equating to </t>
    </r>
    <r>
      <rPr>
        <b/>
        <sz val="11"/>
        <color theme="1"/>
        <rFont val="Aptos Narrow"/>
        <family val="2"/>
        <scheme val="minor"/>
      </rPr>
      <t>-236 K$</t>
    </r>
    <r>
      <rPr>
        <sz val="11"/>
        <color theme="1"/>
        <rFont val="Aptos Narrow"/>
        <family val="2"/>
        <scheme val="minor"/>
      </rPr>
      <t xml:space="preserve">. This revenue decline was offset by strong cost efficiencies, which contributed </t>
    </r>
    <r>
      <rPr>
        <b/>
        <sz val="11"/>
        <color theme="1"/>
        <rFont val="Aptos Narrow"/>
        <family val="2"/>
        <scheme val="minor"/>
      </rPr>
      <t>+76%</t>
    </r>
    <r>
      <rPr>
        <sz val="11"/>
        <color theme="1"/>
        <rFont val="Aptos Narrow"/>
        <family val="2"/>
        <scheme val="minor"/>
      </rPr>
      <t xml:space="preserve">, or </t>
    </r>
    <r>
      <rPr>
        <b/>
        <sz val="11"/>
        <color theme="1"/>
        <rFont val="Aptos Narrow"/>
        <family val="2"/>
        <scheme val="minor"/>
      </rPr>
      <t>+756 K$</t>
    </r>
    <r>
      <rPr>
        <sz val="11"/>
        <color theme="1"/>
        <rFont val="Aptos Narrow"/>
        <family val="2"/>
        <scheme val="minor"/>
      </rPr>
      <t>, to the margin. While the revenue drop has put pressure on margins, operational cost management has been instrumental in maintaining profitability. Sustaining this cost control focus will be key moving forward, alongside efforts to regain top-line growth.</t>
    </r>
  </si>
  <si>
    <t>Client-Level Contribution</t>
  </si>
  <si>
    <r>
      <t xml:space="preserve">At the client level, there were notable shifts in margin contributions.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emerged as top contributors, with </t>
    </r>
    <r>
      <rPr>
        <b/>
        <sz val="11"/>
        <color theme="1"/>
        <rFont val="Aptos Narrow"/>
        <family val="2"/>
        <scheme val="minor"/>
      </rPr>
      <t>Client 5’s margin contribution rising sharply from 10% in January to 40% in February</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increasing from </t>
    </r>
    <r>
      <rPr>
        <b/>
        <sz val="11"/>
        <color theme="1"/>
        <rFont val="Aptos Narrow"/>
        <family val="2"/>
        <scheme val="minor"/>
      </rPr>
      <t>17% to 45%</t>
    </r>
    <r>
      <rPr>
        <sz val="11"/>
        <color theme="1"/>
        <rFont val="Aptos Narrow"/>
        <family val="2"/>
        <scheme val="minor"/>
      </rPr>
      <t xml:space="preserve">. These clients have been pivotal in offsetting weaker performances from </t>
    </r>
    <r>
      <rPr>
        <b/>
        <sz val="11"/>
        <color theme="1"/>
        <rFont val="Aptos Narrow"/>
        <family val="2"/>
        <scheme val="minor"/>
      </rPr>
      <t>Client 3</t>
    </r>
    <r>
      <rPr>
        <sz val="11"/>
        <color theme="1"/>
        <rFont val="Aptos Narrow"/>
        <family val="2"/>
        <scheme val="minor"/>
      </rPr>
      <t xml:space="preserve">, who saw their contribution drop from </t>
    </r>
    <r>
      <rPr>
        <b/>
        <sz val="11"/>
        <color theme="1"/>
        <rFont val="Aptos Narrow"/>
        <family val="2"/>
        <scheme val="minor"/>
      </rPr>
      <t>16% in January to 6%</t>
    </r>
    <r>
      <rPr>
        <sz val="11"/>
        <color theme="1"/>
        <rFont val="Aptos Narrow"/>
        <family val="2"/>
        <scheme val="minor"/>
      </rPr>
      <t xml:space="preserve">, and </t>
    </r>
    <r>
      <rPr>
        <b/>
        <sz val="11"/>
        <color theme="1"/>
        <rFont val="Aptos Narrow"/>
        <family val="2"/>
        <scheme val="minor"/>
      </rPr>
      <t>Client 6</t>
    </r>
    <r>
      <rPr>
        <sz val="11"/>
        <color theme="1"/>
        <rFont val="Aptos Narrow"/>
        <family val="2"/>
        <scheme val="minor"/>
      </rPr>
      <t xml:space="preserve">, whose margin contribution dropped from </t>
    </r>
    <r>
      <rPr>
        <b/>
        <sz val="11"/>
        <color theme="1"/>
        <rFont val="Aptos Narrow"/>
        <family val="2"/>
        <scheme val="minor"/>
      </rPr>
      <t>25% to 10%</t>
    </r>
    <r>
      <rPr>
        <sz val="11"/>
        <color theme="1"/>
        <rFont val="Aptos Narrow"/>
        <family val="2"/>
        <scheme val="minor"/>
      </rPr>
      <t>. Monitoring these fluctuations will be essential for maintaining margin stability.</t>
    </r>
  </si>
  <si>
    <t>Individual Client Margin Evolution</t>
  </si>
  <si>
    <r>
      <t xml:space="preserve">From an individual client margin perspective, the most significant improvements came from </t>
    </r>
    <r>
      <rPr>
        <b/>
        <sz val="11"/>
        <color theme="1"/>
        <rFont val="Aptos Narrow"/>
        <family val="2"/>
        <scheme val="minor"/>
      </rPr>
      <t>Client 5</t>
    </r>
    <r>
      <rPr>
        <sz val="11"/>
        <color theme="1"/>
        <rFont val="Aptos Narrow"/>
        <family val="2"/>
        <scheme val="minor"/>
      </rPr>
      <t xml:space="preserve"> (+30 percentage points) and </t>
    </r>
    <r>
      <rPr>
        <b/>
        <sz val="11"/>
        <color theme="1"/>
        <rFont val="Aptos Narrow"/>
        <family val="2"/>
        <scheme val="minor"/>
      </rPr>
      <t>Client 10</t>
    </r>
    <r>
      <rPr>
        <sz val="11"/>
        <color theme="1"/>
        <rFont val="Aptos Narrow"/>
        <family val="2"/>
        <scheme val="minor"/>
      </rPr>
      <t xml:space="preserve"> (+28 percentage points), indicating that cost management efforts with these clients have been highly effective. On the other hand, </t>
    </r>
    <r>
      <rPr>
        <b/>
        <sz val="11"/>
        <color theme="1"/>
        <rFont val="Aptos Narrow"/>
        <family val="2"/>
        <scheme val="minor"/>
      </rPr>
      <t>Client 3</t>
    </r>
    <r>
      <rPr>
        <sz val="11"/>
        <color theme="1"/>
        <rFont val="Aptos Narrow"/>
        <family val="2"/>
        <scheme val="minor"/>
      </rPr>
      <t xml:space="preserve"> and </t>
    </r>
    <r>
      <rPr>
        <b/>
        <sz val="11"/>
        <color theme="1"/>
        <rFont val="Aptos Narrow"/>
        <family val="2"/>
        <scheme val="minor"/>
      </rPr>
      <t>Client 6</t>
    </r>
    <r>
      <rPr>
        <sz val="11"/>
        <color theme="1"/>
        <rFont val="Aptos Narrow"/>
        <family val="2"/>
        <scheme val="minor"/>
      </rPr>
      <t xml:space="preserve"> saw declines of </t>
    </r>
    <r>
      <rPr>
        <b/>
        <sz val="11"/>
        <color theme="1"/>
        <rFont val="Aptos Narrow"/>
        <family val="2"/>
        <scheme val="minor"/>
      </rPr>
      <t>-10 and -15 percentage points</t>
    </r>
    <r>
      <rPr>
        <sz val="11"/>
        <color theme="1"/>
        <rFont val="Aptos Narrow"/>
        <family val="2"/>
        <scheme val="minor"/>
      </rPr>
      <t>, respectively, which highlights areas where further analysis and intervention may be needed to prevent continued margin erosion.</t>
    </r>
  </si>
  <si>
    <t>YTD Margin Analysis</t>
  </si>
  <si>
    <r>
      <t xml:space="preserve">Looking at the </t>
    </r>
    <r>
      <rPr>
        <b/>
        <sz val="11"/>
        <color theme="1"/>
        <rFont val="Aptos Narrow"/>
        <family val="2"/>
        <scheme val="minor"/>
      </rPr>
      <t>YTD margin performance</t>
    </r>
    <r>
      <rPr>
        <sz val="11"/>
        <color theme="1"/>
        <rFont val="Aptos Narrow"/>
        <family val="2"/>
        <scheme val="minor"/>
      </rPr>
      <t xml:space="preserve">, the overall trends are positive. The strong contributions from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have lifted year-to-date margins, but volatility remains in the contributions from </t>
    </r>
    <r>
      <rPr>
        <b/>
        <sz val="11"/>
        <color theme="1"/>
        <rFont val="Aptos Narrow"/>
        <family val="2"/>
        <scheme val="minor"/>
      </rPr>
      <t>Client 3</t>
    </r>
    <r>
      <rPr>
        <sz val="11"/>
        <color theme="1"/>
        <rFont val="Aptos Narrow"/>
        <family val="2"/>
        <scheme val="minor"/>
      </rPr>
      <t xml:space="preserve"> and </t>
    </r>
    <r>
      <rPr>
        <b/>
        <sz val="11"/>
        <color theme="1"/>
        <rFont val="Aptos Narrow"/>
        <family val="2"/>
        <scheme val="minor"/>
      </rPr>
      <t>Client 6</t>
    </r>
    <r>
      <rPr>
        <sz val="11"/>
        <color theme="1"/>
        <rFont val="Aptos Narrow"/>
        <family val="2"/>
        <scheme val="minor"/>
      </rPr>
      <t>, posing potential risks to sustained profitability. Stabilizing these client relationships will be critical for maintaining strong YTD performance throughout the remainder of the year.</t>
    </r>
  </si>
  <si>
    <r>
      <t xml:space="preserve">To mitigate risks associated with the revenue decline, the focus should be on diversifying the client base to avoid over-reliance on key contributors like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Additionally, closely monitoring clients with declining contributions, such as </t>
    </r>
    <r>
      <rPr>
        <b/>
        <sz val="11"/>
        <color theme="1"/>
        <rFont val="Aptos Narrow"/>
        <family val="2"/>
        <scheme val="minor"/>
      </rPr>
      <t>Client 3</t>
    </r>
    <r>
      <rPr>
        <sz val="11"/>
        <color theme="1"/>
        <rFont val="Aptos Narrow"/>
        <family val="2"/>
        <scheme val="minor"/>
      </rPr>
      <t xml:space="preserve"> and </t>
    </r>
    <r>
      <rPr>
        <b/>
        <sz val="11"/>
        <color theme="1"/>
        <rFont val="Aptos Narrow"/>
        <family val="2"/>
        <scheme val="minor"/>
      </rPr>
      <t>Client 6</t>
    </r>
    <r>
      <rPr>
        <sz val="11"/>
        <color theme="1"/>
        <rFont val="Aptos Narrow"/>
        <family val="2"/>
        <scheme val="minor"/>
      </rPr>
      <t>, will be essential for identifying early signs of operational or profitability risks. Risk management strategies should also ensure that the current cost efficiencies remain sustainable in the long term, as revenue growth is recovered.</t>
    </r>
  </si>
  <si>
    <r>
      <t xml:space="preserve">In March, margin performance reflects a </t>
    </r>
    <r>
      <rPr>
        <b/>
        <sz val="11"/>
        <color theme="1"/>
        <rFont val="Aptos Narrow"/>
        <family val="2"/>
        <scheme val="minor"/>
      </rPr>
      <t>-57% impact</t>
    </r>
    <r>
      <rPr>
        <sz val="11"/>
        <color theme="1"/>
        <rFont val="Aptos Narrow"/>
        <family val="2"/>
        <scheme val="minor"/>
      </rPr>
      <t xml:space="preserve"> from the decline in revenue, equating to </t>
    </r>
    <r>
      <rPr>
        <b/>
        <sz val="11"/>
        <color theme="1"/>
        <rFont val="Aptos Narrow"/>
        <family val="2"/>
        <scheme val="minor"/>
      </rPr>
      <t>-561 K$</t>
    </r>
    <r>
      <rPr>
        <sz val="11"/>
        <color theme="1"/>
        <rFont val="Aptos Narrow"/>
        <family val="2"/>
        <scheme val="minor"/>
      </rPr>
      <t xml:space="preserve">. The revenue drop was partially offset by cost efficiencies, which contributed </t>
    </r>
    <r>
      <rPr>
        <b/>
        <sz val="11"/>
        <color theme="1"/>
        <rFont val="Aptos Narrow"/>
        <family val="2"/>
        <scheme val="minor"/>
      </rPr>
      <t>+14%</t>
    </r>
    <r>
      <rPr>
        <sz val="11"/>
        <color theme="1"/>
        <rFont val="Aptos Narrow"/>
        <family val="2"/>
        <scheme val="minor"/>
      </rPr>
      <t xml:space="preserve">, or </t>
    </r>
    <r>
      <rPr>
        <b/>
        <sz val="11"/>
        <color theme="1"/>
        <rFont val="Aptos Narrow"/>
        <family val="2"/>
        <scheme val="minor"/>
      </rPr>
      <t>+136 K$</t>
    </r>
    <r>
      <rPr>
        <sz val="11"/>
        <color theme="1"/>
        <rFont val="Aptos Narrow"/>
        <family val="2"/>
        <scheme val="minor"/>
      </rPr>
      <t>, to the margin. Although revenue pressures were significant, the cost management impact was less effective this month compared to February. Continuing to improve cost efficiency and restore revenue growth will be key moving forward.</t>
    </r>
  </si>
  <si>
    <r>
      <t xml:space="preserve">At the client level, there were significant shifts in margin contributions. </t>
    </r>
    <r>
      <rPr>
        <b/>
        <sz val="11"/>
        <color theme="1"/>
        <rFont val="Aptos Narrow"/>
        <family val="2"/>
        <scheme val="minor"/>
      </rPr>
      <t>Client 5</t>
    </r>
    <r>
      <rPr>
        <sz val="11"/>
        <color theme="1"/>
        <rFont val="Aptos Narrow"/>
        <family val="2"/>
        <scheme val="minor"/>
      </rPr>
      <t xml:space="preserve"> maintained a strong position, contributing </t>
    </r>
    <r>
      <rPr>
        <b/>
        <sz val="11"/>
        <color theme="1"/>
        <rFont val="Aptos Narrow"/>
        <family val="2"/>
        <scheme val="minor"/>
      </rPr>
      <t>30%</t>
    </r>
    <r>
      <rPr>
        <sz val="11"/>
        <color theme="1"/>
        <rFont val="Aptos Narrow"/>
        <family val="2"/>
        <scheme val="minor"/>
      </rPr>
      <t xml:space="preserve">, while </t>
    </r>
    <r>
      <rPr>
        <b/>
        <sz val="11"/>
        <color theme="1"/>
        <rFont val="Aptos Narrow"/>
        <family val="2"/>
        <scheme val="minor"/>
      </rPr>
      <t>Client 3</t>
    </r>
    <r>
      <rPr>
        <sz val="11"/>
        <color theme="1"/>
        <rFont val="Aptos Narrow"/>
        <family val="2"/>
        <scheme val="minor"/>
      </rPr>
      <t xml:space="preserve"> recovered to contribute </t>
    </r>
    <r>
      <rPr>
        <b/>
        <sz val="11"/>
        <color theme="1"/>
        <rFont val="Aptos Narrow"/>
        <family val="2"/>
        <scheme val="minor"/>
      </rPr>
      <t>32%</t>
    </r>
    <r>
      <rPr>
        <sz val="11"/>
        <color theme="1"/>
        <rFont val="Aptos Narrow"/>
        <family val="2"/>
        <scheme val="minor"/>
      </rPr>
      <t xml:space="preserve">. However, </t>
    </r>
    <r>
      <rPr>
        <b/>
        <sz val="11"/>
        <color theme="1"/>
        <rFont val="Aptos Narrow"/>
        <family val="2"/>
        <scheme val="minor"/>
      </rPr>
      <t>Client 10</t>
    </r>
    <r>
      <rPr>
        <sz val="11"/>
        <color theme="1"/>
        <rFont val="Aptos Narrow"/>
        <family val="2"/>
        <scheme val="minor"/>
      </rPr>
      <t xml:space="preserve"> saw a decline in contribution, falling from </t>
    </r>
    <r>
      <rPr>
        <b/>
        <sz val="11"/>
        <color theme="1"/>
        <rFont val="Aptos Narrow"/>
        <family val="2"/>
        <scheme val="minor"/>
      </rPr>
      <t>45% in February to 25% in March</t>
    </r>
    <r>
      <rPr>
        <sz val="11"/>
        <color theme="1"/>
        <rFont val="Aptos Narrow"/>
        <family val="2"/>
        <scheme val="minor"/>
      </rPr>
      <t xml:space="preserve">. Additionally, </t>
    </r>
    <r>
      <rPr>
        <b/>
        <sz val="11"/>
        <color theme="1"/>
        <rFont val="Aptos Narrow"/>
        <family val="2"/>
        <scheme val="minor"/>
      </rPr>
      <t>Client 7</t>
    </r>
    <r>
      <rPr>
        <sz val="11"/>
        <color theme="1"/>
        <rFont val="Aptos Narrow"/>
        <family val="2"/>
        <scheme val="minor"/>
      </rPr>
      <t xml:space="preserve"> contributed </t>
    </r>
    <r>
      <rPr>
        <b/>
        <sz val="11"/>
        <color theme="1"/>
        <rFont val="Aptos Narrow"/>
        <family val="2"/>
        <scheme val="minor"/>
      </rPr>
      <t>19%</t>
    </r>
    <r>
      <rPr>
        <sz val="11"/>
        <color theme="1"/>
        <rFont val="Aptos Narrow"/>
        <family val="2"/>
        <scheme val="minor"/>
      </rPr>
      <t xml:space="preserve">, but </t>
    </r>
    <r>
      <rPr>
        <b/>
        <sz val="11"/>
        <color theme="1"/>
        <rFont val="Aptos Narrow"/>
        <family val="2"/>
        <scheme val="minor"/>
      </rPr>
      <t>Client 6</t>
    </r>
    <r>
      <rPr>
        <sz val="11"/>
        <color theme="1"/>
        <rFont val="Aptos Narrow"/>
        <family val="2"/>
        <scheme val="minor"/>
      </rPr>
      <t xml:space="preserve"> remained volatile with a contribution of </t>
    </r>
    <r>
      <rPr>
        <b/>
        <sz val="11"/>
        <color theme="1"/>
        <rFont val="Aptos Narrow"/>
        <family val="2"/>
        <scheme val="minor"/>
      </rPr>
      <t>23%</t>
    </r>
    <r>
      <rPr>
        <sz val="11"/>
        <color theme="1"/>
        <rFont val="Aptos Narrow"/>
        <family val="2"/>
        <scheme val="minor"/>
      </rPr>
      <t>. Monitoring these fluctuations will be critical.</t>
    </r>
  </si>
  <si>
    <r>
      <t>Client 3</t>
    </r>
    <r>
      <rPr>
        <sz val="11"/>
        <color theme="1"/>
        <rFont val="Aptos Narrow"/>
        <family val="2"/>
        <scheme val="minor"/>
      </rPr>
      <t xml:space="preserve"> made the most significant improvement, increasing by </t>
    </r>
    <r>
      <rPr>
        <b/>
        <sz val="11"/>
        <color theme="1"/>
        <rFont val="Aptos Narrow"/>
        <family val="2"/>
        <scheme val="minor"/>
      </rPr>
      <t>+26 percentage points</t>
    </r>
    <r>
      <rPr>
        <sz val="11"/>
        <color theme="1"/>
        <rFont val="Aptos Narrow"/>
        <family val="2"/>
        <scheme val="minor"/>
      </rPr>
      <t xml:space="preserve">, while </t>
    </r>
    <r>
      <rPr>
        <b/>
        <sz val="11"/>
        <color theme="1"/>
        <rFont val="Aptos Narrow"/>
        <family val="2"/>
        <scheme val="minor"/>
      </rPr>
      <t>Client 7</t>
    </r>
    <r>
      <rPr>
        <sz val="11"/>
        <color theme="1"/>
        <rFont val="Aptos Narrow"/>
        <family val="2"/>
        <scheme val="minor"/>
      </rPr>
      <t xml:space="preserve"> showed a smaller improvement of </t>
    </r>
    <r>
      <rPr>
        <b/>
        <sz val="11"/>
        <color theme="1"/>
        <rFont val="Aptos Narrow"/>
        <family val="2"/>
        <scheme val="minor"/>
      </rPr>
      <t>+3 percentage points</t>
    </r>
    <r>
      <rPr>
        <sz val="11"/>
        <color theme="1"/>
        <rFont val="Aptos Narrow"/>
        <family val="2"/>
        <scheme val="minor"/>
      </rPr>
      <t xml:space="preserve">. </t>
    </r>
    <r>
      <rPr>
        <b/>
        <sz val="11"/>
        <color theme="1"/>
        <rFont val="Aptos Narrow"/>
        <family val="2"/>
        <scheme val="minor"/>
      </rPr>
      <t>Client 10</t>
    </r>
    <r>
      <rPr>
        <sz val="11"/>
        <color theme="1"/>
        <rFont val="Aptos Narrow"/>
        <family val="2"/>
        <scheme val="minor"/>
      </rPr>
      <t xml:space="preserve"> experienced a sharp decline of </t>
    </r>
    <r>
      <rPr>
        <b/>
        <sz val="11"/>
        <color theme="1"/>
        <rFont val="Aptos Narrow"/>
        <family val="2"/>
        <scheme val="minor"/>
      </rPr>
      <t>-20 percentage points</t>
    </r>
    <r>
      <rPr>
        <sz val="11"/>
        <color theme="1"/>
        <rFont val="Aptos Narrow"/>
        <family val="2"/>
        <scheme val="minor"/>
      </rPr>
      <t xml:space="preserve">, indicating the need for attention. </t>
    </r>
    <r>
      <rPr>
        <b/>
        <sz val="11"/>
        <color theme="1"/>
        <rFont val="Aptos Narrow"/>
        <family val="2"/>
        <scheme val="minor"/>
      </rPr>
      <t>Client 5</t>
    </r>
    <r>
      <rPr>
        <sz val="11"/>
        <color theme="1"/>
        <rFont val="Aptos Narrow"/>
        <family val="2"/>
        <scheme val="minor"/>
      </rPr>
      <t xml:space="preserve"> remained stable, adding </t>
    </r>
    <r>
      <rPr>
        <b/>
        <sz val="11"/>
        <color theme="1"/>
        <rFont val="Aptos Narrow"/>
        <family val="2"/>
        <scheme val="minor"/>
      </rPr>
      <t>+10 percentage points</t>
    </r>
    <r>
      <rPr>
        <sz val="11"/>
        <color theme="1"/>
        <rFont val="Aptos Narrow"/>
        <family val="2"/>
        <scheme val="minor"/>
      </rPr>
      <t>. This reflects the mixed performance among key clients, requiring focused interventions.</t>
    </r>
  </si>
  <si>
    <r>
      <t xml:space="preserve">Looking at the </t>
    </r>
    <r>
      <rPr>
        <b/>
        <sz val="11"/>
        <color theme="1"/>
        <rFont val="Aptos Narrow"/>
        <family val="2"/>
        <scheme val="minor"/>
      </rPr>
      <t>YTD margin performance</t>
    </r>
    <r>
      <rPr>
        <sz val="11"/>
        <color theme="1"/>
        <rFont val="Aptos Narrow"/>
        <family val="2"/>
        <scheme val="minor"/>
      </rPr>
      <t xml:space="preserve">, the overall trends show recovery in </t>
    </r>
    <r>
      <rPr>
        <b/>
        <sz val="11"/>
        <color theme="1"/>
        <rFont val="Aptos Narrow"/>
        <family val="2"/>
        <scheme val="minor"/>
      </rPr>
      <t>Client 3</t>
    </r>
    <r>
      <rPr>
        <sz val="11"/>
        <color theme="1"/>
        <rFont val="Aptos Narrow"/>
        <family val="2"/>
        <scheme val="minor"/>
      </rPr>
      <t xml:space="preserve"> and continued strong performance from </t>
    </r>
    <r>
      <rPr>
        <b/>
        <sz val="11"/>
        <color theme="1"/>
        <rFont val="Aptos Narrow"/>
        <family val="2"/>
        <scheme val="minor"/>
      </rPr>
      <t>Client 5</t>
    </r>
    <r>
      <rPr>
        <sz val="11"/>
        <color theme="1"/>
        <rFont val="Aptos Narrow"/>
        <family val="2"/>
        <scheme val="minor"/>
      </rPr>
      <t xml:space="preserve">. However, the volatility in </t>
    </r>
    <r>
      <rPr>
        <b/>
        <sz val="11"/>
        <color theme="1"/>
        <rFont val="Aptos Narrow"/>
        <family val="2"/>
        <scheme val="minor"/>
      </rPr>
      <t>Client 10’s</t>
    </r>
    <r>
      <rPr>
        <sz val="11"/>
        <color theme="1"/>
        <rFont val="Aptos Narrow"/>
        <family val="2"/>
        <scheme val="minor"/>
      </rPr>
      <t xml:space="preserve"> contribution poses a risk to sustained profitability. Ensuring consistent contributions from top clients like </t>
    </r>
    <r>
      <rPr>
        <b/>
        <sz val="11"/>
        <color theme="1"/>
        <rFont val="Aptos Narrow"/>
        <family val="2"/>
        <scheme val="minor"/>
      </rPr>
      <t>Client 7</t>
    </r>
    <r>
      <rPr>
        <sz val="11"/>
        <color theme="1"/>
        <rFont val="Aptos Narrow"/>
        <family val="2"/>
        <scheme val="minor"/>
      </rPr>
      <t xml:space="preserve"> and stabilizing </t>
    </r>
    <r>
      <rPr>
        <b/>
        <sz val="11"/>
        <color theme="1"/>
        <rFont val="Aptos Narrow"/>
        <family val="2"/>
        <scheme val="minor"/>
      </rPr>
      <t>Client 10</t>
    </r>
    <r>
      <rPr>
        <sz val="11"/>
        <color theme="1"/>
        <rFont val="Aptos Narrow"/>
        <family val="2"/>
        <scheme val="minor"/>
      </rPr>
      <t xml:space="preserve"> will be important for maintaining YTD margin growth.</t>
    </r>
  </si>
  <si>
    <r>
      <t xml:space="preserve">To mitigate risks, attention should be given to the volatility in </t>
    </r>
    <r>
      <rPr>
        <b/>
        <sz val="11"/>
        <color theme="1"/>
        <rFont val="Aptos Narrow"/>
        <family val="2"/>
        <scheme val="minor"/>
      </rPr>
      <t>Client 10’s</t>
    </r>
    <r>
      <rPr>
        <sz val="11"/>
        <color theme="1"/>
        <rFont val="Aptos Narrow"/>
        <family val="2"/>
        <scheme val="minor"/>
      </rPr>
      <t xml:space="preserve"> performance and ensuring the continued recovery of </t>
    </r>
    <r>
      <rPr>
        <b/>
        <sz val="11"/>
        <color theme="1"/>
        <rFont val="Aptos Narrow"/>
        <family val="2"/>
        <scheme val="minor"/>
      </rPr>
      <t>Client 3</t>
    </r>
    <r>
      <rPr>
        <sz val="11"/>
        <color theme="1"/>
        <rFont val="Aptos Narrow"/>
        <family val="2"/>
        <scheme val="minor"/>
      </rPr>
      <t xml:space="preserve">. Strengthening operational efficiencies to avoid further cost pressure, while diversifying client contributions, will help reduce reliance on key clients like </t>
    </r>
    <r>
      <rPr>
        <b/>
        <sz val="11"/>
        <color theme="1"/>
        <rFont val="Aptos Narrow"/>
        <family val="2"/>
        <scheme val="minor"/>
      </rPr>
      <t>Client 5</t>
    </r>
    <r>
      <rPr>
        <sz val="11"/>
        <color theme="1"/>
        <rFont val="Aptos Narrow"/>
        <family val="2"/>
        <scheme val="minor"/>
      </rPr>
      <t xml:space="preserve">. Focused interventions on underperforming clients, particularly </t>
    </r>
    <r>
      <rPr>
        <b/>
        <sz val="11"/>
        <color theme="1"/>
        <rFont val="Aptos Narrow"/>
        <family val="2"/>
        <scheme val="minor"/>
      </rPr>
      <t>Client 6</t>
    </r>
    <r>
      <rPr>
        <sz val="11"/>
        <color theme="1"/>
        <rFont val="Aptos Narrow"/>
        <family val="2"/>
        <scheme val="minor"/>
      </rPr>
      <t>, will also help mitigate longer-term risks.</t>
    </r>
  </si>
  <si>
    <r>
      <t xml:space="preserve">In April, margin performance reflects a </t>
    </r>
    <r>
      <rPr>
        <b/>
        <sz val="11"/>
        <color theme="1"/>
        <rFont val="Aptos Narrow"/>
        <family val="2"/>
        <scheme val="minor"/>
      </rPr>
      <t>+37% improvement</t>
    </r>
    <r>
      <rPr>
        <sz val="11"/>
        <color theme="1"/>
        <rFont val="Aptos Narrow"/>
        <family val="2"/>
        <scheme val="minor"/>
      </rPr>
      <t xml:space="preserve"> from revenue recovery, equating to </t>
    </r>
    <r>
      <rPr>
        <b/>
        <sz val="11"/>
        <color theme="1"/>
        <rFont val="Aptos Narrow"/>
        <family val="2"/>
        <scheme val="minor"/>
      </rPr>
      <t>+372 K$</t>
    </r>
    <r>
      <rPr>
        <sz val="11"/>
        <color theme="1"/>
        <rFont val="Aptos Narrow"/>
        <family val="2"/>
        <scheme val="minor"/>
      </rPr>
      <t xml:space="preserve">. This recovery was partially offset by weaker cost efficiencies, which contributed only </t>
    </r>
    <r>
      <rPr>
        <b/>
        <sz val="11"/>
        <color theme="1"/>
        <rFont val="Aptos Narrow"/>
        <family val="2"/>
        <scheme val="minor"/>
      </rPr>
      <t>+14%</t>
    </r>
    <r>
      <rPr>
        <sz val="11"/>
        <color theme="1"/>
        <rFont val="Aptos Narrow"/>
        <family val="2"/>
        <scheme val="minor"/>
      </rPr>
      <t xml:space="preserve">, or </t>
    </r>
    <r>
      <rPr>
        <b/>
        <sz val="11"/>
        <color theme="1"/>
        <rFont val="Aptos Narrow"/>
        <family val="2"/>
        <scheme val="minor"/>
      </rPr>
      <t>+136 K$</t>
    </r>
    <r>
      <rPr>
        <sz val="11"/>
        <color theme="1"/>
        <rFont val="Aptos Narrow"/>
        <family val="2"/>
        <scheme val="minor"/>
      </rPr>
      <t>, to the margin. While the revenue growth is encouraging, the limited impact of cost management highlights the need for renewed operational focus to sustain margin growth in the future.</t>
    </r>
  </si>
  <si>
    <r>
      <t xml:space="preserve">At the client level, </t>
    </r>
    <r>
      <rPr>
        <b/>
        <sz val="11"/>
        <color theme="1"/>
        <rFont val="Aptos Narrow"/>
        <family val="2"/>
        <scheme val="minor"/>
      </rPr>
      <t>Client 4</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were key contributors, with </t>
    </r>
    <r>
      <rPr>
        <b/>
        <sz val="11"/>
        <color theme="1"/>
        <rFont val="Aptos Narrow"/>
        <family val="2"/>
        <scheme val="minor"/>
      </rPr>
      <t>Client 4</t>
    </r>
    <r>
      <rPr>
        <sz val="11"/>
        <color theme="1"/>
        <rFont val="Aptos Narrow"/>
        <family val="2"/>
        <scheme val="minor"/>
      </rPr>
      <t xml:space="preserve"> increasing its contribution to </t>
    </r>
    <r>
      <rPr>
        <b/>
        <sz val="11"/>
        <color theme="1"/>
        <rFont val="Aptos Narrow"/>
        <family val="2"/>
        <scheme val="minor"/>
      </rPr>
      <t>32%</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contributing </t>
    </r>
    <r>
      <rPr>
        <b/>
        <sz val="11"/>
        <color theme="1"/>
        <rFont val="Aptos Narrow"/>
        <family val="2"/>
        <scheme val="minor"/>
      </rPr>
      <t>2%</t>
    </r>
    <r>
      <rPr>
        <sz val="11"/>
        <color theme="1"/>
        <rFont val="Aptos Narrow"/>
        <family val="2"/>
        <scheme val="minor"/>
      </rPr>
      <t xml:space="preserve">, recovering slightly from March. However,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showed weaker contributions, falling to </t>
    </r>
    <r>
      <rPr>
        <b/>
        <sz val="11"/>
        <color theme="1"/>
        <rFont val="Aptos Narrow"/>
        <family val="2"/>
        <scheme val="minor"/>
      </rPr>
      <t>6%</t>
    </r>
    <r>
      <rPr>
        <sz val="11"/>
        <color theme="1"/>
        <rFont val="Aptos Narrow"/>
        <family val="2"/>
        <scheme val="minor"/>
      </rPr>
      <t xml:space="preserve"> and </t>
    </r>
    <r>
      <rPr>
        <b/>
        <sz val="11"/>
        <color theme="1"/>
        <rFont val="Aptos Narrow"/>
        <family val="2"/>
        <scheme val="minor"/>
      </rPr>
      <t>15%</t>
    </r>
    <r>
      <rPr>
        <sz val="11"/>
        <color theme="1"/>
        <rFont val="Aptos Narrow"/>
        <family val="2"/>
        <scheme val="minor"/>
      </rPr>
      <t>, respectively. These declines highlight volatility in some clients’ performance, which will need careful monitoring.</t>
    </r>
  </si>
  <si>
    <r>
      <t>Client 4</t>
    </r>
    <r>
      <rPr>
        <sz val="11"/>
        <color theme="1"/>
        <rFont val="Aptos Narrow"/>
        <family val="2"/>
        <scheme val="minor"/>
      </rPr>
      <t xml:space="preserve"> experienced the largest improvement, increasing by </t>
    </r>
    <r>
      <rPr>
        <b/>
        <sz val="11"/>
        <color theme="1"/>
        <rFont val="Aptos Narrow"/>
        <family val="2"/>
        <scheme val="minor"/>
      </rPr>
      <t>+18 percentage points</t>
    </r>
    <r>
      <rPr>
        <sz val="11"/>
        <color theme="1"/>
        <rFont val="Aptos Narrow"/>
        <family val="2"/>
        <scheme val="minor"/>
      </rPr>
      <t xml:space="preserve"> from March, while </t>
    </r>
    <r>
      <rPr>
        <b/>
        <sz val="11"/>
        <color theme="1"/>
        <rFont val="Aptos Narrow"/>
        <family val="2"/>
        <scheme val="minor"/>
      </rPr>
      <t>Client 7</t>
    </r>
    <r>
      <rPr>
        <sz val="11"/>
        <color theme="1"/>
        <rFont val="Aptos Narrow"/>
        <family val="2"/>
        <scheme val="minor"/>
      </rPr>
      <t xml:space="preserve"> added </t>
    </r>
    <r>
      <rPr>
        <b/>
        <sz val="11"/>
        <color theme="1"/>
        <rFont val="Aptos Narrow"/>
        <family val="2"/>
        <scheme val="minor"/>
      </rPr>
      <t>+2 percentage points</t>
    </r>
    <r>
      <rPr>
        <sz val="11"/>
        <color theme="1"/>
        <rFont val="Aptos Narrow"/>
        <family val="2"/>
        <scheme val="minor"/>
      </rPr>
      <t xml:space="preserve">. In contrast,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both saw significant declines, dropping by </t>
    </r>
    <r>
      <rPr>
        <b/>
        <sz val="11"/>
        <color theme="1"/>
        <rFont val="Aptos Narrow"/>
        <family val="2"/>
        <scheme val="minor"/>
      </rPr>
      <t>-12</t>
    </r>
    <r>
      <rPr>
        <sz val="11"/>
        <color theme="1"/>
        <rFont val="Aptos Narrow"/>
        <family val="2"/>
        <scheme val="minor"/>
      </rPr>
      <t xml:space="preserve"> and </t>
    </r>
    <r>
      <rPr>
        <b/>
        <sz val="11"/>
        <color theme="1"/>
        <rFont val="Aptos Narrow"/>
        <family val="2"/>
        <scheme val="minor"/>
      </rPr>
      <t>-10 percentage points</t>
    </r>
    <r>
      <rPr>
        <sz val="11"/>
        <color theme="1"/>
        <rFont val="Aptos Narrow"/>
        <family val="2"/>
        <scheme val="minor"/>
      </rPr>
      <t>, respectively, indicating the need for more focused support and monitoring.</t>
    </r>
  </si>
  <si>
    <r>
      <t xml:space="preserve">Looking at the </t>
    </r>
    <r>
      <rPr>
        <b/>
        <sz val="11"/>
        <color theme="1"/>
        <rFont val="Aptos Narrow"/>
        <family val="2"/>
        <scheme val="minor"/>
      </rPr>
      <t>YTD margin performance</t>
    </r>
    <r>
      <rPr>
        <sz val="11"/>
        <color theme="1"/>
        <rFont val="Aptos Narrow"/>
        <family val="2"/>
        <scheme val="minor"/>
      </rPr>
      <t xml:space="preserve">, the trends show positive contributions from </t>
    </r>
    <r>
      <rPr>
        <b/>
        <sz val="11"/>
        <color theme="1"/>
        <rFont val="Aptos Narrow"/>
        <family val="2"/>
        <scheme val="minor"/>
      </rPr>
      <t>Client 4</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boosting overall results. However, the volatility in </t>
    </r>
    <r>
      <rPr>
        <b/>
        <sz val="11"/>
        <color theme="1"/>
        <rFont val="Aptos Narrow"/>
        <family val="2"/>
        <scheme val="minor"/>
      </rPr>
      <t>Client 1’s</t>
    </r>
    <r>
      <rPr>
        <sz val="11"/>
        <color theme="1"/>
        <rFont val="Aptos Narrow"/>
        <family val="2"/>
        <scheme val="minor"/>
      </rPr>
      <t xml:space="preserve"> and </t>
    </r>
    <r>
      <rPr>
        <b/>
        <sz val="11"/>
        <color theme="1"/>
        <rFont val="Aptos Narrow"/>
        <family val="2"/>
        <scheme val="minor"/>
      </rPr>
      <t>Client 10’s</t>
    </r>
    <r>
      <rPr>
        <sz val="11"/>
        <color theme="1"/>
        <rFont val="Aptos Narrow"/>
        <family val="2"/>
        <scheme val="minor"/>
      </rPr>
      <t xml:space="preserve"> contributions poses risks to sustaining profitability. Stabilizing these client relationships and encouraging consistent contributions will be critical to protecting year-to-date margins.</t>
    </r>
  </si>
  <si>
    <r>
      <t xml:space="preserve">Risk mitigation strategies should focus on addressing the volatility in </t>
    </r>
    <r>
      <rPr>
        <b/>
        <sz val="11"/>
        <color theme="1"/>
        <rFont val="Aptos Narrow"/>
        <family val="2"/>
        <scheme val="minor"/>
      </rPr>
      <t>Client 1’s</t>
    </r>
    <r>
      <rPr>
        <sz val="11"/>
        <color theme="1"/>
        <rFont val="Aptos Narrow"/>
        <family val="2"/>
        <scheme val="minor"/>
      </rPr>
      <t xml:space="preserve"> and </t>
    </r>
    <r>
      <rPr>
        <b/>
        <sz val="11"/>
        <color theme="1"/>
        <rFont val="Aptos Narrow"/>
        <family val="2"/>
        <scheme val="minor"/>
      </rPr>
      <t>Client 10’s</t>
    </r>
    <r>
      <rPr>
        <sz val="11"/>
        <color theme="1"/>
        <rFont val="Aptos Narrow"/>
        <family val="2"/>
        <scheme val="minor"/>
      </rPr>
      <t xml:space="preserve"> contributions. Operational improvements should be prioritized to regain cost efficiency, while maintaining client diversity to reduce over-reliance on a few key contributors like </t>
    </r>
    <r>
      <rPr>
        <b/>
        <sz val="11"/>
        <color theme="1"/>
        <rFont val="Aptos Narrow"/>
        <family val="2"/>
        <scheme val="minor"/>
      </rPr>
      <t>Client 4</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Monitoring underperforming clients, such as </t>
    </r>
    <r>
      <rPr>
        <b/>
        <sz val="11"/>
        <color theme="1"/>
        <rFont val="Aptos Narrow"/>
        <family val="2"/>
        <scheme val="minor"/>
      </rPr>
      <t>Client 1</t>
    </r>
    <r>
      <rPr>
        <sz val="11"/>
        <color theme="1"/>
        <rFont val="Aptos Narrow"/>
        <family val="2"/>
        <scheme val="minor"/>
      </rPr>
      <t>, will also help prevent margin erosion.</t>
    </r>
  </si>
  <si>
    <r>
      <t xml:space="preserve">In May, margin performance reflects a </t>
    </r>
    <r>
      <rPr>
        <b/>
        <sz val="11"/>
        <color theme="1"/>
        <rFont val="Aptos Narrow"/>
        <family val="2"/>
        <scheme val="minor"/>
      </rPr>
      <t>-14% impact</t>
    </r>
    <r>
      <rPr>
        <sz val="11"/>
        <color theme="1"/>
        <rFont val="Aptos Narrow"/>
        <family val="2"/>
        <scheme val="minor"/>
      </rPr>
      <t xml:space="preserve"> from the decline in revenue, equating to </t>
    </r>
    <r>
      <rPr>
        <b/>
        <sz val="11"/>
        <color theme="1"/>
        <rFont val="Aptos Narrow"/>
        <family val="2"/>
        <scheme val="minor"/>
      </rPr>
      <t>-140 K$</t>
    </r>
    <r>
      <rPr>
        <sz val="11"/>
        <color theme="1"/>
        <rFont val="Aptos Narrow"/>
        <family val="2"/>
        <scheme val="minor"/>
      </rPr>
      <t xml:space="preserve">. This was countered by significant cost efficiencies, which contributed </t>
    </r>
    <r>
      <rPr>
        <b/>
        <sz val="11"/>
        <color theme="1"/>
        <rFont val="Aptos Narrow"/>
        <family val="2"/>
        <scheme val="minor"/>
      </rPr>
      <t>+36%</t>
    </r>
    <r>
      <rPr>
        <sz val="11"/>
        <color theme="1"/>
        <rFont val="Aptos Narrow"/>
        <family val="2"/>
        <scheme val="minor"/>
      </rPr>
      <t xml:space="preserve">, or </t>
    </r>
    <r>
      <rPr>
        <b/>
        <sz val="11"/>
        <color theme="1"/>
        <rFont val="Aptos Narrow"/>
        <family val="2"/>
        <scheme val="minor"/>
      </rPr>
      <t>+361 K$</t>
    </r>
    <r>
      <rPr>
        <sz val="11"/>
        <color theme="1"/>
        <rFont val="Aptos Narrow"/>
        <family val="2"/>
        <scheme val="minor"/>
      </rPr>
      <t>, to the margin. Although the revenue decline created pressure, the strong focus on cost control helped sustain the margins. Maintaining this balance between revenue recovery and cost efficiency will be key moving forward.</t>
    </r>
  </si>
  <si>
    <r>
      <t xml:space="preserve">At the client level, </t>
    </r>
    <r>
      <rPr>
        <b/>
        <sz val="11"/>
        <color theme="1"/>
        <rFont val="Aptos Narrow"/>
        <family val="2"/>
        <scheme val="minor"/>
      </rPr>
      <t>Client 4</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were key contributors, with </t>
    </r>
    <r>
      <rPr>
        <b/>
        <sz val="11"/>
        <color theme="1"/>
        <rFont val="Aptos Narrow"/>
        <family val="2"/>
        <scheme val="minor"/>
      </rPr>
      <t>Client 4</t>
    </r>
    <r>
      <rPr>
        <sz val="11"/>
        <color theme="1"/>
        <rFont val="Aptos Narrow"/>
        <family val="2"/>
        <scheme val="minor"/>
      </rPr>
      <t xml:space="preserve"> contributing </t>
    </r>
    <r>
      <rPr>
        <b/>
        <sz val="11"/>
        <color theme="1"/>
        <rFont val="Aptos Narrow"/>
        <family val="2"/>
        <scheme val="minor"/>
      </rPr>
      <t>38%</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adding </t>
    </r>
    <r>
      <rPr>
        <b/>
        <sz val="11"/>
        <color theme="1"/>
        <rFont val="Aptos Narrow"/>
        <family val="2"/>
        <scheme val="minor"/>
      </rPr>
      <t>19%</t>
    </r>
    <r>
      <rPr>
        <sz val="11"/>
        <color theme="1"/>
        <rFont val="Aptos Narrow"/>
        <family val="2"/>
        <scheme val="minor"/>
      </rPr>
      <t xml:space="preserve"> to the overall margin. </t>
    </r>
    <r>
      <rPr>
        <b/>
        <sz val="11"/>
        <color theme="1"/>
        <rFont val="Aptos Narrow"/>
        <family val="2"/>
        <scheme val="minor"/>
      </rPr>
      <t>Client 3</t>
    </r>
    <r>
      <rPr>
        <sz val="11"/>
        <color theme="1"/>
        <rFont val="Aptos Narrow"/>
        <family val="2"/>
        <scheme val="minor"/>
      </rPr>
      <t xml:space="preserve"> saw a decline, contributing </t>
    </r>
    <r>
      <rPr>
        <b/>
        <sz val="11"/>
        <color theme="1"/>
        <rFont val="Aptos Narrow"/>
        <family val="2"/>
        <scheme val="minor"/>
      </rPr>
      <t>-6%</t>
    </r>
    <r>
      <rPr>
        <sz val="11"/>
        <color theme="1"/>
        <rFont val="Aptos Narrow"/>
        <family val="2"/>
        <scheme val="minor"/>
      </rPr>
      <t xml:space="preserve">, while </t>
    </r>
    <r>
      <rPr>
        <b/>
        <sz val="11"/>
        <color theme="1"/>
        <rFont val="Aptos Narrow"/>
        <family val="2"/>
        <scheme val="minor"/>
      </rPr>
      <t>Client 7</t>
    </r>
    <r>
      <rPr>
        <sz val="11"/>
        <color theme="1"/>
        <rFont val="Aptos Narrow"/>
        <family val="2"/>
        <scheme val="minor"/>
      </rPr>
      <t xml:space="preserve"> provided only </t>
    </r>
    <r>
      <rPr>
        <b/>
        <sz val="11"/>
        <color theme="1"/>
        <rFont val="Aptos Narrow"/>
        <family val="2"/>
        <scheme val="minor"/>
      </rPr>
      <t>2%</t>
    </r>
    <r>
      <rPr>
        <sz val="11"/>
        <color theme="1"/>
        <rFont val="Aptos Narrow"/>
        <family val="2"/>
        <scheme val="minor"/>
      </rPr>
      <t>. These variations highlight the importance of stabilizing key clients to ensure overall margin sustainability.</t>
    </r>
  </si>
  <si>
    <r>
      <t>Client 4</t>
    </r>
    <r>
      <rPr>
        <sz val="11"/>
        <color theme="1"/>
        <rFont val="Aptos Narrow"/>
        <family val="2"/>
        <scheme val="minor"/>
      </rPr>
      <t xml:space="preserve"> saw a modest improvement, increasing by </t>
    </r>
    <r>
      <rPr>
        <b/>
        <sz val="11"/>
        <color theme="1"/>
        <rFont val="Aptos Narrow"/>
        <family val="2"/>
        <scheme val="minor"/>
      </rPr>
      <t>+6 percentage points</t>
    </r>
    <r>
      <rPr>
        <sz val="11"/>
        <color theme="1"/>
        <rFont val="Aptos Narrow"/>
        <family val="2"/>
        <scheme val="minor"/>
      </rPr>
      <t xml:space="preserve">, while </t>
    </r>
    <r>
      <rPr>
        <b/>
        <sz val="11"/>
        <color theme="1"/>
        <rFont val="Aptos Narrow"/>
        <family val="2"/>
        <scheme val="minor"/>
      </rPr>
      <t>Client 5</t>
    </r>
    <r>
      <rPr>
        <sz val="11"/>
        <color theme="1"/>
        <rFont val="Aptos Narrow"/>
        <family val="2"/>
        <scheme val="minor"/>
      </rPr>
      <t xml:space="preserve"> remained steady, adding </t>
    </r>
    <r>
      <rPr>
        <b/>
        <sz val="11"/>
        <color theme="1"/>
        <rFont val="Aptos Narrow"/>
        <family val="2"/>
        <scheme val="minor"/>
      </rPr>
      <t>+8 percentage points</t>
    </r>
    <r>
      <rPr>
        <sz val="11"/>
        <color theme="1"/>
        <rFont val="Aptos Narrow"/>
        <family val="2"/>
        <scheme val="minor"/>
      </rPr>
      <t xml:space="preserve">. However, </t>
    </r>
    <r>
      <rPr>
        <b/>
        <sz val="11"/>
        <color theme="1"/>
        <rFont val="Aptos Narrow"/>
        <family val="2"/>
        <scheme val="minor"/>
      </rPr>
      <t>Client 3</t>
    </r>
    <r>
      <rPr>
        <sz val="11"/>
        <color theme="1"/>
        <rFont val="Aptos Narrow"/>
        <family val="2"/>
        <scheme val="minor"/>
      </rPr>
      <t xml:space="preserve"> experienced a sharp decline of </t>
    </r>
    <r>
      <rPr>
        <b/>
        <sz val="11"/>
        <color theme="1"/>
        <rFont val="Aptos Narrow"/>
        <family val="2"/>
        <scheme val="minor"/>
      </rPr>
      <t>-12 percentage points</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dropped by </t>
    </r>
    <r>
      <rPr>
        <b/>
        <sz val="11"/>
        <color theme="1"/>
        <rFont val="Aptos Narrow"/>
        <family val="2"/>
        <scheme val="minor"/>
      </rPr>
      <t>-17 percentage points</t>
    </r>
    <r>
      <rPr>
        <sz val="11"/>
        <color theme="1"/>
        <rFont val="Aptos Narrow"/>
        <family val="2"/>
        <scheme val="minor"/>
      </rPr>
      <t>, both of which require closer analysis and intervention to prevent further margin erosion.</t>
    </r>
  </si>
  <si>
    <r>
      <t xml:space="preserve">The </t>
    </r>
    <r>
      <rPr>
        <b/>
        <sz val="11"/>
        <color theme="1"/>
        <rFont val="Aptos Narrow"/>
        <family val="2"/>
        <scheme val="minor"/>
      </rPr>
      <t>YTD margin performance</t>
    </r>
    <r>
      <rPr>
        <sz val="11"/>
        <color theme="1"/>
        <rFont val="Aptos Narrow"/>
        <family val="2"/>
        <scheme val="minor"/>
      </rPr>
      <t xml:space="preserve"> shows continued strength from </t>
    </r>
    <r>
      <rPr>
        <b/>
        <sz val="11"/>
        <color theme="1"/>
        <rFont val="Aptos Narrow"/>
        <family val="2"/>
        <scheme val="minor"/>
      </rPr>
      <t>Client 4</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with positive overall contributions. However, the volatility in </t>
    </r>
    <r>
      <rPr>
        <b/>
        <sz val="11"/>
        <color theme="1"/>
        <rFont val="Aptos Narrow"/>
        <family val="2"/>
        <scheme val="minor"/>
      </rPr>
      <t>Client 3</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’s performance continues to pose a risk. Stabilizing these clients will be critical to maintaining the overall year-to-date margin growth.</t>
    </r>
  </si>
  <si>
    <r>
      <t xml:space="preserve">Risk mitigation strategies should focus on addressing the sharp declines in </t>
    </r>
    <r>
      <rPr>
        <b/>
        <sz val="11"/>
        <color theme="1"/>
        <rFont val="Aptos Narrow"/>
        <family val="2"/>
        <scheme val="minor"/>
      </rPr>
      <t>Client 3</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’s contributions. Improving revenue stability while continuing to control costs will be essential to maintain profitability. Monitoring high-performing clients like </t>
    </r>
    <r>
      <rPr>
        <b/>
        <sz val="11"/>
        <color theme="1"/>
        <rFont val="Aptos Narrow"/>
        <family val="2"/>
        <scheme val="minor"/>
      </rPr>
      <t>Client 4</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to prevent any potential drop in contributions will also be necessary.</t>
    </r>
  </si>
  <si>
    <r>
      <t xml:space="preserve">In June, margin performance reflects a </t>
    </r>
    <r>
      <rPr>
        <b/>
        <sz val="11"/>
        <color theme="1"/>
        <rFont val="Aptos Narrow"/>
        <family val="2"/>
        <scheme val="minor"/>
      </rPr>
      <t>+14% improvement</t>
    </r>
    <r>
      <rPr>
        <sz val="11"/>
        <color theme="1"/>
        <rFont val="Aptos Narrow"/>
        <family val="2"/>
        <scheme val="minor"/>
      </rPr>
      <t xml:space="preserve">, contributing </t>
    </r>
    <r>
      <rPr>
        <b/>
        <sz val="11"/>
        <color theme="1"/>
        <rFont val="Aptos Narrow"/>
        <family val="2"/>
        <scheme val="minor"/>
      </rPr>
      <t>+141 K$</t>
    </r>
    <r>
      <rPr>
        <sz val="11"/>
        <color theme="1"/>
        <rFont val="Aptos Narrow"/>
        <family val="2"/>
        <scheme val="minor"/>
      </rPr>
      <t xml:space="preserve"> to the total margin. This positive revenue impact was significantly boosted by cost efficiencies, which contributed a substantial </t>
    </r>
    <r>
      <rPr>
        <b/>
        <sz val="11"/>
        <color theme="1"/>
        <rFont val="Aptos Narrow"/>
        <family val="2"/>
        <scheme val="minor"/>
      </rPr>
      <t>+218%</t>
    </r>
    <r>
      <rPr>
        <sz val="11"/>
        <color theme="1"/>
        <rFont val="Aptos Narrow"/>
        <family val="2"/>
        <scheme val="minor"/>
      </rPr>
      <t xml:space="preserve">, or </t>
    </r>
    <r>
      <rPr>
        <b/>
        <sz val="11"/>
        <color theme="1"/>
        <rFont val="Aptos Narrow"/>
        <family val="2"/>
        <scheme val="minor"/>
      </rPr>
      <t>+2,166 K$</t>
    </r>
    <r>
      <rPr>
        <sz val="11"/>
        <color theme="1"/>
        <rFont val="Aptos Narrow"/>
        <family val="2"/>
        <scheme val="minor"/>
      </rPr>
      <t>, to the margin. The strong operational efficiency this month helped drive profitability, signaling that cost management efforts are highly effective in offsetting revenue pressures.</t>
    </r>
  </si>
  <si>
    <r>
      <t xml:space="preserve">At the client level, </t>
    </r>
    <r>
      <rPr>
        <b/>
        <sz val="11"/>
        <color theme="1"/>
        <rFont val="Aptos Narrow"/>
        <family val="2"/>
        <scheme val="minor"/>
      </rPr>
      <t>Client 8</t>
    </r>
    <r>
      <rPr>
        <sz val="11"/>
        <color theme="1"/>
        <rFont val="Aptos Narrow"/>
        <family val="2"/>
        <scheme val="minor"/>
      </rPr>
      <t xml:space="preserve"> and </t>
    </r>
    <r>
      <rPr>
        <b/>
        <sz val="11"/>
        <color theme="1"/>
        <rFont val="Aptos Narrow"/>
        <family val="2"/>
        <scheme val="minor"/>
      </rPr>
      <t>Client 6</t>
    </r>
    <r>
      <rPr>
        <sz val="11"/>
        <color theme="1"/>
        <rFont val="Aptos Narrow"/>
        <family val="2"/>
        <scheme val="minor"/>
      </rPr>
      <t xml:space="preserve"> were the top contributors, with </t>
    </r>
    <r>
      <rPr>
        <b/>
        <sz val="11"/>
        <color theme="1"/>
        <rFont val="Aptos Narrow"/>
        <family val="2"/>
        <scheme val="minor"/>
      </rPr>
      <t>Client 8</t>
    </r>
    <r>
      <rPr>
        <sz val="11"/>
        <color theme="1"/>
        <rFont val="Aptos Narrow"/>
        <family val="2"/>
        <scheme val="minor"/>
      </rPr>
      <t xml:space="preserve"> contributing </t>
    </r>
    <r>
      <rPr>
        <b/>
        <sz val="11"/>
        <color theme="1"/>
        <rFont val="Aptos Narrow"/>
        <family val="2"/>
        <scheme val="minor"/>
      </rPr>
      <t>49%</t>
    </r>
    <r>
      <rPr>
        <sz val="11"/>
        <color theme="1"/>
        <rFont val="Aptos Narrow"/>
        <family val="2"/>
        <scheme val="minor"/>
      </rPr>
      <t xml:space="preserve"> and </t>
    </r>
    <r>
      <rPr>
        <b/>
        <sz val="11"/>
        <color theme="1"/>
        <rFont val="Aptos Narrow"/>
        <family val="2"/>
        <scheme val="minor"/>
      </rPr>
      <t>Client 6</t>
    </r>
    <r>
      <rPr>
        <sz val="11"/>
        <color theme="1"/>
        <rFont val="Aptos Narrow"/>
        <family val="2"/>
        <scheme val="minor"/>
      </rPr>
      <t xml:space="preserve"> adding </t>
    </r>
    <r>
      <rPr>
        <b/>
        <sz val="11"/>
        <color theme="1"/>
        <rFont val="Aptos Narrow"/>
        <family val="2"/>
        <scheme val="minor"/>
      </rPr>
      <t>43%</t>
    </r>
    <r>
      <rPr>
        <sz val="11"/>
        <color theme="1"/>
        <rFont val="Aptos Narrow"/>
        <family val="2"/>
        <scheme val="minor"/>
      </rPr>
      <t xml:space="preserve">. These clients provided critical support to overall margin growth, while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saw weaker contributions, at </t>
    </r>
    <r>
      <rPr>
        <b/>
        <sz val="11"/>
        <color theme="1"/>
        <rFont val="Aptos Narrow"/>
        <family val="2"/>
        <scheme val="minor"/>
      </rPr>
      <t>38%</t>
    </r>
    <r>
      <rPr>
        <sz val="11"/>
        <color theme="1"/>
        <rFont val="Aptos Narrow"/>
        <family val="2"/>
        <scheme val="minor"/>
      </rPr>
      <t xml:space="preserve"> and </t>
    </r>
    <r>
      <rPr>
        <b/>
        <sz val="11"/>
        <color theme="1"/>
        <rFont val="Aptos Narrow"/>
        <family val="2"/>
        <scheme val="minor"/>
      </rPr>
      <t>26%</t>
    </r>
    <r>
      <rPr>
        <sz val="11"/>
        <color theme="1"/>
        <rFont val="Aptos Narrow"/>
        <family val="2"/>
        <scheme val="minor"/>
      </rPr>
      <t xml:space="preserve"> respectively. Ensuring continued performance from </t>
    </r>
    <r>
      <rPr>
        <b/>
        <sz val="11"/>
        <color theme="1"/>
        <rFont val="Aptos Narrow"/>
        <family val="2"/>
        <scheme val="minor"/>
      </rPr>
      <t>Client 8</t>
    </r>
    <r>
      <rPr>
        <sz val="11"/>
        <color theme="1"/>
        <rFont val="Aptos Narrow"/>
        <family val="2"/>
        <scheme val="minor"/>
      </rPr>
      <t xml:space="preserve"> and </t>
    </r>
    <r>
      <rPr>
        <b/>
        <sz val="11"/>
        <color theme="1"/>
        <rFont val="Aptos Narrow"/>
        <family val="2"/>
        <scheme val="minor"/>
      </rPr>
      <t>Client 6</t>
    </r>
    <r>
      <rPr>
        <sz val="11"/>
        <color theme="1"/>
        <rFont val="Aptos Narrow"/>
        <family val="2"/>
        <scheme val="minor"/>
      </rPr>
      <t xml:space="preserve"> while addressing declines from other clients will be key moving forward.</t>
    </r>
  </si>
  <si>
    <r>
      <t>Client 8</t>
    </r>
    <r>
      <rPr>
        <sz val="11"/>
        <color theme="1"/>
        <rFont val="Aptos Narrow"/>
        <family val="2"/>
        <scheme val="minor"/>
      </rPr>
      <t xml:space="preserve"> showed the largest improvement, increasing by </t>
    </r>
    <r>
      <rPr>
        <b/>
        <sz val="11"/>
        <color theme="1"/>
        <rFont val="Aptos Narrow"/>
        <family val="2"/>
        <scheme val="minor"/>
      </rPr>
      <t>+22 percentage points</t>
    </r>
    <r>
      <rPr>
        <sz val="11"/>
        <color theme="1"/>
        <rFont val="Aptos Narrow"/>
        <family val="2"/>
        <scheme val="minor"/>
      </rPr>
      <t xml:space="preserve"> from May, while </t>
    </r>
    <r>
      <rPr>
        <b/>
        <sz val="11"/>
        <color theme="1"/>
        <rFont val="Aptos Narrow"/>
        <family val="2"/>
        <scheme val="minor"/>
      </rPr>
      <t>Client 6</t>
    </r>
    <r>
      <rPr>
        <sz val="11"/>
        <color theme="1"/>
        <rFont val="Aptos Narrow"/>
        <family val="2"/>
        <scheme val="minor"/>
      </rPr>
      <t xml:space="preserve"> also increased by </t>
    </r>
    <r>
      <rPr>
        <b/>
        <sz val="11"/>
        <color theme="1"/>
        <rFont val="Aptos Narrow"/>
        <family val="2"/>
        <scheme val="minor"/>
      </rPr>
      <t>+6 percentage points</t>
    </r>
    <r>
      <rPr>
        <sz val="11"/>
        <color theme="1"/>
        <rFont val="Aptos Narrow"/>
        <family val="2"/>
        <scheme val="minor"/>
      </rPr>
      <t xml:space="preserve">. However, </t>
    </r>
    <r>
      <rPr>
        <b/>
        <sz val="11"/>
        <color theme="1"/>
        <rFont val="Aptos Narrow"/>
        <family val="2"/>
        <scheme val="minor"/>
      </rPr>
      <t>Client 5</t>
    </r>
    <r>
      <rPr>
        <sz val="11"/>
        <color theme="1"/>
        <rFont val="Aptos Narrow"/>
        <family val="2"/>
        <scheme val="minor"/>
      </rPr>
      <t xml:space="preserve"> saw a drop in contribution, decreasing by </t>
    </r>
    <r>
      <rPr>
        <b/>
        <sz val="11"/>
        <color theme="1"/>
        <rFont val="Aptos Narrow"/>
        <family val="2"/>
        <scheme val="minor"/>
      </rPr>
      <t>-15 percentage points</t>
    </r>
    <r>
      <rPr>
        <sz val="11"/>
        <color theme="1"/>
        <rFont val="Aptos Narrow"/>
        <family val="2"/>
        <scheme val="minor"/>
      </rPr>
      <t xml:space="preserve">, indicating a need for close monitoring. </t>
    </r>
    <r>
      <rPr>
        <b/>
        <sz val="11"/>
        <color theme="1"/>
        <rFont val="Aptos Narrow"/>
        <family val="2"/>
        <scheme val="minor"/>
      </rPr>
      <t>Client 1</t>
    </r>
    <r>
      <rPr>
        <sz val="11"/>
        <color theme="1"/>
        <rFont val="Aptos Narrow"/>
        <family val="2"/>
        <scheme val="minor"/>
      </rPr>
      <t xml:space="preserve"> remained volatile, contributing </t>
    </r>
    <r>
      <rPr>
        <b/>
        <sz val="11"/>
        <color theme="1"/>
        <rFont val="Aptos Narrow"/>
        <family val="2"/>
        <scheme val="minor"/>
      </rPr>
      <t>38%</t>
    </r>
    <r>
      <rPr>
        <sz val="11"/>
        <color theme="1"/>
        <rFont val="Aptos Narrow"/>
        <family val="2"/>
        <scheme val="minor"/>
      </rPr>
      <t>, but still lower compared to previous months.</t>
    </r>
  </si>
  <si>
    <r>
      <t xml:space="preserve">Looking at the </t>
    </r>
    <r>
      <rPr>
        <b/>
        <sz val="11"/>
        <color theme="1"/>
        <rFont val="Aptos Narrow"/>
        <family val="2"/>
        <scheme val="minor"/>
      </rPr>
      <t>YTD margin performance</t>
    </r>
    <r>
      <rPr>
        <sz val="11"/>
        <color theme="1"/>
        <rFont val="Aptos Narrow"/>
        <family val="2"/>
        <scheme val="minor"/>
      </rPr>
      <t xml:space="preserve">, the strong contributions from </t>
    </r>
    <r>
      <rPr>
        <b/>
        <sz val="11"/>
        <color theme="1"/>
        <rFont val="Aptos Narrow"/>
        <family val="2"/>
        <scheme val="minor"/>
      </rPr>
      <t>Client 8</t>
    </r>
    <r>
      <rPr>
        <sz val="11"/>
        <color theme="1"/>
        <rFont val="Aptos Narrow"/>
        <family val="2"/>
        <scheme val="minor"/>
      </rPr>
      <t xml:space="preserve"> and </t>
    </r>
    <r>
      <rPr>
        <b/>
        <sz val="11"/>
        <color theme="1"/>
        <rFont val="Aptos Narrow"/>
        <family val="2"/>
        <scheme val="minor"/>
      </rPr>
      <t>Client 6</t>
    </r>
    <r>
      <rPr>
        <sz val="11"/>
        <color theme="1"/>
        <rFont val="Aptos Narrow"/>
        <family val="2"/>
        <scheme val="minor"/>
      </rPr>
      <t xml:space="preserve"> have lifted overall year-to-date margins. However, the decline in </t>
    </r>
    <r>
      <rPr>
        <b/>
        <sz val="11"/>
        <color theme="1"/>
        <rFont val="Aptos Narrow"/>
        <family val="2"/>
        <scheme val="minor"/>
      </rPr>
      <t>Client 5’s</t>
    </r>
    <r>
      <rPr>
        <sz val="11"/>
        <color theme="1"/>
        <rFont val="Aptos Narrow"/>
        <family val="2"/>
        <scheme val="minor"/>
      </rPr>
      <t xml:space="preserve"> contribution introduces some risk to margin stability. Stabilizing client contributions across the board will be critical for maintaining healthy YTD margins as we move into the second half of the year.</t>
    </r>
  </si>
  <si>
    <r>
      <t xml:space="preserve">To mitigate risks, focus should be placed on stabilizing the contributions of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1</t>
    </r>
    <r>
      <rPr>
        <sz val="11"/>
        <color theme="1"/>
        <rFont val="Aptos Narrow"/>
        <family val="2"/>
        <scheme val="minor"/>
      </rPr>
      <t xml:space="preserve"> to prevent further declines. The strong performance of </t>
    </r>
    <r>
      <rPr>
        <b/>
        <sz val="11"/>
        <color theme="1"/>
        <rFont val="Aptos Narrow"/>
        <family val="2"/>
        <scheme val="minor"/>
      </rPr>
      <t>Client 8</t>
    </r>
    <r>
      <rPr>
        <sz val="11"/>
        <color theme="1"/>
        <rFont val="Aptos Narrow"/>
        <family val="2"/>
        <scheme val="minor"/>
      </rPr>
      <t xml:space="preserve"> and </t>
    </r>
    <r>
      <rPr>
        <b/>
        <sz val="11"/>
        <color theme="1"/>
        <rFont val="Aptos Narrow"/>
        <family val="2"/>
        <scheme val="minor"/>
      </rPr>
      <t>Client 6</t>
    </r>
    <r>
      <rPr>
        <sz val="11"/>
        <color theme="1"/>
        <rFont val="Aptos Narrow"/>
        <family val="2"/>
        <scheme val="minor"/>
      </rPr>
      <t xml:space="preserve"> should be leveraged to sustain margin growth, but over-reliance on these clients could introduce long-term risks. A continued focus on operational efficiencies will also help buffer any future revenue fluctuations.</t>
    </r>
  </si>
  <si>
    <r>
      <t xml:space="preserve">In July, margin performance reflects a </t>
    </r>
    <r>
      <rPr>
        <b/>
        <sz val="11"/>
        <color theme="1"/>
        <rFont val="Aptos Narrow"/>
        <family val="2"/>
        <scheme val="minor"/>
      </rPr>
      <t>-55% impact</t>
    </r>
    <r>
      <rPr>
        <sz val="11"/>
        <color theme="1"/>
        <rFont val="Aptos Narrow"/>
        <family val="2"/>
        <scheme val="minor"/>
      </rPr>
      <t xml:space="preserve"> from a significant decline in revenue, equating to </t>
    </r>
    <r>
      <rPr>
        <b/>
        <sz val="11"/>
        <color theme="1"/>
        <rFont val="Aptos Narrow"/>
        <family val="2"/>
        <scheme val="minor"/>
      </rPr>
      <t>-543 K$</t>
    </r>
    <r>
      <rPr>
        <sz val="11"/>
        <color theme="1"/>
        <rFont val="Aptos Narrow"/>
        <family val="2"/>
        <scheme val="minor"/>
      </rPr>
      <t xml:space="preserve">. This decline was partially offset by cost efficiencies, which contributed </t>
    </r>
    <r>
      <rPr>
        <b/>
        <sz val="11"/>
        <color theme="1"/>
        <rFont val="Aptos Narrow"/>
        <family val="2"/>
        <scheme val="minor"/>
      </rPr>
      <t>+145%</t>
    </r>
    <r>
      <rPr>
        <sz val="11"/>
        <color theme="1"/>
        <rFont val="Aptos Narrow"/>
        <family val="2"/>
        <scheme val="minor"/>
      </rPr>
      <t xml:space="preserve">, or </t>
    </r>
    <r>
      <rPr>
        <b/>
        <sz val="11"/>
        <color theme="1"/>
        <rFont val="Aptos Narrow"/>
        <family val="2"/>
        <scheme val="minor"/>
      </rPr>
      <t>+1,434 K$</t>
    </r>
    <r>
      <rPr>
        <sz val="11"/>
        <color theme="1"/>
        <rFont val="Aptos Narrow"/>
        <family val="2"/>
        <scheme val="minor"/>
      </rPr>
      <t>, to the margin. While the revenue drop created substantial pressure, the strong focus on cost control helped reduce the overall margin decline. Continuing this cost focus will be essential as revenue recovery is pursued.</t>
    </r>
  </si>
  <si>
    <r>
      <t xml:space="preserve">At the client level, </t>
    </r>
    <r>
      <rPr>
        <b/>
        <sz val="11"/>
        <color theme="1"/>
        <rFont val="Aptos Narrow"/>
        <family val="2"/>
        <scheme val="minor"/>
      </rPr>
      <t>Client 7</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were the top contributors, with </t>
    </r>
    <r>
      <rPr>
        <b/>
        <sz val="11"/>
        <color theme="1"/>
        <rFont val="Aptos Narrow"/>
        <family val="2"/>
        <scheme val="minor"/>
      </rPr>
      <t>Client 7</t>
    </r>
    <r>
      <rPr>
        <sz val="11"/>
        <color theme="1"/>
        <rFont val="Aptos Narrow"/>
        <family val="2"/>
        <scheme val="minor"/>
      </rPr>
      <t xml:space="preserve"> contributing </t>
    </r>
    <r>
      <rPr>
        <b/>
        <sz val="11"/>
        <color theme="1"/>
        <rFont val="Aptos Narrow"/>
        <family val="2"/>
        <scheme val="minor"/>
      </rPr>
      <t>34%</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adding </t>
    </r>
    <r>
      <rPr>
        <b/>
        <sz val="11"/>
        <color theme="1"/>
        <rFont val="Aptos Narrow"/>
        <family val="2"/>
        <scheme val="minor"/>
      </rPr>
      <t>18%</t>
    </r>
    <r>
      <rPr>
        <sz val="11"/>
        <color theme="1"/>
        <rFont val="Aptos Narrow"/>
        <family val="2"/>
        <scheme val="minor"/>
      </rPr>
      <t xml:space="preserve">. These contributions helped offset weaker performances from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8</t>
    </r>
    <r>
      <rPr>
        <sz val="11"/>
        <color theme="1"/>
        <rFont val="Aptos Narrow"/>
        <family val="2"/>
        <scheme val="minor"/>
      </rPr>
      <t xml:space="preserve">, whose contributions fell to </t>
    </r>
    <r>
      <rPr>
        <b/>
        <sz val="11"/>
        <color theme="1"/>
        <rFont val="Aptos Narrow"/>
        <family val="2"/>
        <scheme val="minor"/>
      </rPr>
      <t>13%</t>
    </r>
    <r>
      <rPr>
        <sz val="11"/>
        <color theme="1"/>
        <rFont val="Aptos Narrow"/>
        <family val="2"/>
        <scheme val="minor"/>
      </rPr>
      <t xml:space="preserve"> and </t>
    </r>
    <r>
      <rPr>
        <b/>
        <sz val="11"/>
        <color theme="1"/>
        <rFont val="Aptos Narrow"/>
        <family val="2"/>
        <scheme val="minor"/>
      </rPr>
      <t>17%</t>
    </r>
    <r>
      <rPr>
        <sz val="11"/>
        <color theme="1"/>
        <rFont val="Aptos Narrow"/>
        <family val="2"/>
        <scheme val="minor"/>
      </rPr>
      <t>, respectively. Stabilizing these fluctuations in client performance will be important for maintaining margin stability.</t>
    </r>
  </si>
  <si>
    <r>
      <t>Client 7</t>
    </r>
    <r>
      <rPr>
        <sz val="11"/>
        <color theme="1"/>
        <rFont val="Aptos Narrow"/>
        <family val="2"/>
        <scheme val="minor"/>
      </rPr>
      <t xml:space="preserve"> showed consistent performance, adding </t>
    </r>
    <r>
      <rPr>
        <b/>
        <sz val="11"/>
        <color theme="1"/>
        <rFont val="Aptos Narrow"/>
        <family val="2"/>
        <scheme val="minor"/>
      </rPr>
      <t>+17 percentage points</t>
    </r>
    <r>
      <rPr>
        <sz val="11"/>
        <color theme="1"/>
        <rFont val="Aptos Narrow"/>
        <family val="2"/>
        <scheme val="minor"/>
      </rPr>
      <t xml:space="preserve">, while </t>
    </r>
    <r>
      <rPr>
        <b/>
        <sz val="11"/>
        <color theme="1"/>
        <rFont val="Aptos Narrow"/>
        <family val="2"/>
        <scheme val="minor"/>
      </rPr>
      <t>Client 9</t>
    </r>
    <r>
      <rPr>
        <sz val="11"/>
        <color theme="1"/>
        <rFont val="Aptos Narrow"/>
        <family val="2"/>
        <scheme val="minor"/>
      </rPr>
      <t xml:space="preserve"> added </t>
    </r>
    <r>
      <rPr>
        <b/>
        <sz val="11"/>
        <color theme="1"/>
        <rFont val="Aptos Narrow"/>
        <family val="2"/>
        <scheme val="minor"/>
      </rPr>
      <t>+6 percentage points</t>
    </r>
    <r>
      <rPr>
        <sz val="11"/>
        <color theme="1"/>
        <rFont val="Aptos Narrow"/>
        <family val="2"/>
        <scheme val="minor"/>
      </rPr>
      <t xml:space="preserve">. However, </t>
    </r>
    <r>
      <rPr>
        <b/>
        <sz val="11"/>
        <color theme="1"/>
        <rFont val="Aptos Narrow"/>
        <family val="2"/>
        <scheme val="minor"/>
      </rPr>
      <t>Client 5</t>
    </r>
    <r>
      <rPr>
        <sz val="11"/>
        <color theme="1"/>
        <rFont val="Aptos Narrow"/>
        <family val="2"/>
        <scheme val="minor"/>
      </rPr>
      <t xml:space="preserve"> saw a </t>
    </r>
    <r>
      <rPr>
        <b/>
        <sz val="11"/>
        <color theme="1"/>
        <rFont val="Aptos Narrow"/>
        <family val="2"/>
        <scheme val="minor"/>
      </rPr>
      <t>-13 percentage point</t>
    </r>
    <r>
      <rPr>
        <sz val="11"/>
        <color theme="1"/>
        <rFont val="Aptos Narrow"/>
        <family val="2"/>
        <scheme val="minor"/>
      </rPr>
      <t xml:space="preserve"> decline, and </t>
    </r>
    <r>
      <rPr>
        <b/>
        <sz val="11"/>
        <color theme="1"/>
        <rFont val="Aptos Narrow"/>
        <family val="2"/>
        <scheme val="minor"/>
      </rPr>
      <t>Client 8</t>
    </r>
    <r>
      <rPr>
        <sz val="11"/>
        <color theme="1"/>
        <rFont val="Aptos Narrow"/>
        <family val="2"/>
        <scheme val="minor"/>
      </rPr>
      <t xml:space="preserve"> dropped by </t>
    </r>
    <r>
      <rPr>
        <b/>
        <sz val="11"/>
        <color theme="1"/>
        <rFont val="Aptos Narrow"/>
        <family val="2"/>
        <scheme val="minor"/>
      </rPr>
      <t>-12 percentage points</t>
    </r>
    <r>
      <rPr>
        <sz val="11"/>
        <color theme="1"/>
        <rFont val="Aptos Narrow"/>
        <family val="2"/>
        <scheme val="minor"/>
      </rPr>
      <t>, reflecting potential areas for intervention and recovery efforts.</t>
    </r>
  </si>
  <si>
    <r>
      <t xml:space="preserve">Looking at the </t>
    </r>
    <r>
      <rPr>
        <b/>
        <sz val="11"/>
        <color theme="1"/>
        <rFont val="Aptos Narrow"/>
        <family val="2"/>
        <scheme val="minor"/>
      </rPr>
      <t>YTD margin performance</t>
    </r>
    <r>
      <rPr>
        <sz val="11"/>
        <color theme="1"/>
        <rFont val="Aptos Narrow"/>
        <family val="2"/>
        <scheme val="minor"/>
      </rPr>
      <t xml:space="preserve">, contributions from </t>
    </r>
    <r>
      <rPr>
        <b/>
        <sz val="11"/>
        <color theme="1"/>
        <rFont val="Aptos Narrow"/>
        <family val="2"/>
        <scheme val="minor"/>
      </rPr>
      <t>Client 7</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have been consistent, helping to mitigate the impact of the revenue decline. However, the volatility in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8</t>
    </r>
    <r>
      <rPr>
        <sz val="11"/>
        <color theme="1"/>
        <rFont val="Aptos Narrow"/>
        <family val="2"/>
        <scheme val="minor"/>
      </rPr>
      <t xml:space="preserve"> poses risks to overall profitability. Stabilizing these clients will be crucial to maintaining positive YTD margin growth as the year progresses.</t>
    </r>
  </si>
  <si>
    <r>
      <t xml:space="preserve">Risk management efforts should focus on stabilizing underperforming clients such as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8</t>
    </r>
    <r>
      <rPr>
        <sz val="11"/>
        <color theme="1"/>
        <rFont val="Aptos Narrow"/>
        <family val="2"/>
        <scheme val="minor"/>
      </rPr>
      <t xml:space="preserve"> to prevent further erosion of margins. The strong performances from </t>
    </r>
    <r>
      <rPr>
        <b/>
        <sz val="11"/>
        <color theme="1"/>
        <rFont val="Aptos Narrow"/>
        <family val="2"/>
        <scheme val="minor"/>
      </rPr>
      <t>Client 7</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should be leveraged, but over-reliance on these clients could create long-term vulnerabilities. Continuing to enforce strict cost control measures will be necessary to offset ongoing revenue volatility.</t>
    </r>
  </si>
  <si>
    <r>
      <t xml:space="preserve">In August, margin performance reflects a </t>
    </r>
    <r>
      <rPr>
        <b/>
        <sz val="11"/>
        <color theme="1"/>
        <rFont val="Aptos Narrow"/>
        <family val="2"/>
        <scheme val="minor"/>
      </rPr>
      <t>-55% impact</t>
    </r>
    <r>
      <rPr>
        <sz val="11"/>
        <color theme="1"/>
        <rFont val="Aptos Narrow"/>
        <family val="2"/>
        <scheme val="minor"/>
      </rPr>
      <t xml:space="preserve"> from a continued decline in revenue, equating to </t>
    </r>
    <r>
      <rPr>
        <b/>
        <sz val="11"/>
        <color theme="1"/>
        <rFont val="Aptos Narrow"/>
        <family val="2"/>
        <scheme val="minor"/>
      </rPr>
      <t>-543 K$</t>
    </r>
    <r>
      <rPr>
        <sz val="11"/>
        <color theme="1"/>
        <rFont val="Aptos Narrow"/>
        <family val="2"/>
        <scheme val="minor"/>
      </rPr>
      <t xml:space="preserve">. This decline was somewhat offset by cost efficiencies, which contributed </t>
    </r>
    <r>
      <rPr>
        <b/>
        <sz val="11"/>
        <color theme="1"/>
        <rFont val="Aptos Narrow"/>
        <family val="2"/>
        <scheme val="minor"/>
      </rPr>
      <t>+81%</t>
    </r>
    <r>
      <rPr>
        <sz val="11"/>
        <color theme="1"/>
        <rFont val="Aptos Narrow"/>
        <family val="2"/>
        <scheme val="minor"/>
      </rPr>
      <t xml:space="preserve">, or </t>
    </r>
    <r>
      <rPr>
        <b/>
        <sz val="11"/>
        <color theme="1"/>
        <rFont val="Aptos Narrow"/>
        <family val="2"/>
        <scheme val="minor"/>
      </rPr>
      <t>+1,344 K$</t>
    </r>
    <r>
      <rPr>
        <sz val="11"/>
        <color theme="1"/>
        <rFont val="Aptos Narrow"/>
        <family val="2"/>
        <scheme val="minor"/>
      </rPr>
      <t>, to the margin. Although revenue continues to be a challenge, the strong focus on cost management has played a crucial role in maintaining profitability. However, sustaining this cost control will be key as efforts are made to stabilize revenue.</t>
    </r>
  </si>
  <si>
    <r>
      <t xml:space="preserve">At the client level, </t>
    </r>
    <r>
      <rPr>
        <b/>
        <sz val="11"/>
        <color theme="1"/>
        <rFont val="Aptos Narrow"/>
        <family val="2"/>
        <scheme val="minor"/>
      </rPr>
      <t>Client 10</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were the top contributors, with </t>
    </r>
    <r>
      <rPr>
        <b/>
        <sz val="11"/>
        <color theme="1"/>
        <rFont val="Aptos Narrow"/>
        <family val="2"/>
        <scheme val="minor"/>
      </rPr>
      <t>Client 10</t>
    </r>
    <r>
      <rPr>
        <sz val="11"/>
        <color theme="1"/>
        <rFont val="Aptos Narrow"/>
        <family val="2"/>
        <scheme val="minor"/>
      </rPr>
      <t xml:space="preserve"> contributing </t>
    </r>
    <r>
      <rPr>
        <b/>
        <sz val="11"/>
        <color theme="1"/>
        <rFont val="Aptos Narrow"/>
        <family val="2"/>
        <scheme val="minor"/>
      </rPr>
      <t>35%</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contributing </t>
    </r>
    <r>
      <rPr>
        <b/>
        <sz val="11"/>
        <color theme="1"/>
        <rFont val="Aptos Narrow"/>
        <family val="2"/>
        <scheme val="minor"/>
      </rPr>
      <t>37%</t>
    </r>
    <r>
      <rPr>
        <sz val="11"/>
        <color theme="1"/>
        <rFont val="Aptos Narrow"/>
        <family val="2"/>
        <scheme val="minor"/>
      </rPr>
      <t xml:space="preserve">. These contributions were critical in offsetting weaker performances from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whose contributions dropped to </t>
    </r>
    <r>
      <rPr>
        <b/>
        <sz val="11"/>
        <color theme="1"/>
        <rFont val="Aptos Narrow"/>
        <family val="2"/>
        <scheme val="minor"/>
      </rPr>
      <t>2%</t>
    </r>
    <r>
      <rPr>
        <sz val="11"/>
        <color theme="1"/>
        <rFont val="Aptos Narrow"/>
        <family val="2"/>
        <scheme val="minor"/>
      </rPr>
      <t xml:space="preserve"> and </t>
    </r>
    <r>
      <rPr>
        <b/>
        <sz val="11"/>
        <color theme="1"/>
        <rFont val="Aptos Narrow"/>
        <family val="2"/>
        <scheme val="minor"/>
      </rPr>
      <t>11%</t>
    </r>
    <r>
      <rPr>
        <sz val="11"/>
        <color theme="1"/>
        <rFont val="Aptos Narrow"/>
        <family val="2"/>
        <scheme val="minor"/>
      </rPr>
      <t>, respectively. This variation in client performance indicates the need for closer monitoring and client support strategies.</t>
    </r>
  </si>
  <si>
    <r>
      <t>Client 10</t>
    </r>
    <r>
      <rPr>
        <sz val="11"/>
        <color theme="1"/>
        <rFont val="Aptos Narrow"/>
        <family val="2"/>
        <scheme val="minor"/>
      </rPr>
      <t xml:space="preserve"> saw an improvement of </t>
    </r>
    <r>
      <rPr>
        <b/>
        <sz val="11"/>
        <color theme="1"/>
        <rFont val="Aptos Narrow"/>
        <family val="2"/>
        <scheme val="minor"/>
      </rPr>
      <t>+20 percentage points</t>
    </r>
    <r>
      <rPr>
        <sz val="11"/>
        <color theme="1"/>
        <rFont val="Aptos Narrow"/>
        <family val="2"/>
        <scheme val="minor"/>
      </rPr>
      <t xml:space="preserve">, while </t>
    </r>
    <r>
      <rPr>
        <b/>
        <sz val="11"/>
        <color theme="1"/>
        <rFont val="Aptos Narrow"/>
        <family val="2"/>
        <scheme val="minor"/>
      </rPr>
      <t>Client 7</t>
    </r>
    <r>
      <rPr>
        <sz val="11"/>
        <color theme="1"/>
        <rFont val="Aptos Narrow"/>
        <family val="2"/>
        <scheme val="minor"/>
      </rPr>
      <t xml:space="preserve"> added </t>
    </r>
    <r>
      <rPr>
        <b/>
        <sz val="11"/>
        <color theme="1"/>
        <rFont val="Aptos Narrow"/>
        <family val="2"/>
        <scheme val="minor"/>
      </rPr>
      <t>+3 percentage points</t>
    </r>
    <r>
      <rPr>
        <sz val="11"/>
        <color theme="1"/>
        <rFont val="Aptos Narrow"/>
        <family val="2"/>
        <scheme val="minor"/>
      </rPr>
      <t xml:space="preserve">. However,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saw significant declines, with </t>
    </r>
    <r>
      <rPr>
        <b/>
        <sz val="11"/>
        <color theme="1"/>
        <rFont val="Aptos Narrow"/>
        <family val="2"/>
        <scheme val="minor"/>
      </rPr>
      <t>Client 1</t>
    </r>
    <r>
      <rPr>
        <sz val="11"/>
        <color theme="1"/>
        <rFont val="Aptos Narrow"/>
        <family val="2"/>
        <scheme val="minor"/>
      </rPr>
      <t xml:space="preserve"> dropping by </t>
    </r>
    <r>
      <rPr>
        <b/>
        <sz val="11"/>
        <color theme="1"/>
        <rFont val="Aptos Narrow"/>
        <family val="2"/>
        <scheme val="minor"/>
      </rPr>
      <t>-15 percentage points</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declining by </t>
    </r>
    <r>
      <rPr>
        <b/>
        <sz val="11"/>
        <color theme="1"/>
        <rFont val="Aptos Narrow"/>
        <family val="2"/>
        <scheme val="minor"/>
      </rPr>
      <t>-2 percentage points</t>
    </r>
    <r>
      <rPr>
        <sz val="11"/>
        <color theme="1"/>
        <rFont val="Aptos Narrow"/>
        <family val="2"/>
        <scheme val="minor"/>
      </rPr>
      <t>. The continued volatility of these clients will need targeted intervention to prevent further margin erosion.</t>
    </r>
  </si>
  <si>
    <r>
      <t xml:space="preserve">Looking at the </t>
    </r>
    <r>
      <rPr>
        <b/>
        <sz val="11"/>
        <color theme="1"/>
        <rFont val="Aptos Narrow"/>
        <family val="2"/>
        <scheme val="minor"/>
      </rPr>
      <t>YTD margin performance</t>
    </r>
    <r>
      <rPr>
        <sz val="11"/>
        <color theme="1"/>
        <rFont val="Aptos Narrow"/>
        <family val="2"/>
        <scheme val="minor"/>
      </rPr>
      <t xml:space="preserve">, the strong contributions from </t>
    </r>
    <r>
      <rPr>
        <b/>
        <sz val="11"/>
        <color theme="1"/>
        <rFont val="Aptos Narrow"/>
        <family val="2"/>
        <scheme val="minor"/>
      </rPr>
      <t>Client 10</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have helped maintain year-to-date margins, but the declining performance from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poses a potential risk. Stabilizing underperforming clients will be critical to sustaining YTD profitability as the year progresses.</t>
    </r>
  </si>
  <si>
    <r>
      <t xml:space="preserve">Risk mitigation should focus on addressing the declines in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’s contributions to prevent further erosion. While </t>
    </r>
    <r>
      <rPr>
        <b/>
        <sz val="11"/>
        <color theme="1"/>
        <rFont val="Aptos Narrow"/>
        <family val="2"/>
        <scheme val="minor"/>
      </rPr>
      <t>Client 10</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have shown strong performance, over-reliance on these clients creates risk, especially if their contributions become volatile. Continuing to control operational costs while diversifying the client base will be key to mitigating these risks.</t>
    </r>
  </si>
  <si>
    <r>
      <t xml:space="preserve">In September, margin performance reflects a </t>
    </r>
    <r>
      <rPr>
        <b/>
        <sz val="11"/>
        <color theme="1"/>
        <rFont val="Aptos Narrow"/>
        <family val="2"/>
        <scheme val="minor"/>
      </rPr>
      <t>+8% improvement</t>
    </r>
    <r>
      <rPr>
        <sz val="11"/>
        <color theme="1"/>
        <rFont val="Aptos Narrow"/>
        <family val="2"/>
        <scheme val="minor"/>
      </rPr>
      <t xml:space="preserve"> from revenue recovery, equating to </t>
    </r>
    <r>
      <rPr>
        <b/>
        <sz val="11"/>
        <color theme="1"/>
        <rFont val="Aptos Narrow"/>
        <family val="2"/>
        <scheme val="minor"/>
      </rPr>
      <t>+81 K$</t>
    </r>
    <r>
      <rPr>
        <sz val="11"/>
        <color theme="1"/>
        <rFont val="Aptos Narrow"/>
        <family val="2"/>
        <scheme val="minor"/>
      </rPr>
      <t xml:space="preserve">. This revenue growth was bolstered by cost efficiencies, which contributed </t>
    </r>
    <r>
      <rPr>
        <b/>
        <sz val="11"/>
        <color theme="1"/>
        <rFont val="Aptos Narrow"/>
        <family val="2"/>
        <scheme val="minor"/>
      </rPr>
      <t>+109%</t>
    </r>
    <r>
      <rPr>
        <sz val="11"/>
        <color theme="1"/>
        <rFont val="Aptos Narrow"/>
        <family val="2"/>
        <scheme val="minor"/>
      </rPr>
      <t xml:space="preserve">, or </t>
    </r>
    <r>
      <rPr>
        <b/>
        <sz val="11"/>
        <color theme="1"/>
        <rFont val="Aptos Narrow"/>
        <family val="2"/>
        <scheme val="minor"/>
      </rPr>
      <t>+1,082 K$</t>
    </r>
    <r>
      <rPr>
        <sz val="11"/>
        <color theme="1"/>
        <rFont val="Aptos Narrow"/>
        <family val="2"/>
        <scheme val="minor"/>
      </rPr>
      <t>, to the margin. The positive revenue and strong operational cost savings have helped stabilize margins. However, continued focus on both revenue recovery and operational efficiency will be necessary to sustain this momentum.</t>
    </r>
  </si>
  <si>
    <r>
      <t xml:space="preserve">At the client level, </t>
    </r>
    <r>
      <rPr>
        <b/>
        <sz val="11"/>
        <color theme="1"/>
        <rFont val="Aptos Narrow"/>
        <family val="2"/>
        <scheme val="minor"/>
      </rPr>
      <t>Client 6</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were the top contributors, with </t>
    </r>
    <r>
      <rPr>
        <b/>
        <sz val="11"/>
        <color theme="1"/>
        <rFont val="Aptos Narrow"/>
        <family val="2"/>
        <scheme val="minor"/>
      </rPr>
      <t>Client 6</t>
    </r>
    <r>
      <rPr>
        <sz val="11"/>
        <color theme="1"/>
        <rFont val="Aptos Narrow"/>
        <family val="2"/>
        <scheme val="minor"/>
      </rPr>
      <t xml:space="preserve"> contributing </t>
    </r>
    <r>
      <rPr>
        <b/>
        <sz val="11"/>
        <color theme="1"/>
        <rFont val="Aptos Narrow"/>
        <family val="2"/>
        <scheme val="minor"/>
      </rPr>
      <t>40%</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adding </t>
    </r>
    <r>
      <rPr>
        <b/>
        <sz val="11"/>
        <color theme="1"/>
        <rFont val="Aptos Narrow"/>
        <family val="2"/>
        <scheme val="minor"/>
      </rPr>
      <t>35%</t>
    </r>
    <r>
      <rPr>
        <sz val="11"/>
        <color theme="1"/>
        <rFont val="Aptos Narrow"/>
        <family val="2"/>
        <scheme val="minor"/>
      </rPr>
      <t xml:space="preserve">. These clients provided substantial support to margin growth, offsetting weaker contributions from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who contributed </t>
    </r>
    <r>
      <rPr>
        <b/>
        <sz val="11"/>
        <color theme="1"/>
        <rFont val="Aptos Narrow"/>
        <family val="2"/>
        <scheme val="minor"/>
      </rPr>
      <t>7%</t>
    </r>
    <r>
      <rPr>
        <sz val="11"/>
        <color theme="1"/>
        <rFont val="Aptos Narrow"/>
        <family val="2"/>
        <scheme val="minor"/>
      </rPr>
      <t xml:space="preserve"> and </t>
    </r>
    <r>
      <rPr>
        <b/>
        <sz val="11"/>
        <color theme="1"/>
        <rFont val="Aptos Narrow"/>
        <family val="2"/>
        <scheme val="minor"/>
      </rPr>
      <t>38%</t>
    </r>
    <r>
      <rPr>
        <sz val="11"/>
        <color theme="1"/>
        <rFont val="Aptos Narrow"/>
        <family val="2"/>
        <scheme val="minor"/>
      </rPr>
      <t>, respectively.</t>
    </r>
  </si>
  <si>
    <r>
      <t>Client 6</t>
    </r>
    <r>
      <rPr>
        <sz val="11"/>
        <color theme="1"/>
        <rFont val="Aptos Narrow"/>
        <family val="2"/>
        <scheme val="minor"/>
      </rPr>
      <t xml:space="preserve"> showed the most significant improvement, increasing by </t>
    </r>
    <r>
      <rPr>
        <b/>
        <sz val="11"/>
        <color theme="1"/>
        <rFont val="Aptos Narrow"/>
        <family val="2"/>
        <scheme val="minor"/>
      </rPr>
      <t>+6 percentage points</t>
    </r>
    <r>
      <rPr>
        <sz val="11"/>
        <color theme="1"/>
        <rFont val="Aptos Narrow"/>
        <family val="2"/>
        <scheme val="minor"/>
      </rPr>
      <t xml:space="preserve">, while </t>
    </r>
    <r>
      <rPr>
        <b/>
        <sz val="11"/>
        <color theme="1"/>
        <rFont val="Aptos Narrow"/>
        <family val="2"/>
        <scheme val="minor"/>
      </rPr>
      <t>Client 10</t>
    </r>
    <r>
      <rPr>
        <sz val="11"/>
        <color theme="1"/>
        <rFont val="Aptos Narrow"/>
        <family val="2"/>
        <scheme val="minor"/>
      </rPr>
      <t xml:space="preserve"> remained stable with </t>
    </r>
    <r>
      <rPr>
        <b/>
        <sz val="11"/>
        <color theme="1"/>
        <rFont val="Aptos Narrow"/>
        <family val="2"/>
        <scheme val="minor"/>
      </rPr>
      <t>+0 percentage points</t>
    </r>
    <r>
      <rPr>
        <sz val="11"/>
        <color theme="1"/>
        <rFont val="Aptos Narrow"/>
        <family val="2"/>
        <scheme val="minor"/>
      </rPr>
      <t xml:space="preserve">. </t>
    </r>
    <r>
      <rPr>
        <b/>
        <sz val="11"/>
        <color theme="1"/>
        <rFont val="Aptos Narrow"/>
        <family val="2"/>
        <scheme val="minor"/>
      </rPr>
      <t>Client 1</t>
    </r>
    <r>
      <rPr>
        <sz val="11"/>
        <color theme="1"/>
        <rFont val="Aptos Narrow"/>
        <family val="2"/>
        <scheme val="minor"/>
      </rPr>
      <t xml:space="preserve"> showed a modest improvement of </t>
    </r>
    <r>
      <rPr>
        <b/>
        <sz val="11"/>
        <color theme="1"/>
        <rFont val="Aptos Narrow"/>
        <family val="2"/>
        <scheme val="minor"/>
      </rPr>
      <t>+5 percentage points</t>
    </r>
    <r>
      <rPr>
        <sz val="11"/>
        <color theme="1"/>
        <rFont val="Aptos Narrow"/>
        <family val="2"/>
        <scheme val="minor"/>
      </rPr>
      <t xml:space="preserve">, but </t>
    </r>
    <r>
      <rPr>
        <b/>
        <sz val="11"/>
        <color theme="1"/>
        <rFont val="Aptos Narrow"/>
        <family val="2"/>
        <scheme val="minor"/>
      </rPr>
      <t>Client 5</t>
    </r>
    <r>
      <rPr>
        <sz val="11"/>
        <color theme="1"/>
        <rFont val="Aptos Narrow"/>
        <family val="2"/>
        <scheme val="minor"/>
      </rPr>
      <t xml:space="preserve"> saw a slight decline of </t>
    </r>
    <r>
      <rPr>
        <b/>
        <sz val="11"/>
        <color theme="1"/>
        <rFont val="Aptos Narrow"/>
        <family val="2"/>
        <scheme val="minor"/>
      </rPr>
      <t>-2 percentage points</t>
    </r>
    <r>
      <rPr>
        <sz val="11"/>
        <color theme="1"/>
        <rFont val="Aptos Narrow"/>
        <family val="2"/>
        <scheme val="minor"/>
      </rPr>
      <t xml:space="preserve">. Addressing the volatility of </t>
    </r>
    <r>
      <rPr>
        <b/>
        <sz val="11"/>
        <color theme="1"/>
        <rFont val="Aptos Narrow"/>
        <family val="2"/>
        <scheme val="minor"/>
      </rPr>
      <t>Client 5</t>
    </r>
    <r>
      <rPr>
        <sz val="11"/>
        <color theme="1"/>
        <rFont val="Aptos Narrow"/>
        <family val="2"/>
        <scheme val="minor"/>
      </rPr>
      <t xml:space="preserve"> will be important for maintaining margin stability.</t>
    </r>
  </si>
  <si>
    <r>
      <t xml:space="preserve">Looking at the </t>
    </r>
    <r>
      <rPr>
        <b/>
        <sz val="11"/>
        <color theme="1"/>
        <rFont val="Aptos Narrow"/>
        <family val="2"/>
        <scheme val="minor"/>
      </rPr>
      <t>YTD margin performance</t>
    </r>
    <r>
      <rPr>
        <sz val="11"/>
        <color theme="1"/>
        <rFont val="Aptos Narrow"/>
        <family val="2"/>
        <scheme val="minor"/>
      </rPr>
      <t xml:space="preserve">, the contributions from </t>
    </r>
    <r>
      <rPr>
        <b/>
        <sz val="11"/>
        <color theme="1"/>
        <rFont val="Aptos Narrow"/>
        <family val="2"/>
        <scheme val="minor"/>
      </rPr>
      <t>Client 6</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have helped lift overall year-to-date margins. However, </t>
    </r>
    <r>
      <rPr>
        <b/>
        <sz val="11"/>
        <color theme="1"/>
        <rFont val="Aptos Narrow"/>
        <family val="2"/>
        <scheme val="minor"/>
      </rPr>
      <t>Client 5’s</t>
    </r>
    <r>
      <rPr>
        <sz val="11"/>
        <color theme="1"/>
        <rFont val="Aptos Narrow"/>
        <family val="2"/>
        <scheme val="minor"/>
      </rPr>
      <t xml:space="preserve"> performance remains inconsistent, and stabilizing its contribution will be essential to protect YTD profitability.</t>
    </r>
  </si>
  <si>
    <r>
      <t xml:space="preserve">To mitigate risks, efforts should focus on stabilizing </t>
    </r>
    <r>
      <rPr>
        <b/>
        <sz val="11"/>
        <color theme="1"/>
        <rFont val="Aptos Narrow"/>
        <family val="2"/>
        <scheme val="minor"/>
      </rPr>
      <t>Client 5</t>
    </r>
    <r>
      <rPr>
        <sz val="11"/>
        <color theme="1"/>
        <rFont val="Aptos Narrow"/>
        <family val="2"/>
        <scheme val="minor"/>
      </rPr>
      <t xml:space="preserve">’s performance and ensuring that </t>
    </r>
    <r>
      <rPr>
        <b/>
        <sz val="11"/>
        <color theme="1"/>
        <rFont val="Aptos Narrow"/>
        <family val="2"/>
        <scheme val="minor"/>
      </rPr>
      <t>Client 1</t>
    </r>
    <r>
      <rPr>
        <sz val="11"/>
        <color theme="1"/>
        <rFont val="Aptos Narrow"/>
        <family val="2"/>
        <scheme val="minor"/>
      </rPr>
      <t xml:space="preserve"> continues its gradual recovery. </t>
    </r>
    <r>
      <rPr>
        <b/>
        <sz val="11"/>
        <color theme="1"/>
        <rFont val="Aptos Narrow"/>
        <family val="2"/>
        <scheme val="minor"/>
      </rPr>
      <t>Client 6</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have provided strong support, but relying too heavily on these clients could expose the company to volatility if their contributions falter. Operational efficiency must remain a priority to cushion against any future revenue fluctuations.</t>
    </r>
  </si>
  <si>
    <r>
      <t xml:space="preserve">In October, margin performance reflects a </t>
    </r>
    <r>
      <rPr>
        <b/>
        <sz val="11"/>
        <color theme="1"/>
        <rFont val="Aptos Narrow"/>
        <family val="2"/>
        <scheme val="minor"/>
      </rPr>
      <t>-4% impact</t>
    </r>
    <r>
      <rPr>
        <sz val="11"/>
        <color theme="1"/>
        <rFont val="Aptos Narrow"/>
        <family val="2"/>
        <scheme val="minor"/>
      </rPr>
      <t xml:space="preserve"> from a slight decline in revenue, equating to </t>
    </r>
    <r>
      <rPr>
        <b/>
        <sz val="11"/>
        <color theme="1"/>
        <rFont val="Aptos Narrow"/>
        <family val="2"/>
        <scheme val="minor"/>
      </rPr>
      <t>-38 K$</t>
    </r>
    <r>
      <rPr>
        <sz val="11"/>
        <color theme="1"/>
        <rFont val="Aptos Narrow"/>
        <family val="2"/>
        <scheme val="minor"/>
      </rPr>
      <t xml:space="preserve">. This was partially mitigated by cost efficiencies, which contributed </t>
    </r>
    <r>
      <rPr>
        <b/>
        <sz val="11"/>
        <color theme="1"/>
        <rFont val="Aptos Narrow"/>
        <family val="2"/>
        <scheme val="minor"/>
      </rPr>
      <t>+26%</t>
    </r>
    <r>
      <rPr>
        <sz val="11"/>
        <color theme="1"/>
        <rFont val="Aptos Narrow"/>
        <family val="2"/>
        <scheme val="minor"/>
      </rPr>
      <t xml:space="preserve">, or </t>
    </r>
    <r>
      <rPr>
        <b/>
        <sz val="11"/>
        <color theme="1"/>
        <rFont val="Aptos Narrow"/>
        <family val="2"/>
        <scheme val="minor"/>
      </rPr>
      <t>+255 K$</t>
    </r>
    <r>
      <rPr>
        <sz val="11"/>
        <color theme="1"/>
        <rFont val="Aptos Narrow"/>
        <family val="2"/>
        <scheme val="minor"/>
      </rPr>
      <t>, to the margin. While the revenue drop is minimal, the cost savings played an important role in limiting the margin decline. Moving forward, attention to both revenue recovery and maintaining cost control will be key to sustaining profitability.</t>
    </r>
  </si>
  <si>
    <r>
      <t xml:space="preserve">At the client level,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4</t>
    </r>
    <r>
      <rPr>
        <sz val="11"/>
        <color theme="1"/>
        <rFont val="Aptos Narrow"/>
        <family val="2"/>
        <scheme val="minor"/>
      </rPr>
      <t xml:space="preserve"> were the top contributors, with </t>
    </r>
    <r>
      <rPr>
        <b/>
        <sz val="11"/>
        <color theme="1"/>
        <rFont val="Aptos Narrow"/>
        <family val="2"/>
        <scheme val="minor"/>
      </rPr>
      <t>Client 9</t>
    </r>
    <r>
      <rPr>
        <sz val="11"/>
        <color theme="1"/>
        <rFont val="Aptos Narrow"/>
        <family val="2"/>
        <scheme val="minor"/>
      </rPr>
      <t xml:space="preserve"> contributing </t>
    </r>
    <r>
      <rPr>
        <b/>
        <sz val="11"/>
        <color theme="1"/>
        <rFont val="Aptos Narrow"/>
        <family val="2"/>
        <scheme val="minor"/>
      </rPr>
      <t>31%</t>
    </r>
    <r>
      <rPr>
        <sz val="11"/>
        <color theme="1"/>
        <rFont val="Aptos Narrow"/>
        <family val="2"/>
        <scheme val="minor"/>
      </rPr>
      <t xml:space="preserve"> and </t>
    </r>
    <r>
      <rPr>
        <b/>
        <sz val="11"/>
        <color theme="1"/>
        <rFont val="Aptos Narrow"/>
        <family val="2"/>
        <scheme val="minor"/>
      </rPr>
      <t>Client 4</t>
    </r>
    <r>
      <rPr>
        <sz val="11"/>
        <color theme="1"/>
        <rFont val="Aptos Narrow"/>
        <family val="2"/>
        <scheme val="minor"/>
      </rPr>
      <t xml:space="preserve"> adding </t>
    </r>
    <r>
      <rPr>
        <b/>
        <sz val="11"/>
        <color theme="1"/>
        <rFont val="Aptos Narrow"/>
        <family val="2"/>
        <scheme val="minor"/>
      </rPr>
      <t>31%</t>
    </r>
    <r>
      <rPr>
        <sz val="11"/>
        <color theme="1"/>
        <rFont val="Aptos Narrow"/>
        <family val="2"/>
        <scheme val="minor"/>
      </rPr>
      <t xml:space="preserve"> as well. These clients helped counterbalance weaker contributions from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who contributed </t>
    </r>
    <r>
      <rPr>
        <b/>
        <sz val="11"/>
        <color theme="1"/>
        <rFont val="Aptos Narrow"/>
        <family val="2"/>
        <scheme val="minor"/>
      </rPr>
      <t>7%</t>
    </r>
    <r>
      <rPr>
        <sz val="11"/>
        <color theme="1"/>
        <rFont val="Aptos Narrow"/>
        <family val="2"/>
        <scheme val="minor"/>
      </rPr>
      <t xml:space="preserve"> and </t>
    </r>
    <r>
      <rPr>
        <b/>
        <sz val="11"/>
        <color theme="1"/>
        <rFont val="Aptos Narrow"/>
        <family val="2"/>
        <scheme val="minor"/>
      </rPr>
      <t>15%</t>
    </r>
    <r>
      <rPr>
        <sz val="11"/>
        <color theme="1"/>
        <rFont val="Aptos Narrow"/>
        <family val="2"/>
        <scheme val="minor"/>
      </rPr>
      <t>, respectively. Monitoring fluctuations in client performance will be essential for maintaining stability in margin contributions.</t>
    </r>
  </si>
  <si>
    <r>
      <t>Client 4</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both maintained strong positions, contributing </t>
    </r>
    <r>
      <rPr>
        <b/>
        <sz val="11"/>
        <color theme="1"/>
        <rFont val="Aptos Narrow"/>
        <family val="2"/>
        <scheme val="minor"/>
      </rPr>
      <t>+0 percentage points</t>
    </r>
    <r>
      <rPr>
        <sz val="11"/>
        <color theme="1"/>
        <rFont val="Aptos Narrow"/>
        <family val="2"/>
        <scheme val="minor"/>
      </rPr>
      <t xml:space="preserve"> each, while </t>
    </r>
    <r>
      <rPr>
        <b/>
        <sz val="11"/>
        <color theme="1"/>
        <rFont val="Aptos Narrow"/>
        <family val="2"/>
        <scheme val="minor"/>
      </rPr>
      <t>Client 1</t>
    </r>
    <r>
      <rPr>
        <sz val="11"/>
        <color theme="1"/>
        <rFont val="Aptos Narrow"/>
        <family val="2"/>
        <scheme val="minor"/>
      </rPr>
      <t xml:space="preserve"> improved slightly by </t>
    </r>
    <r>
      <rPr>
        <b/>
        <sz val="11"/>
        <color theme="1"/>
        <rFont val="Aptos Narrow"/>
        <family val="2"/>
        <scheme val="minor"/>
      </rPr>
      <t>+2 percentage points</t>
    </r>
    <r>
      <rPr>
        <sz val="11"/>
        <color theme="1"/>
        <rFont val="Aptos Narrow"/>
        <family val="2"/>
        <scheme val="minor"/>
      </rPr>
      <t xml:space="preserve">. However, </t>
    </r>
    <r>
      <rPr>
        <b/>
        <sz val="11"/>
        <color theme="1"/>
        <rFont val="Aptos Narrow"/>
        <family val="2"/>
        <scheme val="minor"/>
      </rPr>
      <t>Client 10</t>
    </r>
    <r>
      <rPr>
        <sz val="11"/>
        <color theme="1"/>
        <rFont val="Aptos Narrow"/>
        <family val="2"/>
        <scheme val="minor"/>
      </rPr>
      <t xml:space="preserve"> experienced a drop of </t>
    </r>
    <r>
      <rPr>
        <b/>
        <sz val="11"/>
        <color theme="1"/>
        <rFont val="Aptos Narrow"/>
        <family val="2"/>
        <scheme val="minor"/>
      </rPr>
      <t>-8 percentage points</t>
    </r>
    <r>
      <rPr>
        <sz val="11"/>
        <color theme="1"/>
        <rFont val="Aptos Narrow"/>
        <family val="2"/>
        <scheme val="minor"/>
      </rPr>
      <t>, signaling potential volatility that should be closely monitored.</t>
    </r>
  </si>
  <si>
    <r>
      <t xml:space="preserve">Looking at the </t>
    </r>
    <r>
      <rPr>
        <b/>
        <sz val="11"/>
        <color theme="1"/>
        <rFont val="Aptos Narrow"/>
        <family val="2"/>
        <scheme val="minor"/>
      </rPr>
      <t>YTD margin performance</t>
    </r>
    <r>
      <rPr>
        <sz val="11"/>
        <color theme="1"/>
        <rFont val="Aptos Narrow"/>
        <family val="2"/>
        <scheme val="minor"/>
      </rPr>
      <t xml:space="preserve">, contributions from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4</t>
    </r>
    <r>
      <rPr>
        <sz val="11"/>
        <color theme="1"/>
        <rFont val="Aptos Narrow"/>
        <family val="2"/>
        <scheme val="minor"/>
      </rPr>
      <t xml:space="preserve"> have provided consistent support to year-to-date margins. However, the decline in </t>
    </r>
    <r>
      <rPr>
        <b/>
        <sz val="11"/>
        <color theme="1"/>
        <rFont val="Aptos Narrow"/>
        <family val="2"/>
        <scheme val="minor"/>
      </rPr>
      <t>Client 10</t>
    </r>
    <r>
      <rPr>
        <sz val="11"/>
        <color theme="1"/>
        <rFont val="Aptos Narrow"/>
        <family val="2"/>
        <scheme val="minor"/>
      </rPr>
      <t xml:space="preserve">’s performance poses a risk to overall profitability. Stabilizing underperforming clients, such as </t>
    </r>
    <r>
      <rPr>
        <b/>
        <sz val="11"/>
        <color theme="1"/>
        <rFont val="Aptos Narrow"/>
        <family val="2"/>
        <scheme val="minor"/>
      </rPr>
      <t>Client 1</t>
    </r>
    <r>
      <rPr>
        <sz val="11"/>
        <color theme="1"/>
        <rFont val="Aptos Narrow"/>
        <family val="2"/>
        <scheme val="minor"/>
      </rPr>
      <t>, will be necessary to maintain YTD margin growth.</t>
    </r>
  </si>
  <si>
    <r>
      <t xml:space="preserve">To mitigate risks, focus should be placed on stabilizing the contributions of </t>
    </r>
    <r>
      <rPr>
        <b/>
        <sz val="11"/>
        <color theme="1"/>
        <rFont val="Aptos Narrow"/>
        <family val="2"/>
        <scheme val="minor"/>
      </rPr>
      <t>Client 10</t>
    </r>
    <r>
      <rPr>
        <sz val="11"/>
        <color theme="1"/>
        <rFont val="Aptos Narrow"/>
        <family val="2"/>
        <scheme val="minor"/>
      </rPr>
      <t xml:space="preserve"> and ensuring </t>
    </r>
    <r>
      <rPr>
        <b/>
        <sz val="11"/>
        <color theme="1"/>
        <rFont val="Aptos Narrow"/>
        <family val="2"/>
        <scheme val="minor"/>
      </rPr>
      <t>Client 1</t>
    </r>
    <r>
      <rPr>
        <sz val="11"/>
        <color theme="1"/>
        <rFont val="Aptos Narrow"/>
        <family val="2"/>
        <scheme val="minor"/>
      </rPr>
      <t xml:space="preserve"> continues its recovery. The strong performances of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4</t>
    </r>
    <r>
      <rPr>
        <sz val="11"/>
        <color theme="1"/>
        <rFont val="Aptos Narrow"/>
        <family val="2"/>
        <scheme val="minor"/>
      </rPr>
      <t xml:space="preserve"> should be leveraged to support margin growth, but over-reliance on these clients could create long-term risks. Continued attention to operational efficiencies will help protect margins in the event of further revenue declines.</t>
    </r>
  </si>
  <si>
    <r>
      <t xml:space="preserve">In November, margin performance reflects a </t>
    </r>
    <r>
      <rPr>
        <b/>
        <sz val="11"/>
        <color theme="1"/>
        <rFont val="Aptos Narrow"/>
        <family val="2"/>
        <scheme val="minor"/>
      </rPr>
      <t>-2% impact</t>
    </r>
    <r>
      <rPr>
        <sz val="11"/>
        <color theme="1"/>
        <rFont val="Aptos Narrow"/>
        <family val="2"/>
        <scheme val="minor"/>
      </rPr>
      <t xml:space="preserve"> from a slight decline in revenue, equating to </t>
    </r>
    <r>
      <rPr>
        <b/>
        <sz val="11"/>
        <color theme="1"/>
        <rFont val="Aptos Narrow"/>
        <family val="2"/>
        <scheme val="minor"/>
      </rPr>
      <t>-19 K$</t>
    </r>
    <r>
      <rPr>
        <sz val="11"/>
        <color theme="1"/>
        <rFont val="Aptos Narrow"/>
        <family val="2"/>
        <scheme val="minor"/>
      </rPr>
      <t xml:space="preserve">. This revenue impact was largely offset by cost efficiencies, which contributed </t>
    </r>
    <r>
      <rPr>
        <b/>
        <sz val="11"/>
        <color theme="1"/>
        <rFont val="Aptos Narrow"/>
        <family val="2"/>
        <scheme val="minor"/>
      </rPr>
      <t>+22%</t>
    </r>
    <r>
      <rPr>
        <sz val="11"/>
        <color theme="1"/>
        <rFont val="Aptos Narrow"/>
        <family val="2"/>
        <scheme val="minor"/>
      </rPr>
      <t xml:space="preserve">, or </t>
    </r>
    <r>
      <rPr>
        <b/>
        <sz val="11"/>
        <color theme="1"/>
        <rFont val="Aptos Narrow"/>
        <family val="2"/>
        <scheme val="minor"/>
      </rPr>
      <t>+220 K$</t>
    </r>
    <r>
      <rPr>
        <sz val="11"/>
        <color theme="1"/>
        <rFont val="Aptos Narrow"/>
        <family val="2"/>
        <scheme val="minor"/>
      </rPr>
      <t>, to the margin. While the revenue dip was minimal, the cost management efforts helped limit the overall impact on margins. Maintaining a balance between revenue growth and cost control will be crucial as the year-end approaches.</t>
    </r>
  </si>
  <si>
    <r>
      <t xml:space="preserve">At the client level,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were the top contributors, with </t>
    </r>
    <r>
      <rPr>
        <b/>
        <sz val="11"/>
        <color theme="1"/>
        <rFont val="Aptos Narrow"/>
        <family val="2"/>
        <scheme val="minor"/>
      </rPr>
      <t>Client 1</t>
    </r>
    <r>
      <rPr>
        <sz val="11"/>
        <color theme="1"/>
        <rFont val="Aptos Narrow"/>
        <family val="2"/>
        <scheme val="minor"/>
      </rPr>
      <t xml:space="preserve"> contributing </t>
    </r>
    <r>
      <rPr>
        <b/>
        <sz val="11"/>
        <color theme="1"/>
        <rFont val="Aptos Narrow"/>
        <family val="2"/>
        <scheme val="minor"/>
      </rPr>
      <t>31%</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adding </t>
    </r>
    <r>
      <rPr>
        <b/>
        <sz val="11"/>
        <color theme="1"/>
        <rFont val="Aptos Narrow"/>
        <family val="2"/>
        <scheme val="minor"/>
      </rPr>
      <t>25%</t>
    </r>
    <r>
      <rPr>
        <sz val="11"/>
        <color theme="1"/>
        <rFont val="Aptos Narrow"/>
        <family val="2"/>
        <scheme val="minor"/>
      </rPr>
      <t xml:space="preserve">. These contributions were vital in mitigating weaker performances from </t>
    </r>
    <r>
      <rPr>
        <b/>
        <sz val="11"/>
        <color theme="1"/>
        <rFont val="Aptos Narrow"/>
        <family val="2"/>
        <scheme val="minor"/>
      </rPr>
      <t>Client 10</t>
    </r>
    <r>
      <rPr>
        <sz val="11"/>
        <color theme="1"/>
        <rFont val="Aptos Narrow"/>
        <family val="2"/>
        <scheme val="minor"/>
      </rPr>
      <t xml:space="preserve"> (40%) and </t>
    </r>
    <r>
      <rPr>
        <b/>
        <sz val="11"/>
        <color theme="1"/>
        <rFont val="Aptos Narrow"/>
        <family val="2"/>
        <scheme val="minor"/>
      </rPr>
      <t>Client 9</t>
    </r>
    <r>
      <rPr>
        <sz val="11"/>
        <color theme="1"/>
        <rFont val="Aptos Narrow"/>
        <family val="2"/>
        <scheme val="minor"/>
      </rPr>
      <t xml:space="preserve"> (17%).</t>
    </r>
  </si>
  <si>
    <r>
      <t>Client 1</t>
    </r>
    <r>
      <rPr>
        <sz val="11"/>
        <color theme="1"/>
        <rFont val="Aptos Narrow"/>
        <family val="2"/>
        <scheme val="minor"/>
      </rPr>
      <t xml:space="preserve"> showed a significant improvement, contributing </t>
    </r>
    <r>
      <rPr>
        <b/>
        <sz val="11"/>
        <color theme="1"/>
        <rFont val="Aptos Narrow"/>
        <family val="2"/>
        <scheme val="minor"/>
      </rPr>
      <t>+20 percentage points</t>
    </r>
    <r>
      <rPr>
        <sz val="11"/>
        <color theme="1"/>
        <rFont val="Aptos Narrow"/>
        <family val="2"/>
        <scheme val="minor"/>
      </rPr>
      <t xml:space="preserve">, while </t>
    </r>
    <r>
      <rPr>
        <b/>
        <sz val="11"/>
        <color theme="1"/>
        <rFont val="Aptos Narrow"/>
        <family val="2"/>
        <scheme val="minor"/>
      </rPr>
      <t>Client 7</t>
    </r>
    <r>
      <rPr>
        <sz val="11"/>
        <color theme="1"/>
        <rFont val="Aptos Narrow"/>
        <family val="2"/>
        <scheme val="minor"/>
      </rPr>
      <t xml:space="preserve"> improved by </t>
    </r>
    <r>
      <rPr>
        <b/>
        <sz val="11"/>
        <color theme="1"/>
        <rFont val="Aptos Narrow"/>
        <family val="2"/>
        <scheme val="minor"/>
      </rPr>
      <t>+10 percentage points</t>
    </r>
    <r>
      <rPr>
        <sz val="11"/>
        <color theme="1"/>
        <rFont val="Aptos Narrow"/>
        <family val="2"/>
        <scheme val="minor"/>
      </rPr>
      <t xml:space="preserve">. However, </t>
    </r>
    <r>
      <rPr>
        <b/>
        <sz val="11"/>
        <color theme="1"/>
        <rFont val="Aptos Narrow"/>
        <family val="2"/>
        <scheme val="minor"/>
      </rPr>
      <t>Client 10</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both experienced minor declines, with </t>
    </r>
    <r>
      <rPr>
        <b/>
        <sz val="11"/>
        <color theme="1"/>
        <rFont val="Aptos Narrow"/>
        <family val="2"/>
        <scheme val="minor"/>
      </rPr>
      <t>Client 10</t>
    </r>
    <r>
      <rPr>
        <sz val="11"/>
        <color theme="1"/>
        <rFont val="Aptos Narrow"/>
        <family val="2"/>
        <scheme val="minor"/>
      </rPr>
      <t xml:space="preserve"> dropping by </t>
    </r>
    <r>
      <rPr>
        <b/>
        <sz val="11"/>
        <color theme="1"/>
        <rFont val="Aptos Narrow"/>
        <family val="2"/>
        <scheme val="minor"/>
      </rPr>
      <t>-3 percentage points</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by </t>
    </r>
    <r>
      <rPr>
        <b/>
        <sz val="11"/>
        <color theme="1"/>
        <rFont val="Aptos Narrow"/>
        <family val="2"/>
        <scheme val="minor"/>
      </rPr>
      <t>-2 percentage points</t>
    </r>
    <r>
      <rPr>
        <sz val="11"/>
        <color theme="1"/>
        <rFont val="Aptos Narrow"/>
        <family val="2"/>
        <scheme val="minor"/>
      </rPr>
      <t>. These fluctuations should be closely monitored to ensure stable margins moving forward.</t>
    </r>
  </si>
  <si>
    <r>
      <t xml:space="preserve">Looking at the </t>
    </r>
    <r>
      <rPr>
        <b/>
        <sz val="11"/>
        <color theme="1"/>
        <rFont val="Aptos Narrow"/>
        <family val="2"/>
        <scheme val="minor"/>
      </rPr>
      <t>YTD margin performance</t>
    </r>
    <r>
      <rPr>
        <sz val="11"/>
        <color theme="1"/>
        <rFont val="Aptos Narrow"/>
        <family val="2"/>
        <scheme val="minor"/>
      </rPr>
      <t xml:space="preserve">, the strong recovery from </t>
    </r>
    <r>
      <rPr>
        <b/>
        <sz val="11"/>
        <color theme="1"/>
        <rFont val="Aptos Narrow"/>
        <family val="2"/>
        <scheme val="minor"/>
      </rPr>
      <t>Client 1</t>
    </r>
    <r>
      <rPr>
        <sz val="11"/>
        <color theme="1"/>
        <rFont val="Aptos Narrow"/>
        <family val="2"/>
        <scheme val="minor"/>
      </rPr>
      <t xml:space="preserve"> and consistent performance from </t>
    </r>
    <r>
      <rPr>
        <b/>
        <sz val="11"/>
        <color theme="1"/>
        <rFont val="Aptos Narrow"/>
        <family val="2"/>
        <scheme val="minor"/>
      </rPr>
      <t>Client 7</t>
    </r>
    <r>
      <rPr>
        <sz val="11"/>
        <color theme="1"/>
        <rFont val="Aptos Narrow"/>
        <family val="2"/>
        <scheme val="minor"/>
      </rPr>
      <t xml:space="preserve"> have helped support year-to-date margins. However, the volatility seen in </t>
    </r>
    <r>
      <rPr>
        <b/>
        <sz val="11"/>
        <color theme="1"/>
        <rFont val="Aptos Narrow"/>
        <family val="2"/>
        <scheme val="minor"/>
      </rPr>
      <t>Client 10</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could pose risks to year-end profitability if not addressed.</t>
    </r>
  </si>
  <si>
    <r>
      <t xml:space="preserve">To mitigate risks, efforts should be directed toward stabilizing </t>
    </r>
    <r>
      <rPr>
        <b/>
        <sz val="11"/>
        <color theme="1"/>
        <rFont val="Aptos Narrow"/>
        <family val="2"/>
        <scheme val="minor"/>
      </rPr>
      <t>Client 10</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’s contributions. The improvements in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should be leveraged to maintain margin growth, but over-reliance on these clients could create vulnerability. Continuing to prioritize cost efficiency will be key in protecting margins in the face of potential revenue fluctuations.</t>
    </r>
  </si>
  <si>
    <r>
      <t xml:space="preserve">In December, margin performance reflects a </t>
    </r>
    <r>
      <rPr>
        <b/>
        <sz val="11"/>
        <color theme="1"/>
        <rFont val="Aptos Narrow"/>
        <family val="2"/>
        <scheme val="minor"/>
      </rPr>
      <t>-12% impact</t>
    </r>
    <r>
      <rPr>
        <sz val="11"/>
        <color theme="1"/>
        <rFont val="Aptos Narrow"/>
        <family val="2"/>
        <scheme val="minor"/>
      </rPr>
      <t xml:space="preserve"> from a decline in revenue, equating to </t>
    </r>
    <r>
      <rPr>
        <b/>
        <sz val="11"/>
        <color theme="1"/>
        <rFont val="Aptos Narrow"/>
        <family val="2"/>
        <scheme val="minor"/>
      </rPr>
      <t>-118 K$</t>
    </r>
    <r>
      <rPr>
        <sz val="11"/>
        <color theme="1"/>
        <rFont val="Aptos Narrow"/>
        <family val="2"/>
        <scheme val="minor"/>
      </rPr>
      <t xml:space="preserve">. This revenue decline was partially offset by cost efficiencies, which contributed </t>
    </r>
    <r>
      <rPr>
        <b/>
        <sz val="11"/>
        <color theme="1"/>
        <rFont val="Aptos Narrow"/>
        <family val="2"/>
        <scheme val="minor"/>
      </rPr>
      <t>+40%</t>
    </r>
    <r>
      <rPr>
        <sz val="11"/>
        <color theme="1"/>
        <rFont val="Aptos Narrow"/>
        <family val="2"/>
        <scheme val="minor"/>
      </rPr>
      <t xml:space="preserve">, or </t>
    </r>
    <r>
      <rPr>
        <b/>
        <sz val="11"/>
        <color theme="1"/>
        <rFont val="Aptos Narrow"/>
        <family val="2"/>
        <scheme val="minor"/>
      </rPr>
      <t>+393 K$</t>
    </r>
    <r>
      <rPr>
        <sz val="11"/>
        <color theme="1"/>
        <rFont val="Aptos Narrow"/>
        <family val="2"/>
        <scheme val="minor"/>
      </rPr>
      <t>, to the margin. While the revenue drop created pressure, the strong focus on operational efficiency helped protect margins. Moving forward, both revenue growth and maintaining cost controls will be essential for future profitability.</t>
    </r>
  </si>
  <si>
    <r>
      <t xml:space="preserve">At the client level,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8</t>
    </r>
    <r>
      <rPr>
        <sz val="11"/>
        <color theme="1"/>
        <rFont val="Aptos Narrow"/>
        <family val="2"/>
        <scheme val="minor"/>
      </rPr>
      <t xml:space="preserve"> were the top contributors, with </t>
    </r>
    <r>
      <rPr>
        <b/>
        <sz val="11"/>
        <color theme="1"/>
        <rFont val="Aptos Narrow"/>
        <family val="2"/>
        <scheme val="minor"/>
      </rPr>
      <t>Client 9</t>
    </r>
    <r>
      <rPr>
        <sz val="11"/>
        <color theme="1"/>
        <rFont val="Aptos Narrow"/>
        <family val="2"/>
        <scheme val="minor"/>
      </rPr>
      <t xml:space="preserve"> contributing </t>
    </r>
    <r>
      <rPr>
        <b/>
        <sz val="11"/>
        <color theme="1"/>
        <rFont val="Aptos Narrow"/>
        <family val="2"/>
        <scheme val="minor"/>
      </rPr>
      <t>31%</t>
    </r>
    <r>
      <rPr>
        <sz val="11"/>
        <color theme="1"/>
        <rFont val="Aptos Narrow"/>
        <family val="2"/>
        <scheme val="minor"/>
      </rPr>
      <t xml:space="preserve"> and </t>
    </r>
    <r>
      <rPr>
        <b/>
        <sz val="11"/>
        <color theme="1"/>
        <rFont val="Aptos Narrow"/>
        <family val="2"/>
        <scheme val="minor"/>
      </rPr>
      <t>Client 8</t>
    </r>
    <r>
      <rPr>
        <sz val="11"/>
        <color theme="1"/>
        <rFont val="Aptos Narrow"/>
        <family val="2"/>
        <scheme val="minor"/>
      </rPr>
      <t xml:space="preserve"> adding </t>
    </r>
    <r>
      <rPr>
        <b/>
        <sz val="11"/>
        <color theme="1"/>
        <rFont val="Aptos Narrow"/>
        <family val="2"/>
        <scheme val="minor"/>
      </rPr>
      <t>42%</t>
    </r>
    <r>
      <rPr>
        <sz val="11"/>
        <color theme="1"/>
        <rFont val="Aptos Narrow"/>
        <family val="2"/>
        <scheme val="minor"/>
      </rPr>
      <t xml:space="preserve">. These clients provided crucial support in offsetting weaker contributions from </t>
    </r>
    <r>
      <rPr>
        <b/>
        <sz val="11"/>
        <color theme="1"/>
        <rFont val="Aptos Narrow"/>
        <family val="2"/>
        <scheme val="minor"/>
      </rPr>
      <t>Client 10</t>
    </r>
    <r>
      <rPr>
        <sz val="11"/>
        <color theme="1"/>
        <rFont val="Aptos Narrow"/>
        <family val="2"/>
        <scheme val="minor"/>
      </rPr>
      <t xml:space="preserve"> (24%) and </t>
    </r>
    <r>
      <rPr>
        <b/>
        <sz val="11"/>
        <color theme="1"/>
        <rFont val="Aptos Narrow"/>
        <family val="2"/>
        <scheme val="minor"/>
      </rPr>
      <t>Client 7</t>
    </r>
    <r>
      <rPr>
        <sz val="11"/>
        <color theme="1"/>
        <rFont val="Aptos Narrow"/>
        <family val="2"/>
        <scheme val="minor"/>
      </rPr>
      <t xml:space="preserve"> (15%).</t>
    </r>
  </si>
  <si>
    <r>
      <t>Client 8</t>
    </r>
    <r>
      <rPr>
        <sz val="11"/>
        <color theme="1"/>
        <rFont val="Aptos Narrow"/>
        <family val="2"/>
        <scheme val="minor"/>
      </rPr>
      <t xml:space="preserve"> showed the largest improvement, contributing </t>
    </r>
    <r>
      <rPr>
        <b/>
        <sz val="11"/>
        <color theme="1"/>
        <rFont val="Aptos Narrow"/>
        <family val="2"/>
        <scheme val="minor"/>
      </rPr>
      <t>+12 percentage points</t>
    </r>
    <r>
      <rPr>
        <sz val="11"/>
        <color theme="1"/>
        <rFont val="Aptos Narrow"/>
        <family val="2"/>
        <scheme val="minor"/>
      </rPr>
      <t xml:space="preserve">, while </t>
    </r>
    <r>
      <rPr>
        <b/>
        <sz val="11"/>
        <color theme="1"/>
        <rFont val="Aptos Narrow"/>
        <family val="2"/>
        <scheme val="minor"/>
      </rPr>
      <t>Client 9</t>
    </r>
    <r>
      <rPr>
        <sz val="11"/>
        <color theme="1"/>
        <rFont val="Aptos Narrow"/>
        <family val="2"/>
        <scheme val="minor"/>
      </rPr>
      <t xml:space="preserve"> remained steady with </t>
    </r>
    <r>
      <rPr>
        <b/>
        <sz val="11"/>
        <color theme="1"/>
        <rFont val="Aptos Narrow"/>
        <family val="2"/>
        <scheme val="minor"/>
      </rPr>
      <t>+0 percentage points</t>
    </r>
    <r>
      <rPr>
        <sz val="11"/>
        <color theme="1"/>
        <rFont val="Aptos Narrow"/>
        <family val="2"/>
        <scheme val="minor"/>
      </rPr>
      <t xml:space="preserve">. </t>
    </r>
    <r>
      <rPr>
        <b/>
        <sz val="11"/>
        <color theme="1"/>
        <rFont val="Aptos Narrow"/>
        <family val="2"/>
        <scheme val="minor"/>
      </rPr>
      <t>Client 10</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both saw declines, with </t>
    </r>
    <r>
      <rPr>
        <b/>
        <sz val="11"/>
        <color theme="1"/>
        <rFont val="Aptos Narrow"/>
        <family val="2"/>
        <scheme val="minor"/>
      </rPr>
      <t>Client 10</t>
    </r>
    <r>
      <rPr>
        <sz val="11"/>
        <color theme="1"/>
        <rFont val="Aptos Narrow"/>
        <family val="2"/>
        <scheme val="minor"/>
      </rPr>
      <t xml:space="preserve"> dropping by </t>
    </r>
    <r>
      <rPr>
        <b/>
        <sz val="11"/>
        <color theme="1"/>
        <rFont val="Aptos Narrow"/>
        <family val="2"/>
        <scheme val="minor"/>
      </rPr>
      <t>-6 percentage points</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by </t>
    </r>
    <r>
      <rPr>
        <b/>
        <sz val="11"/>
        <color theme="1"/>
        <rFont val="Aptos Narrow"/>
        <family val="2"/>
        <scheme val="minor"/>
      </rPr>
      <t>-10 percentage points</t>
    </r>
    <r>
      <rPr>
        <sz val="11"/>
        <color theme="1"/>
        <rFont val="Aptos Narrow"/>
        <family val="2"/>
        <scheme val="minor"/>
      </rPr>
      <t>. These declines will require closer attention as we move into the new year.</t>
    </r>
  </si>
  <si>
    <r>
      <t xml:space="preserve">Looking at the </t>
    </r>
    <r>
      <rPr>
        <b/>
        <sz val="11"/>
        <color theme="1"/>
        <rFont val="Aptos Narrow"/>
        <family val="2"/>
        <scheme val="minor"/>
      </rPr>
      <t>YTD margin performance</t>
    </r>
    <r>
      <rPr>
        <sz val="11"/>
        <color theme="1"/>
        <rFont val="Aptos Narrow"/>
        <family val="2"/>
        <scheme val="minor"/>
      </rPr>
      <t xml:space="preserve">, strong contributions from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8</t>
    </r>
    <r>
      <rPr>
        <sz val="11"/>
        <color theme="1"/>
        <rFont val="Aptos Narrow"/>
        <family val="2"/>
        <scheme val="minor"/>
      </rPr>
      <t xml:space="preserve"> have helped lift year-to-date margins. However, the declines from </t>
    </r>
    <r>
      <rPr>
        <b/>
        <sz val="11"/>
        <color theme="1"/>
        <rFont val="Aptos Narrow"/>
        <family val="2"/>
        <scheme val="minor"/>
      </rPr>
      <t>Client 10</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may pose risks as we transition into the new year. Stabilizing these clients will be critical to maintaining margin strength.</t>
    </r>
  </si>
  <si>
    <r>
      <t xml:space="preserve">Risk mitigation strategies should focus on addressing the declines in </t>
    </r>
    <r>
      <rPr>
        <b/>
        <sz val="11"/>
        <color theme="1"/>
        <rFont val="Aptos Narrow"/>
        <family val="2"/>
        <scheme val="minor"/>
      </rPr>
      <t>Client 10</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While </t>
    </r>
    <r>
      <rPr>
        <b/>
        <sz val="11"/>
        <color theme="1"/>
        <rFont val="Aptos Narrow"/>
        <family val="2"/>
        <scheme val="minor"/>
      </rPr>
      <t>Client 8</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have provided solid contributions, over-reliance on these clients could expose the company to risk if their performance fluctuates. Continuing to enforce cost control measures will be necessary to buffer against any further revenue volatility.</t>
    </r>
  </si>
  <si>
    <t>Dashboard comment</t>
  </si>
  <si>
    <t>For the month of [Month], provide a detailed CFO-level analysis based on the following data:
Revenue Impact: [Insert Revenue Impact Data]
Cost Impact: [Insert Cost Efficiency Data]
Client Margin Contributions: [Insert Client Contribution Data]
Individual Client Margin Changes: [Insert Individual Client Margin Evolution Data]
The analysis should be structured into five key areas:
Revenue Impact:
Summarize how the revenue change (positive or negative) impacted the margin for the month.
Include specific percentage and dollar figures from the data provided (e.g., “In [Month], margin performance reflects a -24% impact from the decline in revenue, equating to -236 K$”).
Explain how cost efficiencies either mitigated or amplified the revenue impact.
Client-Level Contribution:
Highlight key shifts in client contributions.
Identify top contributors and those whose performance declined, using the percentage data provided.
Provide context on how client contributions affected overall margin stability.
Individual Client Margin Evolution:
Focus on individual client performance.
Highlight clients who saw significant improvements or declines, using percentage points.
Explain how these changes influenced margin evolution and where intervention may be needed.
YTD Margin Analysis:
Evaluate year-to-date margin trends.
Identify which clients have contributed positively to YTD margins and highlight any clients whose volatility may pose a risk.
Assess the sustainability of YTD margin performance based on the month’s data.
Risk Management:
Provide risk mitigation strategies, focusing on underperforming clients and operational efficiency.
Suggest actions to address volatility, over-reliance on key contributors, or cost management issues.
Include a forward-looking perspective on how to manage risks in the coming months.</t>
  </si>
  <si>
    <t>Revenue analysis</t>
  </si>
  <si>
    <t>Margin Analysis</t>
  </si>
  <si>
    <t>OPEX - Personnel</t>
  </si>
  <si>
    <t>OPEX - Facility</t>
  </si>
  <si>
    <t>OPEX - Administration</t>
  </si>
  <si>
    <t>Analysis for the Dashboard</t>
  </si>
  <si>
    <t>February’s strong cost management was pivotal in delivering a positive EBITDA despite the revenue challenges. The significant savings from OPEX, particularly in personnel and facility costs, provided a buffer. However, the decline in revenue is concerning, and addressing the sales volume drop will be critical to sustaining profitability in the coming months. Immediate focus should be on stabilizing the demand and reevaluating the sales strategy.</t>
  </si>
  <si>
    <t>March was a challenging month, with both revenue and margin under pressure. The steep decline in EBITDA reflects the ongoing issues with sales volumes and the weakened effect of cost efficiencies. There is an urgent need to address both top-line recovery and cost management strategies. Revenue growth has stagnated, and fixed operating costs are rising, making the current cost control measures insufficient. Immediate action should focus on identifying key revenue drivers and reinvigorating cost-saving initiatives.</t>
  </si>
  <si>
    <t>April’s positive EBITDA recovery reflects improvements in sales volume, but the limited cost efficiency gains signal potential weaknesses in operational performance. While some progress was made in reducing administrative and facility costs, personnel costs rose, which could suggest inefficiencies in labor allocation or rising wage pressures. A concerted focus on both operational efficiency and stabilizing sales volume will be critical in the coming months.</t>
  </si>
  <si>
    <t>May’s performance highlights the ongoing struggle to maintain revenue, despite some positive developments in cost control. The ongoing drop in sales volume is the most pressing concern, and it is clear that the current pricing strategy is not generating the desired recovery. Strong cost management has prevented EBITDA from falling further into negative territory, but it will not be enough to sustain profitability without addressing the root causes of the sales volume decline.</t>
  </si>
  <si>
    <t>June’s EBITDA improvement reflects exceptional cost management, which significantly boosted profitability. The ability to drive strong operational efficiencies alongside modest revenue improvements is a key takeaway from this month’s performance. However, the fragile state of pricing strategies remains a concern. Sustaining the positive momentum in sales volume will be vital, but ensuring that pricing strategies do not undermine these gains will be equally important.</t>
  </si>
  <si>
    <t>July’s performance is a reflection of improving sales volumes, but the challenges with margins remain significant. The continued focus on cost management has prevented a sharper drop in EBITDA, but the rising personnel costs and facility expenses indicate potential inefficiencies that need to be addressed. The overall picture suggests that while the market is recovering, pricing strategies and cost control will be essential moving forward.</t>
  </si>
  <si>
    <t>August’s performance highlights substantial challenges on the revenue front, with a steep decline in sales volume driving both margin erosion and a significant drop in EBITDA. While cost management remains strong, it cannot compensate for the ongoing issues with revenue generation. Immediate focus must be on understanding and addressing the root causes of the volume decline. Are market conditions changing? Is sales execution lacking? These questions need answers and swift actions to avoid further deterioration.</t>
  </si>
  <si>
    <t>September’s performance indicates that the pricing strategies are beginning to take hold, allowing for a partial recovery in revenue. However, the ongoing instability in sales volume remains a concern, and further efforts are needed to stabilize demand. The improvement in EBITDA is encouraging, but it is largely dependent on cost control measures, which, while strong, cannot fully sustain profitability if revenue continues to fluctuate.</t>
  </si>
  <si>
    <t>October’s results highlight stabilization in revenue, but the small revenue decline shows that the company has not yet fully recovered. Margins have been protected by continued cost efficiencies, but rising personnel and facility costs may indicate inefficiencies that need to be addressed. The increase in staffing costs could reflect higher headcount or increased wages, both of which need to be closely monitored to ensure they do not erode profitability further.</t>
  </si>
  <si>
    <t>November’s performance highlights the continued importance of cost control in maintaining profitability, as pricing recovery remains a significant challenge. The company has made some strides in restoring sales volumes, but the inability to fully recover pricing power continues to weigh on margins. The rise in personnel and facility costs is a concern, and these areas should be closely scrutinized to ensure that they are aligned with revenue-generating activities.</t>
  </si>
  <si>
    <t>December’s performance marked the end of a difficult year, with pricing pressures and inconsistent volume growth contributing to a significant revenue deficit. However, the company’s strong cost control measures throughout the year were instrumental in mitigating the overall impact on EBITDA. The rise in facility and administrative costs is an area that needs to be watched closely as the company transitions into the new fiscal year. Addressing both price and volume dynamics will be crucial.</t>
  </si>
  <si>
    <t>Prompt for AI</t>
  </si>
  <si>
    <t>Generate a CFO-level monthly analysis for [Month], following this structure:</t>
  </si>
  <si>
    <r>
      <t>1. EBITDA</t>
    </r>
    <r>
      <rPr>
        <sz val="11"/>
        <color theme="1"/>
        <rFont val="Aptos Narrow"/>
        <family val="2"/>
        <scheme val="minor"/>
      </rPr>
      <t>: [EBITDA value] ([difference from the previous month]).</t>
    </r>
  </si>
  <si>
    <r>
      <t>2. Revenue Analysis</t>
    </r>
    <r>
      <rPr>
        <sz val="11"/>
        <color theme="1"/>
        <rFont val="Aptos Narrow"/>
        <family val="2"/>
        <scheme val="minor"/>
      </rPr>
      <t>: Analyze the revenue performance, including the YTD revenue deficit, volume trends, pricing strategy effectiveness, and any notable fluctuations.</t>
    </r>
  </si>
  <si>
    <r>
      <t>3. Margin Analysis</t>
    </r>
    <r>
      <rPr>
        <sz val="11"/>
        <color theme="1"/>
        <rFont val="Aptos Narrow"/>
        <family val="2"/>
        <scheme val="minor"/>
      </rPr>
      <t>: Assess the margin impact, including percentage change, monetary impact, and how cost efficiencies contributed to limiting or exacerbating the margin changes.</t>
    </r>
  </si>
  <si>
    <r>
      <t>4. OPEX Evolution</t>
    </r>
    <r>
      <rPr>
        <sz val="11"/>
        <color theme="1"/>
        <rFont val="Aptos Narrow"/>
        <family val="2"/>
        <scheme val="minor"/>
      </rPr>
      <t>: Provide detailed changes in personnel costs, facility costs, and administration costs.</t>
    </r>
  </si>
  <si>
    <r>
      <t>5. Insights</t>
    </r>
    <r>
      <rPr>
        <sz val="11"/>
        <color theme="1"/>
        <rFont val="Aptos Narrow"/>
        <family val="2"/>
        <scheme val="minor"/>
      </rPr>
      <t>: Offer key insights on the month’s performance, focusing on cost control, revenue growth challenges, and necessary strategic adjustments for sustaining profitability."</t>
    </r>
  </si>
  <si>
    <t>January had a healthy DSO of 34 days. This reflects efficient collections with accounts receivable close to sales revenue. The risk is minimal with steady cash conversion.</t>
  </si>
  <si>
    <t>There’s a significant jump in DSO to 63 days due to a sharp increase in accounts receivable ($27.87M vs $12.73M revenue). This suggests delayed collections, posing a potential cash flow risk.</t>
  </si>
  <si>
    <t>DSO continues to rise, now at 84 days, as accounts receivable balloon ($34.86M vs $10.80M revenue). This is a clear warning sign of worsening collections and a liquidity risk.</t>
  </si>
  <si>
    <t>DSO improves to 64 days, as accounts receivable decreased ($25.62M). Though an improvement, the levels are still higher than January, suggesting some recovery but highlighting that collection efforts need more focus.</t>
  </si>
  <si>
    <t>DSO increases again to 70 days, as accounts receivable grow faster than revenue. This fluctuation indicates inconsistent collections, which could strain cash flow.</t>
  </si>
  <si>
    <t>A further increase in DSO to 79 days signals continued collection delays despite stable revenue. With accounts receivable at $32.25M, this trend highlights a growing cash conversion cycle issue, elevating liquidity risk.</t>
  </si>
  <si>
    <t>Slight improvement in DSO to 75 days. Revenue increased to $13.12M while accounts receivable remain elevated. The reduction in DSO suggests better collection efforts but risks remain.</t>
  </si>
  <si>
    <t>DSO rises again, indicating inconsistency in collections. With accounts receivable steady at $31.92M, the rise to 78 days poses concerns about cash flow stability.</t>
  </si>
  <si>
    <t>DSO hits 80 days, the highest of the year. Revenue remains stable, but accounts receivable ($31.82M) are significantly above the revenue levels, flagging serious collection delays and increasing liquidity risk.</t>
  </si>
  <si>
    <t>DSO drops to 69 days, suggesting some improvement in collections as accounts receivable decrease ($25.85M). The reduction mitigates some risk but still remains higher than the start of the year.</t>
  </si>
  <si>
    <t>DSO increases again, indicating fluctuation and inconsistent collections. With accounts receivable at $28.15M, the risk of extended cash flow pressure remains.</t>
  </si>
  <si>
    <t>DSO stabilizes at 69 days. This shows better control towards the year-end, but it’s far from the 34-day low seen in January. Focus should be on consistent collections to maintain cash flow stability.</t>
  </si>
  <si>
    <t>Prompt for CFO DSO Analysis:
Analyze the DSO (Days Sales Outstanding) evolution over the year based on the monthly sales revenue and accounts receivable data. Provide insights for each month, highlighting key trends, risks, and fluctuations in collections. Consider the impact of revenue and accounts receivable changes on DSO, and identify potential liquidity or cash flow risks.
The analysis should include:
DSO value for each month.
A brief insight explaining the trend for that month.
Highlight risks where DSO significantly increases.
Focus on changes in collections efficiency and liquidity risks.</t>
  </si>
  <si>
    <r>
      <t>Client 4</t>
    </r>
    <r>
      <rPr>
        <sz val="11"/>
        <color theme="1"/>
        <rFont val="Aptos Narrow"/>
        <family val="2"/>
        <scheme val="minor"/>
      </rPr>
      <t xml:space="preserve"> has a DSO of 123 days, signaling delayed collections or possibly lenient credit terms. </t>
    </r>
    <r>
      <rPr>
        <b/>
        <sz val="11"/>
        <color theme="1"/>
        <rFont val="Aptos Narrow"/>
        <family val="2"/>
        <scheme val="minor"/>
      </rPr>
      <t>Client 1</t>
    </r>
    <r>
      <rPr>
        <sz val="11"/>
        <color theme="1"/>
        <rFont val="Aptos Narrow"/>
        <family val="2"/>
        <scheme val="minor"/>
      </rPr>
      <t xml:space="preserve">, </t>
    </r>
    <r>
      <rPr>
        <b/>
        <sz val="11"/>
        <color theme="1"/>
        <rFont val="Aptos Narrow"/>
        <family val="2"/>
        <scheme val="minor"/>
      </rPr>
      <t>Client 2</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have DSOs of 30 days, reflecting efficient collection cycles.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maintain good control over receivables with DSOs of 30 days, ensuring steady cash inflows.</t>
    </r>
  </si>
  <si>
    <r>
      <t xml:space="preserve">January's performance is solid, with a low company DSO of 34 days, indicating strong collection practices for most clients. However, </t>
    </r>
    <r>
      <rPr>
        <b/>
        <sz val="11"/>
        <color theme="1"/>
        <rFont val="Aptos Narrow"/>
        <family val="2"/>
        <scheme val="minor"/>
      </rPr>
      <t>Client 4</t>
    </r>
    <r>
      <rPr>
        <sz val="11"/>
        <color theme="1"/>
        <rFont val="Aptos Narrow"/>
        <family val="2"/>
        <scheme val="minor"/>
      </rPr>
      <t xml:space="preserve">'s high DSO needs attention to prevent cash flow issues. If not addressed, this could become a systemic issue affecting liquidity. Focused efforts on </t>
    </r>
    <r>
      <rPr>
        <b/>
        <sz val="11"/>
        <color theme="1"/>
        <rFont val="Aptos Narrow"/>
        <family val="2"/>
        <scheme val="minor"/>
      </rPr>
      <t>Client 4</t>
    </r>
    <r>
      <rPr>
        <sz val="11"/>
        <color theme="1"/>
        <rFont val="Aptos Narrow"/>
        <family val="2"/>
        <scheme val="minor"/>
      </rPr>
      <t xml:space="preserve"> are required to improve collections in the coming months.</t>
    </r>
  </si>
  <si>
    <r>
      <t>Client 4</t>
    </r>
    <r>
      <rPr>
        <sz val="11"/>
        <color theme="1"/>
        <rFont val="Aptos Narrow"/>
        <family val="2"/>
        <scheme val="minor"/>
      </rPr>
      <t xml:space="preserve"> remains a challenge, with DSO at 120 days, still reflecting major delays. </t>
    </r>
    <r>
      <rPr>
        <b/>
        <sz val="11"/>
        <color theme="1"/>
        <rFont val="Aptos Narrow"/>
        <family val="2"/>
        <scheme val="minor"/>
      </rPr>
      <t>Clients 2, 5, 6, 7, 8, 9, and 10</t>
    </r>
    <r>
      <rPr>
        <sz val="11"/>
        <color theme="1"/>
        <rFont val="Aptos Narrow"/>
        <family val="2"/>
        <scheme val="minor"/>
      </rPr>
      <t xml:space="preserve"> all have jumped to DSOs of 60 days, showing broad-based collection slowdowns across the board. This could signal inefficiencies in invoicing or credit terms not being enforced uniformly.</t>
    </r>
  </si>
  <si>
    <r>
      <t xml:space="preserve">February shows a sharp increase in DSO to 63 days, doubling compared to January. Multiple clients, including </t>
    </r>
    <r>
      <rPr>
        <b/>
        <sz val="11"/>
        <color theme="1"/>
        <rFont val="Aptos Narrow"/>
        <family val="2"/>
        <scheme val="minor"/>
      </rPr>
      <t>Client 4</t>
    </r>
    <r>
      <rPr>
        <sz val="11"/>
        <color theme="1"/>
        <rFont val="Aptos Narrow"/>
        <family val="2"/>
        <scheme val="minor"/>
      </rPr>
      <t xml:space="preserve">, have DSOs extending beyond 60 days, straining cash flows. The finance team needs to investigate whether these delays are due to internal inefficiencies or external factors like client cash flow issues. </t>
    </r>
    <r>
      <rPr>
        <b/>
        <sz val="11"/>
        <color theme="1"/>
        <rFont val="Aptos Narrow"/>
        <family val="2"/>
        <scheme val="minor"/>
      </rPr>
      <t>Client 4</t>
    </r>
    <r>
      <rPr>
        <sz val="11"/>
        <color theme="1"/>
        <rFont val="Aptos Narrow"/>
        <family val="2"/>
        <scheme val="minor"/>
      </rPr>
      <t xml:space="preserve"> should remain the top priority, along with a strategy to manage growing delays from other clients.</t>
    </r>
  </si>
  <si>
    <r>
      <t>Client 4</t>
    </r>
    <r>
      <rPr>
        <sz val="11"/>
        <color theme="1"/>
        <rFont val="Aptos Narrow"/>
        <family val="2"/>
        <scheme val="minor"/>
      </rPr>
      <t xml:space="preserve">'s DSO worsens to 133 days, now posing a severe risk. </t>
    </r>
    <r>
      <rPr>
        <b/>
        <sz val="11"/>
        <color theme="1"/>
        <rFont val="Aptos Narrow"/>
        <family val="2"/>
        <scheme val="minor"/>
      </rPr>
      <t>Clients 2, 5, 7, 8, and 10</t>
    </r>
    <r>
      <rPr>
        <sz val="11"/>
        <color theme="1"/>
        <rFont val="Aptos Narrow"/>
        <family val="2"/>
        <scheme val="minor"/>
      </rPr>
      <t xml:space="preserve"> have DSOs nearing 90 days, which highlights a collection process breakdown. These clients' payments need to be monitored closely, and potential renegotiation of credit terms should be considered to improve cash inflows.</t>
    </r>
  </si>
  <si>
    <r>
      <t xml:space="preserve">March's company DSO of 84 days marks a critical point for liquidity risks. With several clients now delaying payments, the company must implement more aggressive collection strategies. </t>
    </r>
    <r>
      <rPr>
        <b/>
        <sz val="11"/>
        <color theme="1"/>
        <rFont val="Aptos Narrow"/>
        <family val="2"/>
        <scheme val="minor"/>
      </rPr>
      <t>Client 4</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are of particular concern, both representing potential threats to working capital. Rolling YTD shows that collection performance has steadily deteriorated since January, and this trend cannot continue if the company is to maintain healthy cash flow. The finance team should prioritize revising payment terms and follow-up procedures.</t>
    </r>
  </si>
  <si>
    <r>
      <t>Client 4</t>
    </r>
    <r>
      <rPr>
        <sz val="11"/>
        <color theme="1"/>
        <rFont val="Aptos Narrow"/>
        <family val="2"/>
        <scheme val="minor"/>
      </rPr>
      <t xml:space="preserve"> shows significant improvement, with DSO dropping to 53 days, reflecting enhanced collection efforts. </t>
    </r>
    <r>
      <rPr>
        <b/>
        <sz val="11"/>
        <color theme="1"/>
        <rFont val="Aptos Narrow"/>
        <family val="2"/>
        <scheme val="minor"/>
      </rPr>
      <t>Client 7</t>
    </r>
    <r>
      <rPr>
        <sz val="11"/>
        <color theme="1"/>
        <rFont val="Aptos Narrow"/>
        <family val="2"/>
        <scheme val="minor"/>
      </rPr>
      <t xml:space="preserve"> also improves drastically to 18 days, signaling quicker payment cycles. However, </t>
    </r>
    <r>
      <rPr>
        <b/>
        <sz val="11"/>
        <color theme="1"/>
        <rFont val="Aptos Narrow"/>
        <family val="2"/>
        <scheme val="minor"/>
      </rPr>
      <t>Clients 5 and 9</t>
    </r>
    <r>
      <rPr>
        <sz val="11"/>
        <color theme="1"/>
        <rFont val="Aptos Narrow"/>
        <family val="2"/>
        <scheme val="minor"/>
      </rPr>
      <t xml:space="preserve"> remain concerns with DSOs still around 90 days. Their delayed payments need immediate action to avoid further cash flow constraints.</t>
    </r>
  </si>
  <si>
    <r>
      <t xml:space="preserve">April's performance improves, with company DSO dropping to 64 days. This reflects the effectiveness of intensified collection efforts with key clients like </t>
    </r>
    <r>
      <rPr>
        <b/>
        <sz val="11"/>
        <color theme="1"/>
        <rFont val="Aptos Narrow"/>
        <family val="2"/>
        <scheme val="minor"/>
      </rPr>
      <t>Client 4</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However, the fact that several other clients remain at risk means the finance team needs to apply consistent pressure to prevent further slippage. The YTD insight shows that although collections are improving, there's still substantial work to do to ensure all clients are paying within acceptable timeframes. Introducing incentive programs for early payments might be beneficial for maintaining momentum.</t>
    </r>
  </si>
  <si>
    <r>
      <t>Client 4</t>
    </r>
    <r>
      <rPr>
        <sz val="11"/>
        <color theme="1"/>
        <rFont val="Aptos Narrow"/>
        <family val="2"/>
        <scheme val="minor"/>
      </rPr>
      <t xml:space="preserve"> shows signs of slipping again, with DSO nearing 90 days, indicating a potential reversal of the previous month's improvements. </t>
    </r>
    <r>
      <rPr>
        <b/>
        <sz val="11"/>
        <color theme="1"/>
        <rFont val="Aptos Narrow"/>
        <family val="2"/>
        <scheme val="minor"/>
      </rPr>
      <t>Clients 2 and 7</t>
    </r>
    <r>
      <rPr>
        <sz val="11"/>
        <color theme="1"/>
        <rFont val="Aptos Narrow"/>
        <family val="2"/>
        <scheme val="minor"/>
      </rPr>
      <t xml:space="preserve"> remain concerning, both maintaining DSOs of 90 days. New issues are emerging with </t>
    </r>
    <r>
      <rPr>
        <b/>
        <sz val="11"/>
        <color theme="1"/>
        <rFont val="Aptos Narrow"/>
        <family val="2"/>
        <scheme val="minor"/>
      </rPr>
      <t>Client 9</t>
    </r>
    <r>
      <rPr>
        <sz val="11"/>
        <color theme="1"/>
        <rFont val="Aptos Narrow"/>
        <family val="2"/>
        <scheme val="minor"/>
      </rPr>
      <t>, whose DSO is also nearing 90 days. These delays require targeted collection efforts to mitigate rising risks.</t>
    </r>
  </si>
  <si>
    <r>
      <t xml:space="preserve">The rise in company DSO to 70 days in May points to inconsistent collection efforts. </t>
    </r>
    <r>
      <rPr>
        <b/>
        <sz val="11"/>
        <color theme="1"/>
        <rFont val="Aptos Narrow"/>
        <family val="2"/>
        <scheme val="minor"/>
      </rPr>
      <t>Client 4</t>
    </r>
    <r>
      <rPr>
        <sz val="11"/>
        <color theme="1"/>
        <rFont val="Aptos Narrow"/>
        <family val="2"/>
        <scheme val="minor"/>
      </rPr>
      <t xml:space="preserve">'s reversal in payment behavior is a warning that improvements may not be sustainable. </t>
    </r>
    <r>
      <rPr>
        <b/>
        <sz val="11"/>
        <color theme="1"/>
        <rFont val="Aptos Narrow"/>
        <family val="2"/>
        <scheme val="minor"/>
      </rPr>
      <t>Clients 2, 7, and 9</t>
    </r>
    <r>
      <rPr>
        <sz val="11"/>
        <color theme="1"/>
        <rFont val="Aptos Narrow"/>
        <family val="2"/>
        <scheme val="minor"/>
      </rPr>
      <t xml:space="preserve"> now represent significant risks that, if left unchecked, could lead to a liquidity crisis. The YTD analysis shows that despite some short-term improvements in April, the overall collection efficiency has not stabilized. The finance team should consider reviewing payment terms and possibly implementing penalties for chronic late payers.</t>
    </r>
  </si>
  <si>
    <r>
      <t>Client 4</t>
    </r>
    <r>
      <rPr>
        <sz val="11"/>
        <color theme="1"/>
        <rFont val="Aptos Narrow"/>
        <family val="2"/>
        <scheme val="minor"/>
      </rPr>
      <t xml:space="preserve">'s DSO rises to 117 days, making it a critical risk factor once again. </t>
    </r>
    <r>
      <rPr>
        <b/>
        <sz val="11"/>
        <color theme="1"/>
        <rFont val="Aptos Narrow"/>
        <family val="2"/>
        <scheme val="minor"/>
      </rPr>
      <t>Client 5, Client 6, and Client 9</t>
    </r>
    <r>
      <rPr>
        <sz val="11"/>
        <color theme="1"/>
        <rFont val="Aptos Narrow"/>
        <family val="2"/>
        <scheme val="minor"/>
      </rPr>
      <t xml:space="preserve"> are also seeing increased delays in payments, each nearing or exceeding 90 days. </t>
    </r>
    <r>
      <rPr>
        <b/>
        <sz val="11"/>
        <color theme="1"/>
        <rFont val="Aptos Narrow"/>
        <family val="2"/>
        <scheme val="minor"/>
      </rPr>
      <t>Client 7</t>
    </r>
    <r>
      <rPr>
        <sz val="11"/>
        <color theme="1"/>
        <rFont val="Aptos Narrow"/>
        <family val="2"/>
        <scheme val="minor"/>
      </rPr>
      <t>, after showing strong improvement, has slipped again, which is a warning that sustained collection efforts are required.</t>
    </r>
  </si>
  <si>
    <r>
      <t xml:space="preserve">June's company DSO of 79 days reflects continued deterioration in collection processes. </t>
    </r>
    <r>
      <rPr>
        <b/>
        <sz val="11"/>
        <color theme="1"/>
        <rFont val="Aptos Narrow"/>
        <family val="2"/>
        <scheme val="minor"/>
      </rPr>
      <t>Client 4</t>
    </r>
    <r>
      <rPr>
        <sz val="11"/>
        <color theme="1"/>
        <rFont val="Aptos Narrow"/>
        <family val="2"/>
        <scheme val="minor"/>
      </rPr>
      <t xml:space="preserve"> remains a top risk, and several other clients have also increased delays. This could indicate either internal invoicing issues or clients experiencing financial difficulties. The YTD analysis points to a growing risk that will require more aggressive actions to ensure collection timelines are met. The CFO should consider integrating technology to automate follow-ups and possibly introducing dynamic discounting to incentivize quicker payments.</t>
    </r>
  </si>
  <si>
    <r>
      <t>Client 7</t>
    </r>
    <r>
      <rPr>
        <sz val="11"/>
        <color theme="1"/>
        <rFont val="Aptos Narrow"/>
        <family val="2"/>
        <scheme val="minor"/>
      </rPr>
      <t xml:space="preserve">’s DSO hits 111 days, while </t>
    </r>
    <r>
      <rPr>
        <b/>
        <sz val="11"/>
        <color theme="1"/>
        <rFont val="Aptos Narrow"/>
        <family val="2"/>
        <scheme val="minor"/>
      </rPr>
      <t>Client 9</t>
    </r>
    <r>
      <rPr>
        <sz val="11"/>
        <color theme="1"/>
        <rFont val="Aptos Narrow"/>
        <family val="2"/>
        <scheme val="minor"/>
      </rPr>
      <t xml:space="preserve"> remains high at 119 days, causing further cash flow risks. </t>
    </r>
    <r>
      <rPr>
        <b/>
        <sz val="11"/>
        <color theme="1"/>
        <rFont val="Aptos Narrow"/>
        <family val="2"/>
        <scheme val="minor"/>
      </rPr>
      <t>Client 4</t>
    </r>
    <r>
      <rPr>
        <sz val="11"/>
        <color theme="1"/>
        <rFont val="Aptos Narrow"/>
        <family val="2"/>
        <scheme val="minor"/>
      </rPr>
      <t xml:space="preserve"> remains at 90 days, which continues to be problematic. </t>
    </r>
    <r>
      <rPr>
        <b/>
        <sz val="11"/>
        <color theme="1"/>
        <rFont val="Aptos Narrow"/>
        <family val="2"/>
        <scheme val="minor"/>
      </rPr>
      <t>Clients 2 and 10</t>
    </r>
    <r>
      <rPr>
        <sz val="11"/>
        <color theme="1"/>
        <rFont val="Aptos Narrow"/>
        <family val="2"/>
        <scheme val="minor"/>
      </rPr>
      <t xml:space="preserve"> are starting to show some improvement but still require close monitoring.</t>
    </r>
  </si>
  <si>
    <r>
      <t xml:space="preserve">While July shows a slight improvement in company DSO to 75 days, the high DSOs from </t>
    </r>
    <r>
      <rPr>
        <b/>
        <sz val="11"/>
        <color theme="1"/>
        <rFont val="Aptos Narrow"/>
        <family val="2"/>
        <scheme val="minor"/>
      </rPr>
      <t>Clients 7 and 9</t>
    </r>
    <r>
      <rPr>
        <sz val="11"/>
        <color theme="1"/>
        <rFont val="Aptos Narrow"/>
        <family val="2"/>
        <scheme val="minor"/>
      </rPr>
      <t xml:space="preserve"> are eroding cash flow stability. </t>
    </r>
    <r>
      <rPr>
        <b/>
        <sz val="11"/>
        <color theme="1"/>
        <rFont val="Aptos Narrow"/>
        <family val="2"/>
        <scheme val="minor"/>
      </rPr>
      <t>Client 4</t>
    </r>
    <r>
      <rPr>
        <sz val="11"/>
        <color theme="1"/>
        <rFont val="Aptos Narrow"/>
        <family val="2"/>
        <scheme val="minor"/>
      </rPr>
      <t xml:space="preserve"> remains a consistent challenge, and additional actions will be required to prevent further deterioration. The YTD insights highlight that collection efforts are still not yielding consistent results across all clients, and liquidity management will remain a challenge if these patterns continue. Introducing third-party collection services or re-evaluating the creditworthiness of long-delayed clients could be beneficial for managing risks.</t>
    </r>
  </si>
  <si>
    <r>
      <t>Client 4</t>
    </r>
    <r>
      <rPr>
        <sz val="11"/>
        <color theme="1"/>
        <rFont val="Aptos Narrow"/>
        <family val="2"/>
        <scheme val="minor"/>
      </rPr>
      <t xml:space="preserve"> is back to a concerning DSO of 90 days. </t>
    </r>
    <r>
      <rPr>
        <b/>
        <sz val="11"/>
        <color theme="1"/>
        <rFont val="Aptos Narrow"/>
        <family val="2"/>
        <scheme val="minor"/>
      </rPr>
      <t>Client 7</t>
    </r>
    <r>
      <rPr>
        <sz val="11"/>
        <color theme="1"/>
        <rFont val="Aptos Narrow"/>
        <family val="2"/>
        <scheme val="minor"/>
      </rPr>
      <t xml:space="preserve"> stabilizes at 90 days, but </t>
    </r>
    <r>
      <rPr>
        <b/>
        <sz val="11"/>
        <color theme="1"/>
        <rFont val="Aptos Narrow"/>
        <family val="2"/>
        <scheme val="minor"/>
      </rPr>
      <t>Client 9</t>
    </r>
    <r>
      <rPr>
        <sz val="11"/>
        <color theme="1"/>
        <rFont val="Aptos Narrow"/>
        <family val="2"/>
        <scheme val="minor"/>
      </rPr>
      <t xml:space="preserve"> continues to pose a high-risk factor with long delays in payment. </t>
    </r>
    <r>
      <rPr>
        <b/>
        <sz val="11"/>
        <color theme="1"/>
        <rFont val="Aptos Narrow"/>
        <family val="2"/>
        <scheme val="minor"/>
      </rPr>
      <t>Clients 1 and 10</t>
    </r>
    <r>
      <rPr>
        <sz val="11"/>
        <color theme="1"/>
        <rFont val="Aptos Narrow"/>
        <family val="2"/>
        <scheme val="minor"/>
      </rPr>
      <t xml:space="preserve"> have also started showing signs of slower collections, which should be monitored.</t>
    </r>
  </si>
  <si>
    <r>
      <t xml:space="preserve">August’s company DSO rises slightly to 78 days, highlighting inconsistent collection efforts. </t>
    </r>
    <r>
      <rPr>
        <b/>
        <sz val="11"/>
        <color theme="1"/>
        <rFont val="Aptos Narrow"/>
        <family val="2"/>
        <scheme val="minor"/>
      </rPr>
      <t>Client 4’s</t>
    </r>
    <r>
      <rPr>
        <sz val="11"/>
        <color theme="1"/>
        <rFont val="Aptos Narrow"/>
        <family val="2"/>
        <scheme val="minor"/>
      </rPr>
      <t xml:space="preserve"> return to 90 days raises concerns about the long-term sustainability of previous improvements. </t>
    </r>
    <r>
      <rPr>
        <b/>
        <sz val="11"/>
        <color theme="1"/>
        <rFont val="Aptos Narrow"/>
        <family val="2"/>
        <scheme val="minor"/>
      </rPr>
      <t>Clients 7 and 9</t>
    </r>
    <r>
      <rPr>
        <sz val="11"/>
        <color theme="1"/>
        <rFont val="Aptos Narrow"/>
        <family val="2"/>
        <scheme val="minor"/>
      </rPr>
      <t xml:space="preserve"> remain problematic, with delays likely to persist into Q4. The YTD analysis shows that collections have not stabilized as hoped, and additional pressure will be necessary to ensure that high-risk clients are paying on time. The finance team may need to revisit the payment schedules or even suspend services for clients with excessive DSOs to protect liquidity.</t>
    </r>
  </si>
  <si>
    <r>
      <t>Client 9</t>
    </r>
    <r>
      <rPr>
        <sz val="11"/>
        <color theme="1"/>
        <rFont val="Aptos Narrow"/>
        <family val="2"/>
        <scheme val="minor"/>
      </rPr>
      <t xml:space="preserve">’s DSO returns to 90 days, while </t>
    </r>
    <r>
      <rPr>
        <b/>
        <sz val="11"/>
        <color theme="1"/>
        <rFont val="Aptos Narrow"/>
        <family val="2"/>
        <scheme val="minor"/>
      </rPr>
      <t>Clients 4, 7, and 10</t>
    </r>
    <r>
      <rPr>
        <sz val="11"/>
        <color theme="1"/>
        <rFont val="Aptos Narrow"/>
        <family val="2"/>
        <scheme val="minor"/>
      </rPr>
      <t xml:space="preserve"> also contribute to the worsening overall DSO. </t>
    </r>
    <r>
      <rPr>
        <b/>
        <sz val="11"/>
        <color theme="1"/>
        <rFont val="Aptos Narrow"/>
        <family val="2"/>
        <scheme val="minor"/>
      </rPr>
      <t>Client 1</t>
    </r>
    <r>
      <rPr>
        <sz val="11"/>
        <color theme="1"/>
        <rFont val="Aptos Narrow"/>
        <family val="2"/>
        <scheme val="minor"/>
      </rPr>
      <t xml:space="preserve"> shows good recovery with DSO down to 52 days, but this improvement is not yet enough to offset the other challenges.</t>
    </r>
  </si>
  <si>
    <r>
      <t xml:space="preserve">September’s company DSO of 80 days is the highest of the year, signaling an urgent need for action. The YTD rolling insight reveals that key clients like </t>
    </r>
    <r>
      <rPr>
        <b/>
        <sz val="11"/>
        <color theme="1"/>
        <rFont val="Aptos Narrow"/>
        <family val="2"/>
        <scheme val="minor"/>
      </rPr>
      <t>Clients 4, 7, 9, and 10</t>
    </r>
    <r>
      <rPr>
        <sz val="11"/>
        <color theme="1"/>
        <rFont val="Aptos Narrow"/>
        <family val="2"/>
        <scheme val="minor"/>
      </rPr>
      <t xml:space="preserve"> are driving the poor performance, and their extended DSOs are significantly impacting the company’s cash flow. The CFO should explore options such as revising credit terms or temporarily halting shipments or services to clients who consistently delay payments. A deep analysis of client creditworthiness should be conducted to assess whether certain clients are at risk of default.</t>
    </r>
  </si>
  <si>
    <r>
      <t>Client 9</t>
    </r>
    <r>
      <rPr>
        <sz val="11"/>
        <color theme="1"/>
        <rFont val="Aptos Narrow"/>
        <family val="2"/>
        <scheme val="minor"/>
      </rPr>
      <t xml:space="preserve">’s DSO drops to 60 days, reflecting better collection efforts. </t>
    </r>
    <r>
      <rPr>
        <b/>
        <sz val="11"/>
        <color theme="1"/>
        <rFont val="Aptos Narrow"/>
        <family val="2"/>
        <scheme val="minor"/>
      </rPr>
      <t>Clients 7 and 10</t>
    </r>
    <r>
      <rPr>
        <sz val="11"/>
        <color theme="1"/>
        <rFont val="Aptos Narrow"/>
        <family val="2"/>
        <scheme val="minor"/>
      </rPr>
      <t xml:space="preserve"> maintain high DSOs at 90 days, continuing to pose cash flow challenges. </t>
    </r>
    <r>
      <rPr>
        <b/>
        <sz val="11"/>
        <color theme="1"/>
        <rFont val="Aptos Narrow"/>
        <family val="2"/>
        <scheme val="minor"/>
      </rPr>
      <t>Client 2</t>
    </r>
    <r>
      <rPr>
        <sz val="11"/>
        <color theme="1"/>
        <rFont val="Aptos Narrow"/>
        <family val="2"/>
        <scheme val="minor"/>
      </rPr>
      <t xml:space="preserve"> is starting to show signs of improvement, but not enough to alleviate long-term concerns.</t>
    </r>
  </si>
  <si>
    <r>
      <t xml:space="preserve">October’s DSO drop to 69 days reflects some progress in collection efforts, especially with </t>
    </r>
    <r>
      <rPr>
        <b/>
        <sz val="11"/>
        <color theme="1"/>
        <rFont val="Aptos Narrow"/>
        <family val="2"/>
        <scheme val="minor"/>
      </rPr>
      <t>Client 9</t>
    </r>
    <r>
      <rPr>
        <sz val="11"/>
        <color theme="1"/>
        <rFont val="Aptos Narrow"/>
        <family val="2"/>
        <scheme val="minor"/>
      </rPr>
      <t xml:space="preserve">. However, </t>
    </r>
    <r>
      <rPr>
        <b/>
        <sz val="11"/>
        <color theme="1"/>
        <rFont val="Aptos Narrow"/>
        <family val="2"/>
        <scheme val="minor"/>
      </rPr>
      <t>Clients 7 and 10</t>
    </r>
    <r>
      <rPr>
        <sz val="11"/>
        <color theme="1"/>
        <rFont val="Aptos Narrow"/>
        <family val="2"/>
        <scheme val="minor"/>
      </rPr>
      <t xml:space="preserve"> continue to drag down the overall performance. The YTD insight indicates that while there has been some recovery, collection performance remains highly volatile. The CFO should consider setting stricter internal KPIs to prevent further slippage and possibly exploring invoice factoring or securing short-term financing as a buffer against late payments. Maintaining liquidity during this period will be critical as collections remain inconsistent.</t>
    </r>
  </si>
  <si>
    <r>
      <t>Client 2</t>
    </r>
    <r>
      <rPr>
        <sz val="11"/>
        <color theme="1"/>
        <rFont val="Aptos Narrow"/>
        <family val="2"/>
        <scheme val="minor"/>
      </rPr>
      <t xml:space="preserve">’s DSO spikes to 137 days, representing a critical risk. </t>
    </r>
    <r>
      <rPr>
        <b/>
        <sz val="11"/>
        <color theme="1"/>
        <rFont val="Aptos Narrow"/>
        <family val="2"/>
        <scheme val="minor"/>
      </rPr>
      <t>Clients 7 and 9</t>
    </r>
    <r>
      <rPr>
        <sz val="11"/>
        <color theme="1"/>
        <rFont val="Aptos Narrow"/>
        <family val="2"/>
        <scheme val="minor"/>
      </rPr>
      <t xml:space="preserve"> continue to exhibit high DSOs, while </t>
    </r>
    <r>
      <rPr>
        <b/>
        <sz val="11"/>
        <color theme="1"/>
        <rFont val="Aptos Narrow"/>
        <family val="2"/>
        <scheme val="minor"/>
      </rPr>
      <t>Client 4</t>
    </r>
    <r>
      <rPr>
        <sz val="11"/>
        <color theme="1"/>
        <rFont val="Aptos Narrow"/>
        <family val="2"/>
        <scheme val="minor"/>
      </rPr>
      <t xml:space="preserve"> stabilizes at 90 days but still requires close monitoring.</t>
    </r>
  </si>
  <si>
    <r>
      <t>Client 2</t>
    </r>
    <r>
      <rPr>
        <sz val="11"/>
        <color theme="1"/>
        <rFont val="Aptos Narrow"/>
        <family val="2"/>
        <scheme val="minor"/>
      </rPr>
      <t xml:space="preserve"> shows a remarkable recovery, with DSO dropping significantly to 25 days, indicating improved collections. </t>
    </r>
    <r>
      <rPr>
        <b/>
        <sz val="11"/>
        <color theme="1"/>
        <rFont val="Aptos Narrow"/>
        <family val="2"/>
        <scheme val="minor"/>
      </rPr>
      <t>Clients 7 and 9</t>
    </r>
    <r>
      <rPr>
        <sz val="11"/>
        <color theme="1"/>
        <rFont val="Aptos Narrow"/>
        <family val="2"/>
        <scheme val="minor"/>
      </rPr>
      <t xml:space="preserve"> maintain high DSOs, requiring continued monitoring, while </t>
    </r>
    <r>
      <rPr>
        <b/>
        <sz val="11"/>
        <color theme="1"/>
        <rFont val="Aptos Narrow"/>
        <family val="2"/>
        <scheme val="minor"/>
      </rPr>
      <t>Client 4</t>
    </r>
    <r>
      <rPr>
        <sz val="11"/>
        <color theme="1"/>
        <rFont val="Aptos Narrow"/>
        <family val="2"/>
        <scheme val="minor"/>
      </rPr>
      <t xml:space="preserve"> remains a concern at 90 days. </t>
    </r>
    <r>
      <rPr>
        <b/>
        <sz val="11"/>
        <color theme="1"/>
        <rFont val="Aptos Narrow"/>
        <family val="2"/>
        <scheme val="minor"/>
      </rPr>
      <t>Client 10</t>
    </r>
    <r>
      <rPr>
        <sz val="11"/>
        <color theme="1"/>
        <rFont val="Aptos Narrow"/>
        <family val="2"/>
        <scheme val="minor"/>
      </rPr>
      <t xml:space="preserve"> also shows some delays with a DSO of 90 days.</t>
    </r>
  </si>
  <si>
    <r>
      <t xml:space="preserve">November’s DSO of 74 days reflects persistent collection issues, particularly with </t>
    </r>
    <r>
      <rPr>
        <b/>
        <sz val="11"/>
        <color theme="1"/>
        <rFont val="Aptos Narrow"/>
        <family val="2"/>
        <scheme val="minor"/>
      </rPr>
      <t>Client 2</t>
    </r>
    <r>
      <rPr>
        <sz val="11"/>
        <color theme="1"/>
        <rFont val="Aptos Narrow"/>
        <family val="2"/>
        <scheme val="minor"/>
      </rPr>
      <t xml:space="preserve">, whose DSO spike to 137 days represents a severe liquidity risk. If not addressed immediately, </t>
    </r>
    <r>
      <rPr>
        <b/>
        <sz val="11"/>
        <color theme="1"/>
        <rFont val="Aptos Narrow"/>
        <family val="2"/>
        <scheme val="minor"/>
      </rPr>
      <t>Client 2</t>
    </r>
    <r>
      <rPr>
        <sz val="11"/>
        <color theme="1"/>
        <rFont val="Aptos Narrow"/>
        <family val="2"/>
        <scheme val="minor"/>
      </rPr>
      <t xml:space="preserve"> could become a long-term default risk. Action must be taken swiftly, either through renegotiation or legal steps, to recover these outstanding amounts. </t>
    </r>
    <r>
      <rPr>
        <b/>
        <sz val="11"/>
        <color theme="1"/>
        <rFont val="Aptos Narrow"/>
        <family val="2"/>
        <scheme val="minor"/>
      </rPr>
      <t>Clients 7 and 9</t>
    </r>
    <r>
      <rPr>
        <sz val="11"/>
        <color theme="1"/>
        <rFont val="Aptos Narrow"/>
        <family val="2"/>
        <scheme val="minor"/>
      </rPr>
      <t xml:space="preserve"> are also consistent contributors to the elevated DSO, and a more aggressive approach, such as tighter payment terms or restrictions on credit, should be considered for these clients. The YTD insight indicates that despite earlier improvements, these clients continue to push the DSO up, threatening year-end liquidity. Without tighter control, the company may face the need for external financing to bridge cash flow gaps.</t>
    </r>
  </si>
  <si>
    <r>
      <t xml:space="preserve">The year closes with a DSO of 69 days, showing a recovery from the mid-year peak, especially with </t>
    </r>
    <r>
      <rPr>
        <b/>
        <sz val="11"/>
        <color theme="1"/>
        <rFont val="Aptos Narrow"/>
        <family val="2"/>
        <scheme val="minor"/>
      </rPr>
      <t>Client 2</t>
    </r>
    <r>
      <rPr>
        <sz val="11"/>
        <color theme="1"/>
        <rFont val="Aptos Narrow"/>
        <family val="2"/>
        <scheme val="minor"/>
      </rPr>
      <t xml:space="preserve">'s improved payment behavior. However, the YTD analysis reflects that the year has been marked by fluctuating collection performance, with </t>
    </r>
    <r>
      <rPr>
        <b/>
        <sz val="11"/>
        <color theme="1"/>
        <rFont val="Aptos Narrow"/>
        <family val="2"/>
        <scheme val="minor"/>
      </rPr>
      <t>Clients 7, 9, and 4</t>
    </r>
    <r>
      <rPr>
        <sz val="11"/>
        <color theme="1"/>
        <rFont val="Aptos Narrow"/>
        <family val="2"/>
        <scheme val="minor"/>
      </rPr>
      <t xml:space="preserve"> being consistent risks. </t>
    </r>
    <r>
      <rPr>
        <b/>
        <sz val="11"/>
        <color theme="1"/>
        <rFont val="Aptos Narrow"/>
        <family val="2"/>
        <scheme val="minor"/>
      </rPr>
      <t>Client 2</t>
    </r>
    <r>
      <rPr>
        <sz val="11"/>
        <color theme="1"/>
        <rFont val="Aptos Narrow"/>
        <family val="2"/>
        <scheme val="minor"/>
      </rPr>
      <t xml:space="preserve">’s recovery is encouraging but should be closely monitored to ensure it sustains through the next year. Looking forward, the CFO should assess the long-term collection strategy and possibly restructure the credit and collection policies for clients like </t>
    </r>
    <r>
      <rPr>
        <b/>
        <sz val="11"/>
        <color theme="1"/>
        <rFont val="Aptos Narrow"/>
        <family val="2"/>
        <scheme val="minor"/>
      </rPr>
      <t>Clients 7, 9, and 10</t>
    </r>
    <r>
      <rPr>
        <sz val="11"/>
        <color theme="1"/>
        <rFont val="Aptos Narrow"/>
        <family val="2"/>
        <scheme val="minor"/>
      </rPr>
      <t>, who consistently delay payments. Additionally, a year-end review of the company's credit risk exposure should be conducted to safeguard liquidity and reduce dependency on late-paying clients. The finance team should also forecast the potential impact on next year's working capital and cash flow based on current client payment patterns.</t>
    </r>
  </si>
  <si>
    <t>Indepth</t>
  </si>
  <si>
    <t>YTD indepth</t>
  </si>
  <si>
    <t>Analyze the DSO (Days Sales Outstanding) evolution for each month, considering both the overall company DSO and client-level DSOs. Provide detailed insights for each client, highlighting risks, trends, and collection issues. Include a rolling YTD analysis that reflects the CFO's perspective on liquidity, collection efficiency, and potential cash flow challenges. The analysis should focus on identifying clients with high DSOs and recommending actions to mitigate risks.
The analysis should include:
Company DSO for each month.
Client Insights for each month, identifying specific clients with delayed payments and highlighting changes in DSO trends.
YTD Rolling Insight that reflects the CFO's perspective on overall collection performance, liquidity risks, and the effectiveness of collection efforts. This should include recommendations for managing high-risk clients and improving cash flow stability.
Example format:
Month	Company DSO (Days)	Client Insights	YTD Rolling Insight (CFO Perspective)
January	34	Client 4 has a DSO of 123 days, reflecting significant delays in collections. Clients 1, 2, and 5 show efficient collections with DSOs of 30 days.	January shows strong collection performance overall, but Client 4 poses a significant risk that could affect liquidity. Immediate follow-up is needed.
February	63	Client 4 remains high at 120 days. Clients 2, 5, 6, 7, 8, 9, and 10 have jumped to DSOs of 60 days, indicating a slowdown in collections.	February’s DSO nearly doubles, reflecting a broad-based slowdown in collections. Immediate actions are needed for Client 4 and other clients to prevent liquidity strain.
Continue this format for each month, and include a YTD rolling insight that evolves as collection trends change.</t>
  </si>
  <si>
    <t>The DPO starts at a relatively low level, indicating faster payments to suppliers. This might pressure liquidity early in the year as the company has less time to hold cash, risking tighter cash flow.</t>
  </si>
  <si>
    <t>There is a significant rise in DPO to 91 days, suggesting the company is extending payment terms to suppliers. This might improve short-term liquidity but raises potential risks of cash flow challenges.</t>
  </si>
  <si>
    <t>DPO continues to increase, reaching 102 days. While this helps conserve cash, there’s a growing dependency on extended supplier credit, risking potential disruptions if terms are tightened.</t>
  </si>
  <si>
    <t>DPO hits its highest point so far at 111 days, suggesting aggressive deferring of payments. The risk is mounting that liquidity is becoming an issue, which could negatively impact creditworthiness.</t>
  </si>
  <si>
    <t>DPO drops to 95 days, showing improved supplier payments and possibly better liquidity. However, this volatility could signal unstable cash management and needs to be monitored closely.</t>
  </si>
  <si>
    <t>DPO decreases further to 89 days, indicating better liquidity, but the risk is that this trend might be short-lived, requiring constant monitoring of cash inflows and supplier terms.</t>
  </si>
  <si>
    <t>DPO increases again to 109 days, signaling a return to delayed payments. This indicates potential cash constraints, posing risks to the company’s ability to manage its obligations smoothly.</t>
  </si>
  <si>
    <t>DPO reaches its peak at 122 days, signaling potential financial stress as the company defers payments significantly. This could lead to strained supplier relationships and liquidity concerns.</t>
  </si>
  <si>
    <t>A sharp drop in DPO to 80 days suggests improved liquidity, but the sharp fluctuation indicates underlying volatility in cash flow, which could pose risks in future months.</t>
  </si>
  <si>
    <t>DPO returns to 109 days, indicating the company is still relying on extended payment terms. The continued high DPO could create operational inefficiencies and strain supplier relationships.</t>
  </si>
  <si>
    <t>DPO stabilizes around 110 days, which could help manage cash, but the prolonged high DPO raises risks of working capital inefficiencies and potential pressure from suppliers for quicker payments.</t>
  </si>
  <si>
    <t>A slight decrease in DPO to 101 days shows better payment management, but the consistently high DPO still poses a liquidity risk if cash inflows weaken or supplier terms tighten.</t>
  </si>
  <si>
    <t>Inventory</t>
  </si>
  <si>
    <t>Cogs</t>
  </si>
  <si>
    <t>Supplier A has a DPO of 49, indicating payments are made on time, showing good liquidity. Supplier B’s DPO is 81, indicating delays and possible inefficiencies. Supplier D’s DPO of 69 aligns with the company’s average, suggesting regular payment cycles.</t>
  </si>
  <si>
    <t>The year begins with relatively strong cash flow management, though Supplier B’s delayed payments suggest early inefficiencies. Promptly address Supplier B’s payments to maintain supplier relationships and avoid future cash flow issues.</t>
  </si>
  <si>
    <t>Supplier A’s DPO increases to 73, reflecting extended terms to conserve cash. Supplier B’s DPO rises sharply to 112, highlighting growing payment inefficiencies. Supplier D’s DPO is 105, indicating delayed payments as well.</t>
  </si>
  <si>
    <t>The overall rise in DPO suggests tighter liquidity and a reliance on supplier credit. Focus on improving payment cycles, especially for Supplier B, to prevent strained relationships and potential cash flow problems.</t>
  </si>
  <si>
    <t>Supplier A’s DPO increases further to 95, extending payment terms. Supplier B improves significantly to 62, suggesting better management. Supplier D’s DPO spikes to 138, indicating serious delays.</t>
  </si>
  <si>
    <t>The company is stretching payments to manage liquidity, but Supplier D poses a significant risk. Address Supplier D’s payment delays urgently to prevent operational disruption. Supplier B’s improvement should be maintained.</t>
  </si>
  <si>
    <t>Supplier A’s DPO slightly decreases to 82, reflecting some improvement. Supplier B’s DPO jumps to 126, suggesting cash flow pressure. Supplier D’s DPO rises to 142, indicating further delays and risk.</t>
  </si>
  <si>
    <t>Rising DPO reflects cash flow pressure. Immediate action is needed to stabilize Supplier B and D’s payments to avoid disruptions in supply. Focus on negotiating better terms and stabilizing liquidity.</t>
  </si>
  <si>
    <t>Supplier A’s DPO jumps to 119, signaling delayed payments. Supplier B’s DPO increases drastically to 209, pointing to serious inefficiencies. Supplier D’s DPO improves to 27, reducing risk significantly.</t>
  </si>
  <si>
    <t>Despite the improvement with Supplier D, Supplier B is a high-risk client, and delayed payments could lead to operational issues. Address Supplier B’s overdue payments immediately to ensure stability.</t>
  </si>
  <si>
    <t>Supplier A’s DPO improves to 80, reflecting better liquidity. Supplier B’s DPO remains high at 157, indicating a continued risk. Supplier D’s DPO stabilizes at 70, with manageable delays.</t>
  </si>
  <si>
    <t>The company’s overall DPO is improving, but Supplier B remains a significant risk. Focus on clearing overdue balances with Supplier B to improve overall cash flow and supplier relationships.</t>
  </si>
  <si>
    <t>Supplier A’s DPO increases to 105, indicating delayed payments. Supplier B’s DPO improves to 66, showing better management. Supplier D’s DPO rises to 146, suggesting delays are worsening.</t>
  </si>
  <si>
    <t>Despite improvements with Supplier B, Supplier A and D’s rising DPOs indicate cash flow pressures. Prioritize managing Supplier D’s payments to avoid significant risks, and monitor Supplier A closely to prevent further delays.</t>
  </si>
  <si>
    <t>Supplier A’s DPO stabilizes at 105, reflecting continued delayed payments. Supplier B’s DPO increases to 170, indicating worsening inefficiencies. Supplier D’s DPO improves to 122 but remains a risk.</t>
  </si>
  <si>
    <t>Liquidity is under pressure, with both Supplier B and Supplier D showing high DPOs. Focus on negotiating better terms and clearing overdue balances to stabilize cash flow and prevent disruptions.</t>
  </si>
  <si>
    <t>Supplier A’s DPO improves to 56, indicating better payment management. Supplier B’s DPO improves to 130 but still indicates delays. Supplier D’s DPO improves to 84, reducing risk.</t>
  </si>
  <si>
    <t>The company’s DPO has improved overall, but Supplier B’s delays still pose risks. Continue focusing on Supplier B to prevent a backslide in payment performance, and maintain improved terms with Suppliers A and D.</t>
  </si>
  <si>
    <t>Supplier A’s DPO improves further to 54. Supplier B’s DPO jumps back to 207, showing severe delays. Supplier D’s DPO stabilizes at 122, indicating ongoing delays.</t>
  </si>
  <si>
    <t>Supplier A’s DPO is improving, but Supplier B’s payment delays are alarming and pose serious cash flow risks. Address Supplier B’s payments urgently to prevent disruption and monitor Supplier D to avoid further delays.</t>
  </si>
  <si>
    <t>Supplier A’s DPO jumps to 126, indicating new delays. Supplier B’s DPO improves to 100, showing better management. Supplier D’s DPO stabilizes at 106.</t>
  </si>
  <si>
    <t>Supplier A’s delayed payments raise concerns, while improvements with Supplier B are encouraging. Focus on clearing Supplier A’s overdue payments and maintaining consistency with Supplier D to avoid further delays.</t>
  </si>
  <si>
    <t>Supplier A’s DPO improves to 82, reflecting better liquidity management. Supplier B’s DPO increases to 134, indicating moderate delays. Supplier D’s DPO stabilizes at 112, remaining a manageable risk.</t>
  </si>
  <si>
    <t>The year ends with improved liquidity management for Supplier A, though Supplier B still presents moderate risks. Focus on maintaining stable payments across all suppliers and ensuring Supplier B’s overdue balances are cleared early in the new year.</t>
  </si>
  <si>
    <t>Per supplier</t>
  </si>
  <si>
    <t>Analyze the DPO evolution based on the data provided, including both the overall company DPO and supplier-level DPOs for Supplier A, Supplier B, and Supplier D. For each month, provide detailed insights highlighting any key risks, trends, and potential collection inefficiencies. Focus on identifying suppliers with delayed payments or illogical DPO values and recommend actions to mitigate these risks. Additionally, include a rolling YTD insight from a CFO's perspective, evaluating the company's liquidity, cash flow challenges, and the effectiveness of payment management. The analysis should provide actionable recommendations for managing high-risk suppliers and improving cash flow stability.</t>
  </si>
  <si>
    <t>YTD Average DIO</t>
  </si>
  <si>
    <t>Insights on DIO</t>
  </si>
  <si>
    <t>Efficient inventory management; the DIO is low, meaning the company is converting inventory into sales quickly. Raw materials represent only 11.5% of COGS.</t>
  </si>
  <si>
    <t>DIO remains stable, with raw materials still representing 10.7% of COGS. Inventory management remains efficient.</t>
  </si>
  <si>
    <t>Significant increase in raw materials (31.9% of COGS), causing DIO to triple. This could indicate a buildup of inventory, potentially anticipating higher sales.</t>
  </si>
  <si>
    <t>6.25</t>
  </si>
  <si>
    <t>DIO continues to rise as raw material inventory (30.5% of COGS) is high. This signals that sales are not catching up with stock accumulation.</t>
  </si>
  <si>
    <t>7.2</t>
  </si>
  <si>
    <t>The upward DIO trend persists as raw material inventory increases to 34.7% of COGS. Potential overstocking risk is apparent if sales don’t pick up.</t>
  </si>
  <si>
    <t>8.5</t>
  </si>
  <si>
    <t>With raw material inventory now 58.8% of COGS, inventory buildup is impacting efficiency. Stock levels are well above expected demand.</t>
  </si>
  <si>
    <t>9.7</t>
  </si>
  <si>
    <t>Inventory continues to rise (52.7% of COGS), further lengthening DIO. There may be liquidity constraints if this continues.</t>
  </si>
  <si>
    <t>10.75</t>
  </si>
  <si>
    <t>DIO reaches 18, with raw materials making up 57.6% of COGS. This could be a concern for cash flow if inventory is not moving quickly.</t>
  </si>
  <si>
    <t>12.2</t>
  </si>
  <si>
    <t>A further increase in DIO. Raw materials at 71.4% of COGS suggest a significant imbalance between stock levels and sales.</t>
  </si>
  <si>
    <t>13.9</t>
  </si>
  <si>
    <t>With raw materials now 76.4% of COGS, DIO rises further, reflecting inefficiencies in converting inventory into sales.</t>
  </si>
  <si>
    <t>14.8</t>
  </si>
  <si>
    <t>Slight decrease in DIO, but raw materials remain high at 72.7% of COGS. Potential risk of obsolete inventory if demand does not increase.</t>
  </si>
  <si>
    <t>15.6</t>
  </si>
  <si>
    <t>Highest DIO at 25, with raw material inventory now at 89.7% of COGS. This signals a major issue with excess stock, leading to high carrying costs.</t>
  </si>
  <si>
    <t>Global Trend (CFO Analysis)</t>
  </si>
  <si>
    <t>CFO YTD Insight (Detailed)</t>
  </si>
  <si>
    <t>The company begins the year with a very efficient inventory turnover rate, driven by fast-moving components like Components 1, 3, and 4. Component 2 shows some buildup, but overall, inventory is being converted into sales quickly. This suggests sound production planning and demand alignment.</t>
  </si>
  <si>
    <t>YTD DIO of 3 reflects strong management of liquidity through inventory, keeping cash tied up in stock to a minimum. This is a good starting point for the year, as it allows for flexibility in managing future supply chain challenges. Cash flow is healthy, with minimal working capital tied in stock.</t>
  </si>
  <si>
    <t>Despite a slight increase in Component 2’s DIO, overall inventory turnover remains efficient, with Component 1 having almost no inventory buildup (DIO = 1). There’s no significant risk yet, but attention may need to be placed on Component 2, where inventory levels could indicate slowing sales.</t>
  </si>
  <si>
    <t>With YTD DIO remaining at 3, the company continues to efficiently manage inventory, keeping cash available for operations. However, if Component 2’s slow turnover persists, it could affect liquidity in the coming months. Current liquidity is strong, but it’s essential to monitor future risks with Component 2.</t>
  </si>
  <si>
    <t>A marked increase in company DIO is evident due to significant buildup in Components 4 and 2. Component 4's DIO jumps to 19, indicating a substantial inventory accumulation, possibly due to overproduction or unmet sales forecasts. Components 1 and 3 continue to perform well, mitigating some of the impact.</t>
  </si>
  <si>
    <t>YTD DIO jumps to 5. This is a key turning point, signaling that the company’s overall liquidity could be under pressure if the buildup in Component 4 continues. The company’s working capital tied up in inventory has increased sharply, leading to potential constraints on liquidity if sales don’t catch up quickly.</t>
  </si>
  <si>
    <t>The upward trend in DIO continues, driven by Component 4's increasing DIO (31) and a slight rise in Component 5. Component 4 shows inefficient turnover and might require review in terms of sales planning or production cuts. Overall, inventory levels are starting to pose a risk to cash flow.</t>
  </si>
  <si>
    <t>YTD DIO increases further to 6.25, indicating a growing concern in liquidity management. The company now has more capital tied up in inventory, and cash flow might be strained if these stock levels are not reduced. Immediate action should be taken to clear excess inventory to avoid liquidity crunches.</t>
  </si>
  <si>
    <t>DIO continues to rise, particularly in Component 4, now reaching 39, and Component 2, at 13. This signals potential inefficiencies in inventory management. Component 5 remains under control, but the overall trend suggests potential overstocking and slowing demand, especially for Component 4.</t>
  </si>
  <si>
    <t>YTD DIO reaches 7.2, reflecting increasing inefficiency. The company must act to manage working capital, as the rise in inventory is leading to significant liquidity risks. The longer this trend continues, the more difficult it will be to manage cash flow for operating expenses or potential investments.</t>
  </si>
  <si>
    <t>DIO spikes significantly due to Component 4's DIO reaching 51. Inventory is building up rapidly across multiple components. This points to serious inefficiencies in stock management, with a potential risk of holding obsolete inventory if this trend is not corrected. Component 6 remains manageable.</t>
  </si>
  <si>
    <t>YTD DIO is now 8.5, suggesting a liquidity squeeze is imminent. With more cash tied up in unsold inventory, the company could face difficulties in meeting short-term financial obligations. This is a critical point for the company to adjust production levels and clear excess stock to stabilize cash flow.</t>
  </si>
  <si>
    <t>DIO continues to climb across several components, most notably Component 4, now at 56. The rise in Component 1 also indicates a broader issue of excess stock across various segments. The company is holding inventory for far longer than optimal, which will lead to higher storage costs and cash pressure.</t>
  </si>
  <si>
    <t>YTD DIO of 9.7 shows a steady deterioration in liquidity. The company’s working capital management is weakening, with excess inventory threatening cash flow. At this stage, liquidity management must be a top priority. Urgent measures are needed to either boost sales or slow production to regain balance.</t>
  </si>
  <si>
    <t>The overall company DIO continues to worsen. Component 4’s inventory days are now at 52, while Components 1 and 3 also show slower turnover. The situation is now at a point where the buildup of inventory is deeply affecting the company’s ability to generate cash efficiently.</t>
  </si>
  <si>
    <t>YTD DIO at 10.75 marks a critical turning point, with liquidity pressures likely escalating. A large proportion of cash is locked up in inventory that isn’t moving, and the company risks running into liquidity issues. A thorough review of inventory, sales forecasts, and production levels is urgently required.</t>
  </si>
  <si>
    <t>DIO continues its upward trajectory. Components 4 and 1 continue to drive the inefficiencies, with DIO at 60 for Component 4. This signals a major issue with overproduction or misalignment with demand forecasts. The company faces significant risks from carrying such large stock levels.</t>
  </si>
  <si>
    <t>YTD DIO of 12.2 indicates a severe liquidity risk. Cash flow has been severely impacted by excessive inventory levels, which are not being converted into sales quickly enough. The company needs to take immediate action to cut back on production or implement aggressive sales strategies to clear out excess stock.</t>
  </si>
  <si>
    <t>DIO has reached unsustainable levels. Component 4 is now at 67, indicating severe overstocking. Component 1 is also showing signs of excess, with a DIO of 33. The company is holding far too much inventory relative to sales, and this will begin to put serious pressure on financial stability.</t>
  </si>
  <si>
    <t>YTD DIO at 13.9 signals that liquidity management is now in crisis territory. The company’s ability to meet its short-term obligations is becoming compromised due to the significant amount of cash tied up in inventory. Emergency measures are necessary to rebalance inventory levels and protect the company’s cash flow.</t>
  </si>
  <si>
    <t>A slight improvement in overall DIO but still very high. Components 4 and 1 remain problematic, with DIOs of 65 and 44, respectively. While there’s some improvement, the overall inefficiency persists, and the company remains at risk of liquidity shortfalls due to excess inventory.</t>
  </si>
  <si>
    <t>YTD DIO of 14.8 shows that while there is some stabilization, liquidity remains under pressure. The company is still facing cash flow constraints, and unless excess inventory is addressed, it will struggle to meet its financial obligations. The small improvement should be capitalized on by taking decisive action.</t>
  </si>
  <si>
    <t>The year ends with the highest DIO of the year, driven primarily by Component 4 (DIO of 75) and Component 1 (DIO of 33). The company’s inventory levels are at unsustainable highs, and unless sales drastically increase, the company will face liquidity crunches in the near term.</t>
  </si>
  <si>
    <t>YTD DIO of 15.6 indicates a major liquidity crisis. The company has failed to convert inventory into cash quickly enough, leading to significant cash flow problems. Immediate corrective actions must be taken to avoid insolvency or the need for emergency financing to cover short-term financial commitments.</t>
  </si>
  <si>
    <t>Closing Cashflow</t>
  </si>
  <si>
    <t>Detailed CFO Insights</t>
  </si>
  <si>
    <t>YTD Cash Flow Insights</t>
  </si>
  <si>
    <t>-1,879 K$</t>
  </si>
  <si>
    <t>3,608 K$</t>
  </si>
  <si>
    <r>
      <t>EBITDA at 617 K$</t>
    </r>
    <r>
      <rPr>
        <sz val="11"/>
        <color theme="1"/>
        <rFont val="Aptos Narrow"/>
        <family val="2"/>
        <scheme val="minor"/>
      </rPr>
      <t xml:space="preserve">: Supported by positive accounts payable variation (+21,834 K$) but offset by a substantial increase in accounts receivable (-15,746 K$), indicating possible inefficiency in collections or sales on credit. </t>
    </r>
    <r>
      <rPr>
        <b/>
        <sz val="11"/>
        <color theme="1"/>
        <rFont val="Aptos Narrow"/>
        <family val="2"/>
        <scheme val="minor"/>
      </rPr>
      <t>Raw material inventory decreased by 1,217 K$</t>
    </r>
    <r>
      <rPr>
        <sz val="11"/>
        <color theme="1"/>
        <rFont val="Aptos Narrow"/>
        <family val="2"/>
        <scheme val="minor"/>
      </rPr>
      <t xml:space="preserve">, reflecting efficient stock management. </t>
    </r>
    <r>
      <rPr>
        <b/>
        <sz val="11"/>
        <color theme="1"/>
        <rFont val="Aptos Narrow"/>
        <family val="2"/>
        <scheme val="minor"/>
      </rPr>
      <t>Net cash flow of 5,487 K$</t>
    </r>
    <r>
      <rPr>
        <sz val="11"/>
        <color theme="1"/>
        <rFont val="Aptos Narrow"/>
        <family val="2"/>
        <scheme val="minor"/>
      </rPr>
      <t>, strong start supported by operational cash flow despite the large receivable variation.</t>
    </r>
  </si>
  <si>
    <t>3,607 K$</t>
  </si>
  <si>
    <r>
      <t>EBITDA decreased to 572 K$ (-7.3%)</t>
    </r>
    <r>
      <rPr>
        <sz val="11"/>
        <color theme="1"/>
        <rFont val="Aptos Narrow"/>
        <family val="2"/>
        <scheme val="minor"/>
      </rPr>
      <t xml:space="preserve">: Lower operational profitability, with </t>
    </r>
    <r>
      <rPr>
        <b/>
        <sz val="11"/>
        <color theme="1"/>
        <rFont val="Aptos Narrow"/>
        <family val="2"/>
        <scheme val="minor"/>
      </rPr>
      <t>receivables reducing by +3,620 K$</t>
    </r>
    <r>
      <rPr>
        <sz val="11"/>
        <color theme="1"/>
        <rFont val="Aptos Narrow"/>
        <family val="2"/>
        <scheme val="minor"/>
      </rPr>
      <t xml:space="preserve"> (a positive sign of improved collections). However, </t>
    </r>
    <r>
      <rPr>
        <b/>
        <sz val="11"/>
        <color theme="1"/>
        <rFont val="Aptos Narrow"/>
        <family val="2"/>
        <scheme val="minor"/>
      </rPr>
      <t>accounts payable declined significantly (-14,021 K$)</t>
    </r>
    <r>
      <rPr>
        <sz val="11"/>
        <color theme="1"/>
        <rFont val="Aptos Narrow"/>
        <family val="2"/>
        <scheme val="minor"/>
      </rPr>
      <t xml:space="preserve">, indicating faster payments to suppliers. This resulted in a </t>
    </r>
    <r>
      <rPr>
        <b/>
        <sz val="11"/>
        <color theme="1"/>
        <rFont val="Aptos Narrow"/>
        <family val="2"/>
        <scheme val="minor"/>
      </rPr>
      <t>net operating cash outflow of -8,360 K$</t>
    </r>
    <r>
      <rPr>
        <sz val="11"/>
        <color theme="1"/>
        <rFont val="Aptos Narrow"/>
        <family val="2"/>
        <scheme val="minor"/>
      </rPr>
      <t>, leading to almost breakeven cash flow for the month.</t>
    </r>
  </si>
  <si>
    <t>-1,390 K$</t>
  </si>
  <si>
    <r>
      <t>Negative EBITDA of -1,416 K$</t>
    </r>
    <r>
      <rPr>
        <sz val="11"/>
        <color theme="1"/>
        <rFont val="Aptos Narrow"/>
        <family val="2"/>
        <scheme val="minor"/>
      </rPr>
      <t xml:space="preserve">: First month of EBITDA losses, leading to </t>
    </r>
    <r>
      <rPr>
        <b/>
        <sz val="11"/>
        <color theme="1"/>
        <rFont val="Aptos Narrow"/>
        <family val="2"/>
        <scheme val="minor"/>
      </rPr>
      <t>operating cash outflow of -4,978 K$</t>
    </r>
    <r>
      <rPr>
        <sz val="11"/>
        <color theme="1"/>
        <rFont val="Aptos Narrow"/>
        <family val="2"/>
        <scheme val="minor"/>
      </rPr>
      <t xml:space="preserve">. This is worsened by a </t>
    </r>
    <r>
      <rPr>
        <b/>
        <sz val="11"/>
        <color theme="1"/>
        <rFont val="Aptos Narrow"/>
        <family val="2"/>
        <scheme val="minor"/>
      </rPr>
      <t>decline in raw material inventory (-1,974 K$)</t>
    </r>
    <r>
      <rPr>
        <sz val="11"/>
        <color theme="1"/>
        <rFont val="Aptos Narrow"/>
        <family val="2"/>
        <scheme val="minor"/>
      </rPr>
      <t xml:space="preserve">, indicating production inefficiencies or excess stock. </t>
    </r>
    <r>
      <rPr>
        <b/>
        <sz val="11"/>
        <color theme="1"/>
        <rFont val="Aptos Narrow"/>
        <family val="2"/>
        <scheme val="minor"/>
      </rPr>
      <t>Receivables (+5,137 K$)</t>
    </r>
    <r>
      <rPr>
        <sz val="11"/>
        <color theme="1"/>
        <rFont val="Aptos Narrow"/>
        <family val="2"/>
        <scheme val="minor"/>
      </rPr>
      <t xml:space="preserve"> are now improving, yet </t>
    </r>
    <r>
      <rPr>
        <b/>
        <sz val="11"/>
        <color theme="1"/>
        <rFont val="Aptos Narrow"/>
        <family val="2"/>
        <scheme val="minor"/>
      </rPr>
      <t>payables continue to drop (-6,726 K$)</t>
    </r>
    <r>
      <rPr>
        <sz val="11"/>
        <color theme="1"/>
        <rFont val="Aptos Narrow"/>
        <family val="2"/>
        <scheme val="minor"/>
      </rPr>
      <t>, reflecting weaker negotiating terms with suppliers.</t>
    </r>
  </si>
  <si>
    <t>17,014 K$</t>
  </si>
  <si>
    <r>
      <t>EBITDA returns positive to 481 K$</t>
    </r>
    <r>
      <rPr>
        <sz val="11"/>
        <color theme="1"/>
        <rFont val="Aptos Narrow"/>
        <family val="2"/>
        <scheme val="minor"/>
      </rPr>
      <t xml:space="preserve">: Significant rebound driven by </t>
    </r>
    <r>
      <rPr>
        <b/>
        <sz val="11"/>
        <color theme="1"/>
        <rFont val="Aptos Narrow"/>
        <family val="2"/>
        <scheme val="minor"/>
      </rPr>
      <t>receivables (+16,231 K$)</t>
    </r>
    <r>
      <rPr>
        <sz val="11"/>
        <color theme="1"/>
        <rFont val="Aptos Narrow"/>
        <family val="2"/>
        <scheme val="minor"/>
      </rPr>
      <t xml:space="preserve">, indicating strong collections. However, </t>
    </r>
    <r>
      <rPr>
        <b/>
        <sz val="11"/>
        <color theme="1"/>
        <rFont val="Aptos Narrow"/>
        <family val="2"/>
        <scheme val="minor"/>
      </rPr>
      <t>payables remain weak (+204 K$)</t>
    </r>
    <r>
      <rPr>
        <sz val="11"/>
        <color theme="1"/>
        <rFont val="Aptos Narrow"/>
        <family val="2"/>
        <scheme val="minor"/>
      </rPr>
      <t xml:space="preserve">, meaning supplier payments are still not extending. </t>
    </r>
    <r>
      <rPr>
        <b/>
        <sz val="11"/>
        <color theme="1"/>
        <rFont val="Aptos Narrow"/>
        <family val="2"/>
        <scheme val="minor"/>
      </rPr>
      <t>Raw material inventory shows a small increase (+1,483 K$)</t>
    </r>
    <r>
      <rPr>
        <sz val="11"/>
        <color theme="1"/>
        <rFont val="Aptos Narrow"/>
        <family val="2"/>
        <scheme val="minor"/>
      </rPr>
      <t xml:space="preserve">, which supports production. </t>
    </r>
    <r>
      <rPr>
        <b/>
        <sz val="11"/>
        <color theme="1"/>
        <rFont val="Aptos Narrow"/>
        <family val="2"/>
        <scheme val="minor"/>
      </rPr>
      <t>Net cash flow of 18,404 K$</t>
    </r>
    <r>
      <rPr>
        <sz val="11"/>
        <color theme="1"/>
        <rFont val="Aptos Narrow"/>
        <family val="2"/>
        <scheme val="minor"/>
      </rPr>
      <t>, driven by large inflow from receivables.</t>
    </r>
  </si>
  <si>
    <t>2,714 K$</t>
  </si>
  <si>
    <r>
      <t>EBITDA drops to -337 K$</t>
    </r>
    <r>
      <rPr>
        <sz val="11"/>
        <color theme="1"/>
        <rFont val="Aptos Narrow"/>
        <family val="2"/>
        <scheme val="minor"/>
      </rPr>
      <t xml:space="preserve">: Revenue or margin challenges emerge, and receivables increase again (-11,042 K$), signaling slower customer payments. Payables decline (-2,762 K$), putting more pressure on cash outflow. </t>
    </r>
    <r>
      <rPr>
        <b/>
        <sz val="11"/>
        <color theme="1"/>
        <rFont val="Aptos Narrow"/>
        <family val="2"/>
        <scheme val="minor"/>
      </rPr>
      <t>Raw materials remain stable (-122 K$)</t>
    </r>
    <r>
      <rPr>
        <sz val="11"/>
        <color theme="1"/>
        <rFont val="Aptos Narrow"/>
        <family val="2"/>
        <scheme val="minor"/>
      </rPr>
      <t xml:space="preserve">. </t>
    </r>
    <r>
      <rPr>
        <b/>
        <sz val="11"/>
        <color theme="1"/>
        <rFont val="Aptos Narrow"/>
        <family val="2"/>
        <scheme val="minor"/>
      </rPr>
      <t>Operating cash outflow of -14,263 K$</t>
    </r>
    <r>
      <rPr>
        <sz val="11"/>
        <color theme="1"/>
        <rFont val="Aptos Narrow"/>
        <family val="2"/>
        <scheme val="minor"/>
      </rPr>
      <t xml:space="preserve"> highlights the challenge.</t>
    </r>
  </si>
  <si>
    <t>543 K$</t>
  </si>
  <si>
    <r>
      <t>EBITDA rebounds to 2,281 K$ (+7%)</t>
    </r>
    <r>
      <rPr>
        <sz val="11"/>
        <color theme="1"/>
        <rFont val="Aptos Narrow"/>
        <family val="2"/>
        <scheme val="minor"/>
      </rPr>
      <t xml:space="preserve">: Positive operational improvement supported by </t>
    </r>
    <r>
      <rPr>
        <b/>
        <sz val="11"/>
        <color theme="1"/>
        <rFont val="Aptos Narrow"/>
        <family val="2"/>
        <scheme val="minor"/>
      </rPr>
      <t>reduction in receivables (+3,034 K$)</t>
    </r>
    <r>
      <rPr>
        <sz val="11"/>
        <color theme="1"/>
        <rFont val="Aptos Narrow"/>
        <family val="2"/>
        <scheme val="minor"/>
      </rPr>
      <t xml:space="preserve"> and </t>
    </r>
    <r>
      <rPr>
        <b/>
        <sz val="11"/>
        <color theme="1"/>
        <rFont val="Aptos Narrow"/>
        <family val="2"/>
        <scheme val="minor"/>
      </rPr>
      <t>stable payables (-450 K$)</t>
    </r>
    <r>
      <rPr>
        <sz val="11"/>
        <color theme="1"/>
        <rFont val="Aptos Narrow"/>
        <family val="2"/>
        <scheme val="minor"/>
      </rPr>
      <t>. However, cash from operations remains negative (-2,187 K$), as cash management issues persist despite EBITDA improvement.</t>
    </r>
  </si>
  <si>
    <t>9,637 K$</t>
  </si>
  <si>
    <r>
      <t>EBITDA turns negative (-1,440 K$)</t>
    </r>
    <r>
      <rPr>
        <sz val="11"/>
        <color theme="1"/>
        <rFont val="Aptos Narrow"/>
        <family val="2"/>
        <scheme val="minor"/>
      </rPr>
      <t xml:space="preserve">: Driven by operational losses and poor payables performance. However, receivables improve significantly (+5,614 K$), providing strong cash inflow. </t>
    </r>
    <r>
      <rPr>
        <b/>
        <sz val="11"/>
        <color theme="1"/>
        <rFont val="Aptos Narrow"/>
        <family val="2"/>
        <scheme val="minor"/>
      </rPr>
      <t>Operating cash flow remains positive at 9,073 K$</t>
    </r>
    <r>
      <rPr>
        <sz val="11"/>
        <color theme="1"/>
        <rFont val="Aptos Narrow"/>
        <family val="2"/>
        <scheme val="minor"/>
      </rPr>
      <t xml:space="preserve"> due to receivable collections.</t>
    </r>
  </si>
  <si>
    <t>8,005 K$</t>
  </si>
  <si>
    <r>
      <t>EBITDA remains negative (-1,275 K$)</t>
    </r>
    <r>
      <rPr>
        <sz val="11"/>
        <color theme="1"/>
        <rFont val="Aptos Narrow"/>
        <family val="2"/>
        <scheme val="minor"/>
      </rPr>
      <t xml:space="preserve">: This is now a continued operational trend. </t>
    </r>
    <r>
      <rPr>
        <b/>
        <sz val="11"/>
        <color theme="1"/>
        <rFont val="Aptos Narrow"/>
        <family val="2"/>
        <scheme val="minor"/>
      </rPr>
      <t>Receivables worsen again (-1,231 K$)</t>
    </r>
    <r>
      <rPr>
        <sz val="11"/>
        <color theme="1"/>
        <rFont val="Aptos Narrow"/>
        <family val="2"/>
        <scheme val="minor"/>
      </rPr>
      <t xml:space="preserve">, reducing collections. </t>
    </r>
    <r>
      <rPr>
        <b/>
        <sz val="11"/>
        <color theme="1"/>
        <rFont val="Aptos Narrow"/>
        <family val="2"/>
        <scheme val="minor"/>
      </rPr>
      <t>Payables provide small relief (+474 K$)</t>
    </r>
    <r>
      <rPr>
        <sz val="11"/>
        <color theme="1"/>
        <rFont val="Aptos Narrow"/>
        <family val="2"/>
        <scheme val="minor"/>
      </rPr>
      <t xml:space="preserve">, but this is not enough to fully recover. </t>
    </r>
    <r>
      <rPr>
        <b/>
        <sz val="11"/>
        <color theme="1"/>
        <rFont val="Aptos Narrow"/>
        <family val="2"/>
        <scheme val="minor"/>
      </rPr>
      <t>Operating cash outflow of -1,636 K$</t>
    </r>
    <r>
      <rPr>
        <sz val="11"/>
        <color theme="1"/>
        <rFont val="Aptos Narrow"/>
        <family val="2"/>
        <scheme val="minor"/>
      </rPr>
      <t xml:space="preserve"> marks another challenging month.</t>
    </r>
  </si>
  <si>
    <t>1,880 K$</t>
  </si>
  <si>
    <r>
      <t>EBITDA turns positive at 1,313 K$</t>
    </r>
    <r>
      <rPr>
        <sz val="11"/>
        <color theme="1"/>
        <rFont val="Aptos Narrow"/>
        <family val="2"/>
        <scheme val="minor"/>
      </rPr>
      <t xml:space="preserve">: Strong improvement in profitability, but </t>
    </r>
    <r>
      <rPr>
        <b/>
        <sz val="11"/>
        <color theme="1"/>
        <rFont val="Aptos Narrow"/>
        <family val="2"/>
        <scheme val="minor"/>
      </rPr>
      <t>payables decline heavily (-7,346 K$)</t>
    </r>
    <r>
      <rPr>
        <sz val="11"/>
        <color theme="1"/>
        <rFont val="Aptos Narrow"/>
        <family val="2"/>
        <scheme val="minor"/>
      </rPr>
      <t xml:space="preserve">, putting strain on cash flow. Receivables improve slightly (+556 K$), but not enough to offset payable reduction. </t>
    </r>
    <r>
      <rPr>
        <b/>
        <sz val="11"/>
        <color theme="1"/>
        <rFont val="Aptos Narrow"/>
        <family val="2"/>
        <scheme val="minor"/>
      </rPr>
      <t>Operating cash outflow of -6,122 K$</t>
    </r>
    <r>
      <rPr>
        <sz val="11"/>
        <color theme="1"/>
        <rFont val="Aptos Narrow"/>
        <family val="2"/>
        <scheme val="minor"/>
      </rPr>
      <t xml:space="preserve"> highlights the company's struggle.</t>
    </r>
  </si>
  <si>
    <t>13,360 K$</t>
  </si>
  <si>
    <r>
      <t>EBITDA drops to -458 K$</t>
    </r>
    <r>
      <rPr>
        <sz val="11"/>
        <color theme="1"/>
        <rFont val="Aptos Narrow"/>
        <family val="2"/>
        <scheme val="minor"/>
      </rPr>
      <t xml:space="preserve">: Receivables improve significantly (+5,861 K$), leading to a </t>
    </r>
    <r>
      <rPr>
        <b/>
        <sz val="11"/>
        <color theme="1"/>
        <rFont val="Aptos Narrow"/>
        <family val="2"/>
        <scheme val="minor"/>
      </rPr>
      <t>large cash inflow (+11,500 K$)</t>
    </r>
    <r>
      <rPr>
        <sz val="11"/>
        <color theme="1"/>
        <rFont val="Aptos Narrow"/>
        <family val="2"/>
        <scheme val="minor"/>
      </rPr>
      <t xml:space="preserve">. However, </t>
    </r>
    <r>
      <rPr>
        <b/>
        <sz val="11"/>
        <color theme="1"/>
        <rFont val="Aptos Narrow"/>
        <family val="2"/>
        <scheme val="minor"/>
      </rPr>
      <t>payables improve only moderately (+5,926 K$)</t>
    </r>
    <r>
      <rPr>
        <sz val="11"/>
        <color theme="1"/>
        <rFont val="Aptos Narrow"/>
        <family val="2"/>
        <scheme val="minor"/>
      </rPr>
      <t>. Net cash flow benefits from the strong receivables.</t>
    </r>
  </si>
  <si>
    <t>4,961 K$</t>
  </si>
  <si>
    <r>
      <t>EBITDA continues negative (-239 K$)</t>
    </r>
    <r>
      <rPr>
        <sz val="11"/>
        <color theme="1"/>
        <rFont val="Aptos Narrow"/>
        <family val="2"/>
        <scheme val="minor"/>
      </rPr>
      <t xml:space="preserve">: Receivables worsen significantly (-8,264 K$), contributing to a </t>
    </r>
    <r>
      <rPr>
        <b/>
        <sz val="11"/>
        <color theme="1"/>
        <rFont val="Aptos Narrow"/>
        <family val="2"/>
        <scheme val="minor"/>
      </rPr>
      <t>major cash outflow of -8,403 K$</t>
    </r>
    <r>
      <rPr>
        <sz val="11"/>
        <color theme="1"/>
        <rFont val="Aptos Narrow"/>
        <family val="2"/>
        <scheme val="minor"/>
      </rPr>
      <t xml:space="preserve">. </t>
    </r>
    <r>
      <rPr>
        <b/>
        <sz val="11"/>
        <color theme="1"/>
        <rFont val="Aptos Narrow"/>
        <family val="2"/>
        <scheme val="minor"/>
      </rPr>
      <t>Payables also weaken (-619 K$)</t>
    </r>
    <r>
      <rPr>
        <sz val="11"/>
        <color theme="1"/>
        <rFont val="Aptos Narrow"/>
        <family val="2"/>
        <scheme val="minor"/>
      </rPr>
      <t>, which further tightens liquidity. Immediate action is required to address receivables.</t>
    </r>
  </si>
  <si>
    <t>7,353 K$</t>
  </si>
  <si>
    <r>
      <t>EBITDA turns positive at 298 K$</t>
    </r>
    <r>
      <rPr>
        <sz val="11"/>
        <color theme="1"/>
        <rFont val="Aptos Narrow"/>
        <family val="2"/>
        <scheme val="minor"/>
      </rPr>
      <t xml:space="preserve">: Profitability starts to recover, and receivables improve significantly (+4,792 K$), resulting in </t>
    </r>
    <r>
      <rPr>
        <b/>
        <sz val="11"/>
        <color theme="1"/>
        <rFont val="Aptos Narrow"/>
        <family val="2"/>
        <scheme val="minor"/>
      </rPr>
      <t>positive net cash flow of 2,392 K$</t>
    </r>
    <r>
      <rPr>
        <sz val="11"/>
        <color theme="1"/>
        <rFont val="Aptos Narrow"/>
        <family val="2"/>
        <scheme val="minor"/>
      </rPr>
      <t>. Payables drop (-1,744 K$), but the impact is manageable.</t>
    </r>
  </si>
  <si>
    <t>Net positive cash position YTD despite the significant hit from receivables, showing robust working capital management through payables. Beginning the year with a net cash inflow ensures early liquidity resilience.</t>
  </si>
  <si>
    <t xml:space="preserve"> Sharp drop in operating cash flows due to a decrease in payables, but collections improved. Cumulative cash inflows now balanced by a slower accrual of receivables, signaling early pressure on liquidity.</t>
  </si>
  <si>
    <t xml:space="preserve"> Weak operational performance in March creates the first cash outflow of the year. Need to monitor accounts payable and manage cash reserves closely.</t>
  </si>
  <si>
    <t xml:space="preserve"> April brings the largest positive monthly inflow yet, driven by strong collections. This reversal positions the company with strong liquidity to counteract the early-year pressures.</t>
  </si>
  <si>
    <t xml:space="preserve"> Despite the strong start, May's outflow brings net YTD cash position lower. The business is at risk of liquidity tightening if receivable management doesn't improve swiftly.</t>
  </si>
  <si>
    <t xml:space="preserve"> June's operational cash outflow limits liquidity recovery. Stronger working capital control is needed, especially in extending payables and maintaining receivable reductions.</t>
  </si>
  <si>
    <t xml:space="preserve"> Collections in July provide some relief, but the company must address operational profitability issues to prevent further cash pressure in the coming months.</t>
  </si>
  <si>
    <t xml:space="preserve"> The continued operational issues, with worsening receivables and negative EBITDA, are reducing overall liquidity. Focus must shift to addressing EBITDA decline and payables management.</t>
  </si>
  <si>
    <t xml:space="preserve"> September's high outflow marks a steep decline in YTD cash flow, highlighting weak working capital management despite a return to profitability. Immediate actions are required.</t>
  </si>
  <si>
    <t xml:space="preserve"> October's large inflows restore the company's liquidity position. Strong collections and cash control help offset EBITDA challenges.</t>
  </si>
  <si>
    <t xml:space="preserve"> November's sharp outflow threatens liquidity despite previous improvements. The company must urgently tackle receivable delays and work to improve operational profitability.</t>
  </si>
  <si>
    <t xml:space="preserve"> December closes the year with a stable cash position. Collections improve, and profitability returns, positioning the company for a stronger liquidity position into the next year.</t>
  </si>
  <si>
    <t>No comments</t>
  </si>
  <si>
    <t>Margin comments</t>
  </si>
  <si>
    <t>Revenue comments</t>
  </si>
  <si>
    <t>Ebitda comments</t>
  </si>
  <si>
    <t>Cash Management</t>
  </si>
  <si>
    <t>Executive summary comment</t>
  </si>
  <si>
    <t>No specific comments on January's performance were provided. January serves as the foundational period for gauging performance metrics such as revenue run rate, margin thresholds, and initial working capital health. Given the absence of major fluctuations, it can be treated as the base for measuring subsequent deviations.</t>
  </si>
  <si>
    <r>
      <t>Strategic Recommendation</t>
    </r>
    <r>
      <rPr>
        <sz val="11"/>
        <color theme="1"/>
        <rFont val="Aptos Narrow"/>
        <family val="2"/>
        <scheme val="minor"/>
      </rPr>
      <t xml:space="preserve">: Use this month to set strategic benchmarks for key metrics such as </t>
    </r>
    <r>
      <rPr>
        <b/>
        <sz val="11"/>
        <color theme="1"/>
        <rFont val="Aptos Narrow"/>
        <family val="2"/>
        <scheme val="minor"/>
      </rPr>
      <t>Revenue Growth Targets</t>
    </r>
    <r>
      <rPr>
        <sz val="11"/>
        <color theme="1"/>
        <rFont val="Aptos Narrow"/>
        <family val="2"/>
        <scheme val="minor"/>
      </rPr>
      <t xml:space="preserve">, </t>
    </r>
    <r>
      <rPr>
        <b/>
        <sz val="11"/>
        <color theme="1"/>
        <rFont val="Aptos Narrow"/>
        <family val="2"/>
        <scheme val="minor"/>
      </rPr>
      <t>Margin Efficiency</t>
    </r>
    <r>
      <rPr>
        <sz val="11"/>
        <color theme="1"/>
        <rFont val="Aptos Narrow"/>
        <family val="2"/>
        <scheme val="minor"/>
      </rPr>
      <t xml:space="preserve">, </t>
    </r>
    <r>
      <rPr>
        <b/>
        <sz val="11"/>
        <color theme="1"/>
        <rFont val="Aptos Narrow"/>
        <family val="2"/>
        <scheme val="minor"/>
      </rPr>
      <t>Cash Flow Adequacy</t>
    </r>
    <r>
      <rPr>
        <sz val="11"/>
        <color theme="1"/>
        <rFont val="Aptos Narrow"/>
        <family val="2"/>
        <scheme val="minor"/>
      </rPr>
      <t xml:space="preserve">, and </t>
    </r>
    <r>
      <rPr>
        <b/>
        <sz val="11"/>
        <color theme="1"/>
        <rFont val="Aptos Narrow"/>
        <family val="2"/>
        <scheme val="minor"/>
      </rPr>
      <t>Working Capital</t>
    </r>
    <r>
      <rPr>
        <sz val="11"/>
        <color theme="1"/>
        <rFont val="Aptos Narrow"/>
        <family val="2"/>
        <scheme val="minor"/>
      </rPr>
      <t xml:space="preserve">. Establish KPI dashboards to track performance from here onwards. Any </t>
    </r>
    <r>
      <rPr>
        <b/>
        <sz val="11"/>
        <color theme="1"/>
        <rFont val="Aptos Narrow"/>
        <family val="2"/>
        <scheme val="minor"/>
      </rPr>
      <t>seasonality impacts</t>
    </r>
    <r>
      <rPr>
        <sz val="11"/>
        <color theme="1"/>
        <rFont val="Aptos Narrow"/>
        <family val="2"/>
        <scheme val="minor"/>
      </rPr>
      <t xml:space="preserve"> should also be mapped out at this stage to anticipate monthly fluctuations.</t>
    </r>
  </si>
  <si>
    <r>
      <t xml:space="preserve">Revenue dropped by </t>
    </r>
    <r>
      <rPr>
        <b/>
        <sz val="11"/>
        <color theme="1"/>
        <rFont val="Aptos Narrow"/>
        <family val="2"/>
        <scheme val="minor"/>
      </rPr>
      <t>1.02M$</t>
    </r>
    <r>
      <rPr>
        <sz val="11"/>
        <color theme="1"/>
        <rFont val="Aptos Narrow"/>
        <family val="2"/>
        <scheme val="minor"/>
      </rPr>
      <t xml:space="preserve">, largely due to </t>
    </r>
    <r>
      <rPr>
        <b/>
        <sz val="11"/>
        <color theme="1"/>
        <rFont val="Aptos Narrow"/>
        <family val="2"/>
        <scheme val="minor"/>
      </rPr>
      <t>Client 1</t>
    </r>
    <r>
      <rPr>
        <sz val="11"/>
        <color theme="1"/>
        <rFont val="Aptos Narrow"/>
        <family val="2"/>
        <scheme val="minor"/>
      </rPr>
      <t xml:space="preserve"> contributing a massive </t>
    </r>
    <r>
      <rPr>
        <b/>
        <sz val="11"/>
        <color theme="1"/>
        <rFont val="Aptos Narrow"/>
        <family val="2"/>
        <scheme val="minor"/>
      </rPr>
      <t>1.8M$</t>
    </r>
    <r>
      <rPr>
        <sz val="11"/>
        <color theme="1"/>
        <rFont val="Aptos Narrow"/>
        <family val="2"/>
        <scheme val="minor"/>
      </rPr>
      <t xml:space="preserve"> to the negative variance. </t>
    </r>
    <r>
      <rPr>
        <b/>
        <sz val="11"/>
        <color theme="1"/>
        <rFont val="Aptos Narrow"/>
        <family val="2"/>
        <scheme val="minor"/>
      </rPr>
      <t>Cost management</t>
    </r>
    <r>
      <rPr>
        <sz val="11"/>
        <color theme="1"/>
        <rFont val="Aptos Narrow"/>
        <family val="2"/>
        <scheme val="minor"/>
      </rPr>
      <t xml:space="preserve"> was robust, mitigating some of the margin pressure, with efficiencies driving </t>
    </r>
    <r>
      <rPr>
        <b/>
        <sz val="11"/>
        <color theme="1"/>
        <rFont val="Aptos Narrow"/>
        <family val="2"/>
        <scheme val="minor"/>
      </rPr>
      <t>+76% contribution</t>
    </r>
    <r>
      <rPr>
        <sz val="11"/>
        <color theme="1"/>
        <rFont val="Aptos Narrow"/>
        <family val="2"/>
        <scheme val="minor"/>
      </rPr>
      <t xml:space="preserve"> to offset a </t>
    </r>
    <r>
      <rPr>
        <b/>
        <sz val="11"/>
        <color theme="1"/>
        <rFont val="Aptos Narrow"/>
        <family val="2"/>
        <scheme val="minor"/>
      </rPr>
      <t>-24% revenue impact</t>
    </r>
    <r>
      <rPr>
        <sz val="11"/>
        <color theme="1"/>
        <rFont val="Aptos Narrow"/>
        <family val="2"/>
        <scheme val="minor"/>
      </rPr>
      <t xml:space="preserve">. </t>
    </r>
    <r>
      <rPr>
        <b/>
        <sz val="11"/>
        <color theme="1"/>
        <rFont val="Aptos Narrow"/>
        <family val="2"/>
        <scheme val="minor"/>
      </rPr>
      <t>DSO surged to 63 days</t>
    </r>
    <r>
      <rPr>
        <sz val="11"/>
        <color theme="1"/>
        <rFont val="Aptos Narrow"/>
        <family val="2"/>
        <scheme val="minor"/>
      </rPr>
      <t xml:space="preserve">, reflecting an alarming slowdown in collections, while </t>
    </r>
    <r>
      <rPr>
        <b/>
        <sz val="11"/>
        <color theme="1"/>
        <rFont val="Aptos Narrow"/>
        <family val="2"/>
        <scheme val="minor"/>
      </rPr>
      <t>DPO</t>
    </r>
    <r>
      <rPr>
        <sz val="11"/>
        <color theme="1"/>
        <rFont val="Aptos Narrow"/>
        <family val="2"/>
        <scheme val="minor"/>
      </rPr>
      <t xml:space="preserve"> reliance on suppliers increased. </t>
    </r>
    <r>
      <rPr>
        <b/>
        <sz val="11"/>
        <color theme="1"/>
        <rFont val="Aptos Narrow"/>
        <family val="2"/>
        <scheme val="minor"/>
      </rPr>
      <t>Inventory management (DIO)</t>
    </r>
    <r>
      <rPr>
        <sz val="11"/>
        <color theme="1"/>
        <rFont val="Aptos Narrow"/>
        <family val="2"/>
        <scheme val="minor"/>
      </rPr>
      <t xml:space="preserve"> remained stable, but the reliance on extending payable terms suggests liquidity pressures are rising.</t>
    </r>
  </si>
  <si>
    <r>
      <t>Strategic Focus</t>
    </r>
    <r>
      <rPr>
        <sz val="11"/>
        <color theme="1"/>
        <rFont val="Aptos Narrow"/>
        <family val="2"/>
        <scheme val="minor"/>
      </rPr>
      <t xml:space="preserve">: Diversification away from </t>
    </r>
    <r>
      <rPr>
        <b/>
        <sz val="11"/>
        <color theme="1"/>
        <rFont val="Aptos Narrow"/>
        <family val="2"/>
        <scheme val="minor"/>
      </rPr>
      <t>Client 1</t>
    </r>
    <r>
      <rPr>
        <sz val="11"/>
        <color theme="1"/>
        <rFont val="Aptos Narrow"/>
        <family val="2"/>
        <scheme val="minor"/>
      </rPr>
      <t xml:space="preserve"> is critical. Immediate steps should be taken to </t>
    </r>
    <r>
      <rPr>
        <b/>
        <sz val="11"/>
        <color theme="1"/>
        <rFont val="Aptos Narrow"/>
        <family val="2"/>
        <scheme val="minor"/>
      </rPr>
      <t>reduce client concentration risk</t>
    </r>
    <r>
      <rPr>
        <sz val="11"/>
        <color theme="1"/>
        <rFont val="Aptos Narrow"/>
        <family val="2"/>
        <scheme val="minor"/>
      </rPr>
      <t xml:space="preserve">, as dependency on a single client for a large portion of revenue is a systemic risk. Introduce a </t>
    </r>
    <r>
      <rPr>
        <b/>
        <sz val="11"/>
        <color theme="1"/>
        <rFont val="Aptos Narrow"/>
        <family val="2"/>
        <scheme val="minor"/>
      </rPr>
      <t>revenue diversification strategy</t>
    </r>
    <r>
      <rPr>
        <sz val="11"/>
        <color theme="1"/>
        <rFont val="Aptos Narrow"/>
        <family val="2"/>
        <scheme val="minor"/>
      </rPr>
      <t xml:space="preserve">—target at least a 10% shift toward mid-tier clients within the next quarter. On the working capital side, </t>
    </r>
    <r>
      <rPr>
        <b/>
        <sz val="11"/>
        <color theme="1"/>
        <rFont val="Aptos Narrow"/>
        <family val="2"/>
        <scheme val="minor"/>
      </rPr>
      <t>DSO deterioration</t>
    </r>
    <r>
      <rPr>
        <sz val="11"/>
        <color theme="1"/>
        <rFont val="Aptos Narrow"/>
        <family val="2"/>
        <scheme val="minor"/>
      </rPr>
      <t xml:space="preserve"> needs aggressive action: Revise </t>
    </r>
    <r>
      <rPr>
        <b/>
        <sz val="11"/>
        <color theme="1"/>
        <rFont val="Aptos Narrow"/>
        <family val="2"/>
        <scheme val="minor"/>
      </rPr>
      <t>credit policies</t>
    </r>
    <r>
      <rPr>
        <sz val="11"/>
        <color theme="1"/>
        <rFont val="Aptos Narrow"/>
        <family val="2"/>
        <scheme val="minor"/>
      </rPr>
      <t xml:space="preserve">, introduce </t>
    </r>
    <r>
      <rPr>
        <b/>
        <sz val="11"/>
        <color theme="1"/>
        <rFont val="Aptos Narrow"/>
        <family val="2"/>
        <scheme val="minor"/>
      </rPr>
      <t>dynamic discounting</t>
    </r>
    <r>
      <rPr>
        <sz val="11"/>
        <color theme="1"/>
        <rFont val="Aptos Narrow"/>
        <family val="2"/>
        <scheme val="minor"/>
      </rPr>
      <t xml:space="preserve"> to accelerate payments, and potentially restructure the AR process. Additionally, review </t>
    </r>
    <r>
      <rPr>
        <b/>
        <sz val="11"/>
        <color theme="1"/>
        <rFont val="Aptos Narrow"/>
        <family val="2"/>
        <scheme val="minor"/>
      </rPr>
      <t>DPO extensions</t>
    </r>
    <r>
      <rPr>
        <sz val="11"/>
        <color theme="1"/>
        <rFont val="Aptos Narrow"/>
        <family val="2"/>
        <scheme val="minor"/>
      </rPr>
      <t xml:space="preserve"> to ensure supplier relationships are not strained, while securing </t>
    </r>
    <r>
      <rPr>
        <b/>
        <sz val="11"/>
        <color theme="1"/>
        <rFont val="Aptos Narrow"/>
        <family val="2"/>
        <scheme val="minor"/>
      </rPr>
      <t>supplier-financing arrangements</t>
    </r>
    <r>
      <rPr>
        <sz val="11"/>
        <color theme="1"/>
        <rFont val="Aptos Narrow"/>
        <family val="2"/>
        <scheme val="minor"/>
      </rPr>
      <t xml:space="preserve"> might be considered to manage liquidity.</t>
    </r>
  </si>
  <si>
    <r>
      <t xml:space="preserve">The revenue decline deepened with a </t>
    </r>
    <r>
      <rPr>
        <b/>
        <sz val="11"/>
        <color theme="1"/>
        <rFont val="Aptos Narrow"/>
        <family val="2"/>
        <scheme val="minor"/>
      </rPr>
      <t>1.93M$</t>
    </r>
    <r>
      <rPr>
        <sz val="11"/>
        <color theme="1"/>
        <rFont val="Aptos Narrow"/>
        <family val="2"/>
        <scheme val="minor"/>
      </rPr>
      <t xml:space="preserve"> drop, as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underperformed, compounding the losses from </t>
    </r>
    <r>
      <rPr>
        <b/>
        <sz val="11"/>
        <color theme="1"/>
        <rFont val="Aptos Narrow"/>
        <family val="2"/>
        <scheme val="minor"/>
      </rPr>
      <t>Client 1</t>
    </r>
    <r>
      <rPr>
        <sz val="11"/>
        <color theme="1"/>
        <rFont val="Aptos Narrow"/>
        <family val="2"/>
        <scheme val="minor"/>
      </rPr>
      <t xml:space="preserve">. The margin impact was substantial at </t>
    </r>
    <r>
      <rPr>
        <b/>
        <sz val="11"/>
        <color theme="1"/>
        <rFont val="Aptos Narrow"/>
        <family val="2"/>
        <scheme val="minor"/>
      </rPr>
      <t>-57%</t>
    </r>
    <r>
      <rPr>
        <sz val="11"/>
        <color theme="1"/>
        <rFont val="Aptos Narrow"/>
        <family val="2"/>
        <scheme val="minor"/>
      </rPr>
      <t xml:space="preserve">, offset only minimally by </t>
    </r>
    <r>
      <rPr>
        <b/>
        <sz val="11"/>
        <color theme="1"/>
        <rFont val="Aptos Narrow"/>
        <family val="2"/>
        <scheme val="minor"/>
      </rPr>
      <t>+14%</t>
    </r>
    <r>
      <rPr>
        <sz val="11"/>
        <color theme="1"/>
        <rFont val="Aptos Narrow"/>
        <family val="2"/>
        <scheme val="minor"/>
      </rPr>
      <t xml:space="preserve"> from cost efficiencies. </t>
    </r>
    <r>
      <rPr>
        <b/>
        <sz val="11"/>
        <color theme="1"/>
        <rFont val="Aptos Narrow"/>
        <family val="2"/>
        <scheme val="minor"/>
      </rPr>
      <t>DSO worsened to 84 days</t>
    </r>
    <r>
      <rPr>
        <sz val="11"/>
        <color theme="1"/>
        <rFont val="Aptos Narrow"/>
        <family val="2"/>
        <scheme val="minor"/>
      </rPr>
      <t xml:space="preserve">, and </t>
    </r>
    <r>
      <rPr>
        <b/>
        <sz val="11"/>
        <color theme="1"/>
        <rFont val="Aptos Narrow"/>
        <family val="2"/>
        <scheme val="minor"/>
      </rPr>
      <t>DIO</t>
    </r>
    <r>
      <rPr>
        <sz val="11"/>
        <color theme="1"/>
        <rFont val="Aptos Narrow"/>
        <family val="2"/>
        <scheme val="minor"/>
      </rPr>
      <t xml:space="preserve"> began to rise, indicating that more capital was being tied up in unsold inventory. Liquidity began to show signs of stress due to these compounding factors.</t>
    </r>
  </si>
  <si>
    <r>
      <t>Strategic Shift</t>
    </r>
    <r>
      <rPr>
        <sz val="11"/>
        <color theme="1"/>
        <rFont val="Aptos Narrow"/>
        <family val="2"/>
        <scheme val="minor"/>
      </rPr>
      <t xml:space="preserve">: The further deterioration in revenue from large clients points to an urgent need to </t>
    </r>
    <r>
      <rPr>
        <b/>
        <sz val="11"/>
        <color theme="1"/>
        <rFont val="Aptos Narrow"/>
        <family val="2"/>
        <scheme val="minor"/>
      </rPr>
      <t>strengthen client portfolio diversification</t>
    </r>
    <r>
      <rPr>
        <sz val="11"/>
        <color theme="1"/>
        <rFont val="Aptos Narrow"/>
        <family val="2"/>
        <scheme val="minor"/>
      </rPr>
      <t xml:space="preserve">. Consider implementing a </t>
    </r>
    <r>
      <rPr>
        <b/>
        <sz val="11"/>
        <color theme="1"/>
        <rFont val="Aptos Narrow"/>
        <family val="2"/>
        <scheme val="minor"/>
      </rPr>
      <t>client tiering strategy</t>
    </r>
    <r>
      <rPr>
        <sz val="11"/>
        <color theme="1"/>
        <rFont val="Aptos Narrow"/>
        <family val="2"/>
        <scheme val="minor"/>
      </rPr>
      <t xml:space="preserve">, prioritizing the top-performing and mid-tier clients. For collections, use data analytics to </t>
    </r>
    <r>
      <rPr>
        <b/>
        <sz val="11"/>
        <color theme="1"/>
        <rFont val="Aptos Narrow"/>
        <family val="2"/>
        <scheme val="minor"/>
      </rPr>
      <t>segment slow-paying clients</t>
    </r>
    <r>
      <rPr>
        <sz val="11"/>
        <color theme="1"/>
        <rFont val="Aptos Narrow"/>
        <family val="2"/>
        <scheme val="minor"/>
      </rPr>
      <t xml:space="preserve"> and restructure their payment terms. For </t>
    </r>
    <r>
      <rPr>
        <b/>
        <sz val="11"/>
        <color theme="1"/>
        <rFont val="Aptos Narrow"/>
        <family val="2"/>
        <scheme val="minor"/>
      </rPr>
      <t>Client 5 and 10</t>
    </r>
    <r>
      <rPr>
        <sz val="11"/>
        <color theme="1"/>
        <rFont val="Aptos Narrow"/>
        <family val="2"/>
        <scheme val="minor"/>
      </rPr>
      <t xml:space="preserve">, consider renegotiating contracts to better align with revenue cycles. From a cash management perspective, explore options such as </t>
    </r>
    <r>
      <rPr>
        <b/>
        <sz val="11"/>
        <color theme="1"/>
        <rFont val="Aptos Narrow"/>
        <family val="2"/>
        <scheme val="minor"/>
      </rPr>
      <t>securitization of receivables</t>
    </r>
    <r>
      <rPr>
        <sz val="11"/>
        <color theme="1"/>
        <rFont val="Aptos Narrow"/>
        <family val="2"/>
        <scheme val="minor"/>
      </rPr>
      <t xml:space="preserve"> to unlock cash tied up in AR. Focus on </t>
    </r>
    <r>
      <rPr>
        <b/>
        <sz val="11"/>
        <color theme="1"/>
        <rFont val="Aptos Narrow"/>
        <family val="2"/>
        <scheme val="minor"/>
      </rPr>
      <t>reducing inventory</t>
    </r>
    <r>
      <rPr>
        <sz val="11"/>
        <color theme="1"/>
        <rFont val="Aptos Narrow"/>
        <family val="2"/>
        <scheme val="minor"/>
      </rPr>
      <t xml:space="preserve"> by refining demand forecasts and possibly implementing </t>
    </r>
    <r>
      <rPr>
        <b/>
        <sz val="11"/>
        <color theme="1"/>
        <rFont val="Aptos Narrow"/>
        <family val="2"/>
        <scheme val="minor"/>
      </rPr>
      <t>inventory liquidation</t>
    </r>
    <r>
      <rPr>
        <sz val="11"/>
        <color theme="1"/>
        <rFont val="Aptos Narrow"/>
        <family val="2"/>
        <scheme val="minor"/>
      </rPr>
      <t xml:space="preserve"> strategies for obsolete stock.</t>
    </r>
  </si>
  <si>
    <r>
      <t xml:space="preserve">Revenue saw a positive uptick of </t>
    </r>
    <r>
      <rPr>
        <b/>
        <sz val="11"/>
        <color theme="1"/>
        <rFont val="Aptos Narrow"/>
        <family val="2"/>
        <scheme val="minor"/>
      </rPr>
      <t>1.68M$</t>
    </r>
    <r>
      <rPr>
        <sz val="11"/>
        <color theme="1"/>
        <rFont val="Aptos Narrow"/>
        <family val="2"/>
        <scheme val="minor"/>
      </rPr>
      <t xml:space="preserve">, primarily from recoveries by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However, margin performance, while up by </t>
    </r>
    <r>
      <rPr>
        <b/>
        <sz val="11"/>
        <color theme="1"/>
        <rFont val="Aptos Narrow"/>
        <family val="2"/>
        <scheme val="minor"/>
      </rPr>
      <t>+37%</t>
    </r>
    <r>
      <rPr>
        <sz val="11"/>
        <color theme="1"/>
        <rFont val="Aptos Narrow"/>
        <family val="2"/>
        <scheme val="minor"/>
      </rPr>
      <t>, was hindered by weaker cost efficiencies (</t>
    </r>
    <r>
      <rPr>
        <b/>
        <sz val="11"/>
        <color theme="1"/>
        <rFont val="Aptos Narrow"/>
        <family val="2"/>
        <scheme val="minor"/>
      </rPr>
      <t>+14% contribution</t>
    </r>
    <r>
      <rPr>
        <sz val="11"/>
        <color theme="1"/>
        <rFont val="Aptos Narrow"/>
        <family val="2"/>
        <scheme val="minor"/>
      </rPr>
      <t xml:space="preserve">). </t>
    </r>
    <r>
      <rPr>
        <b/>
        <sz val="11"/>
        <color theme="1"/>
        <rFont val="Aptos Narrow"/>
        <family val="2"/>
        <scheme val="minor"/>
      </rPr>
      <t>DSO dropped to 64 days</t>
    </r>
    <r>
      <rPr>
        <sz val="11"/>
        <color theme="1"/>
        <rFont val="Aptos Narrow"/>
        <family val="2"/>
        <scheme val="minor"/>
      </rPr>
      <t xml:space="preserve">, reflecting some improvement in collection processes, but </t>
    </r>
    <r>
      <rPr>
        <b/>
        <sz val="11"/>
        <color theme="1"/>
        <rFont val="Aptos Narrow"/>
        <family val="2"/>
        <scheme val="minor"/>
      </rPr>
      <t>DIO increased to 6.25</t>
    </r>
    <r>
      <rPr>
        <sz val="11"/>
        <color theme="1"/>
        <rFont val="Aptos Narrow"/>
        <family val="2"/>
        <scheme val="minor"/>
      </rPr>
      <t>, tying up more capital in inventory. Liquidity remained under pressure due to rising inventory levels.</t>
    </r>
  </si>
  <si>
    <r>
      <t>Strategic Repositioning</t>
    </r>
    <r>
      <rPr>
        <sz val="11"/>
        <color theme="1"/>
        <rFont val="Aptos Narrow"/>
        <family val="2"/>
        <scheme val="minor"/>
      </rPr>
      <t xml:space="preserve">: The revenue recovery from </t>
    </r>
    <r>
      <rPr>
        <b/>
        <sz val="11"/>
        <color theme="1"/>
        <rFont val="Aptos Narrow"/>
        <family val="2"/>
        <scheme val="minor"/>
      </rPr>
      <t>Client 1</t>
    </r>
    <r>
      <rPr>
        <sz val="11"/>
        <color theme="1"/>
        <rFont val="Aptos Narrow"/>
        <family val="2"/>
        <scheme val="minor"/>
      </rPr>
      <t xml:space="preserve"> is encouraging, but reliance on this client still presents a long-term risk. A more balanced </t>
    </r>
    <r>
      <rPr>
        <b/>
        <sz val="11"/>
        <color theme="1"/>
        <rFont val="Aptos Narrow"/>
        <family val="2"/>
        <scheme val="minor"/>
      </rPr>
      <t>client acquisition and retention strategy</t>
    </r>
    <r>
      <rPr>
        <sz val="11"/>
        <color theme="1"/>
        <rFont val="Aptos Narrow"/>
        <family val="2"/>
        <scheme val="minor"/>
      </rPr>
      <t xml:space="preserve"> should be implemented, aiming to </t>
    </r>
    <r>
      <rPr>
        <b/>
        <sz val="11"/>
        <color theme="1"/>
        <rFont val="Aptos Narrow"/>
        <family val="2"/>
        <scheme val="minor"/>
      </rPr>
      <t>reduce reliance on top clients by 25%</t>
    </r>
    <r>
      <rPr>
        <sz val="11"/>
        <color theme="1"/>
        <rFont val="Aptos Narrow"/>
        <family val="2"/>
        <scheme val="minor"/>
      </rPr>
      <t xml:space="preserve"> over the next year. On the cost side, </t>
    </r>
    <r>
      <rPr>
        <b/>
        <sz val="11"/>
        <color theme="1"/>
        <rFont val="Aptos Narrow"/>
        <family val="2"/>
        <scheme val="minor"/>
      </rPr>
      <t>margin enhancement</t>
    </r>
    <r>
      <rPr>
        <sz val="11"/>
        <color theme="1"/>
        <rFont val="Aptos Narrow"/>
        <family val="2"/>
        <scheme val="minor"/>
      </rPr>
      <t xml:space="preserve"> initiatives should focus on </t>
    </r>
    <r>
      <rPr>
        <b/>
        <sz val="11"/>
        <color theme="1"/>
        <rFont val="Aptos Narrow"/>
        <family val="2"/>
        <scheme val="minor"/>
      </rPr>
      <t>operational efficiency</t>
    </r>
    <r>
      <rPr>
        <sz val="11"/>
        <color theme="1"/>
        <rFont val="Aptos Narrow"/>
        <family val="2"/>
        <scheme val="minor"/>
      </rPr>
      <t xml:space="preserve"> (e.g., lean practices). The improvement in </t>
    </r>
    <r>
      <rPr>
        <b/>
        <sz val="11"/>
        <color theme="1"/>
        <rFont val="Aptos Narrow"/>
        <family val="2"/>
        <scheme val="minor"/>
      </rPr>
      <t>DSO</t>
    </r>
    <r>
      <rPr>
        <sz val="11"/>
        <color theme="1"/>
        <rFont val="Aptos Narrow"/>
        <family val="2"/>
        <scheme val="minor"/>
      </rPr>
      <t xml:space="preserve"> suggests that collections strategies are working but need to be maintained and scaled. To address rising </t>
    </r>
    <r>
      <rPr>
        <b/>
        <sz val="11"/>
        <color theme="1"/>
        <rFont val="Aptos Narrow"/>
        <family val="2"/>
        <scheme val="minor"/>
      </rPr>
      <t>DIO</t>
    </r>
    <r>
      <rPr>
        <sz val="11"/>
        <color theme="1"/>
        <rFont val="Aptos Narrow"/>
        <family val="2"/>
        <scheme val="minor"/>
      </rPr>
      <t xml:space="preserve">, consider adopting </t>
    </r>
    <r>
      <rPr>
        <b/>
        <sz val="11"/>
        <color theme="1"/>
        <rFont val="Aptos Narrow"/>
        <family val="2"/>
        <scheme val="minor"/>
      </rPr>
      <t>just-in-time inventory</t>
    </r>
    <r>
      <rPr>
        <sz val="11"/>
        <color theme="1"/>
        <rFont val="Aptos Narrow"/>
        <family val="2"/>
        <scheme val="minor"/>
      </rPr>
      <t xml:space="preserve"> practices to reduce stock holding periods, coupled with </t>
    </r>
    <r>
      <rPr>
        <b/>
        <sz val="11"/>
        <color theme="1"/>
        <rFont val="Aptos Narrow"/>
        <family val="2"/>
        <scheme val="minor"/>
      </rPr>
      <t>dynamic sales and discount promotions</t>
    </r>
    <r>
      <rPr>
        <sz val="11"/>
        <color theme="1"/>
        <rFont val="Aptos Narrow"/>
        <family val="2"/>
        <scheme val="minor"/>
      </rPr>
      <t xml:space="preserve"> to offload excess stock. This will free up cash and reduce the pressure on liquidity.</t>
    </r>
  </si>
  <si>
    <r>
      <t xml:space="preserve">Revenue declined by </t>
    </r>
    <r>
      <rPr>
        <b/>
        <sz val="11"/>
        <color theme="1"/>
        <rFont val="Aptos Narrow"/>
        <family val="2"/>
        <scheme val="minor"/>
      </rPr>
      <t>4.82%</t>
    </r>
    <r>
      <rPr>
        <sz val="11"/>
        <color theme="1"/>
        <rFont val="Aptos Narrow"/>
        <family val="2"/>
        <scheme val="minor"/>
      </rPr>
      <t xml:space="preserve">, driven by poor performance from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Margins were impacted by </t>
    </r>
    <r>
      <rPr>
        <b/>
        <sz val="11"/>
        <color theme="1"/>
        <rFont val="Aptos Narrow"/>
        <family val="2"/>
        <scheme val="minor"/>
      </rPr>
      <t>-14%</t>
    </r>
    <r>
      <rPr>
        <sz val="11"/>
        <color theme="1"/>
        <rFont val="Aptos Narrow"/>
        <family val="2"/>
        <scheme val="minor"/>
      </rPr>
      <t xml:space="preserve">, though strong cost control allowed a </t>
    </r>
    <r>
      <rPr>
        <b/>
        <sz val="11"/>
        <color theme="1"/>
        <rFont val="Aptos Narrow"/>
        <family val="2"/>
        <scheme val="minor"/>
      </rPr>
      <t>+36% contribution</t>
    </r>
    <r>
      <rPr>
        <sz val="11"/>
        <color theme="1"/>
        <rFont val="Aptos Narrow"/>
        <family val="2"/>
        <scheme val="minor"/>
      </rPr>
      <t xml:space="preserve">. However, </t>
    </r>
    <r>
      <rPr>
        <b/>
        <sz val="11"/>
        <color theme="1"/>
        <rFont val="Aptos Narrow"/>
        <family val="2"/>
        <scheme val="minor"/>
      </rPr>
      <t>DSO increased to 70 days</t>
    </r>
    <r>
      <rPr>
        <sz val="11"/>
        <color theme="1"/>
        <rFont val="Aptos Narrow"/>
        <family val="2"/>
        <scheme val="minor"/>
      </rPr>
      <t xml:space="preserve">, indicating inconsistency in collection efforts, and </t>
    </r>
    <r>
      <rPr>
        <b/>
        <sz val="11"/>
        <color theme="1"/>
        <rFont val="Aptos Narrow"/>
        <family val="2"/>
        <scheme val="minor"/>
      </rPr>
      <t>DIO climbed to 7.2</t>
    </r>
    <r>
      <rPr>
        <sz val="11"/>
        <color theme="1"/>
        <rFont val="Aptos Narrow"/>
        <family val="2"/>
        <scheme val="minor"/>
      </rPr>
      <t>, reflecting a growing cash drain from excess inventory.</t>
    </r>
  </si>
  <si>
    <r>
      <t>Strategic Action Plan</t>
    </r>
    <r>
      <rPr>
        <sz val="11"/>
        <color theme="1"/>
        <rFont val="Aptos Narrow"/>
        <family val="2"/>
        <scheme val="minor"/>
      </rPr>
      <t xml:space="preserve">: Focus on </t>
    </r>
    <r>
      <rPr>
        <b/>
        <sz val="11"/>
        <color theme="1"/>
        <rFont val="Aptos Narrow"/>
        <family val="2"/>
        <scheme val="minor"/>
      </rPr>
      <t>Client 5 and Client 9</t>
    </r>
    <r>
      <rPr>
        <sz val="11"/>
        <color theme="1"/>
        <rFont val="Aptos Narrow"/>
        <family val="2"/>
        <scheme val="minor"/>
      </rPr>
      <t xml:space="preserve"> to assess root causes of underperformance—whether market-based or relationship-driven. If these clients are no longer viable, consider </t>
    </r>
    <r>
      <rPr>
        <b/>
        <sz val="11"/>
        <color theme="1"/>
        <rFont val="Aptos Narrow"/>
        <family val="2"/>
        <scheme val="minor"/>
      </rPr>
      <t>replacing them with higher-growth prospects</t>
    </r>
    <r>
      <rPr>
        <sz val="11"/>
        <color theme="1"/>
        <rFont val="Aptos Narrow"/>
        <family val="2"/>
        <scheme val="minor"/>
      </rPr>
      <t xml:space="preserve">. Cost controls continue to mitigate some of the impact, but the focus should now shift toward </t>
    </r>
    <r>
      <rPr>
        <b/>
        <sz val="11"/>
        <color theme="1"/>
        <rFont val="Aptos Narrow"/>
        <family val="2"/>
        <scheme val="minor"/>
      </rPr>
      <t>revenue enhancement</t>
    </r>
    <r>
      <rPr>
        <sz val="11"/>
        <color theme="1"/>
        <rFont val="Aptos Narrow"/>
        <family val="2"/>
        <scheme val="minor"/>
      </rPr>
      <t xml:space="preserve"> through cross-selling or upselling to existing clients. On working capital, the rise in </t>
    </r>
    <r>
      <rPr>
        <b/>
        <sz val="11"/>
        <color theme="1"/>
        <rFont val="Aptos Narrow"/>
        <family val="2"/>
        <scheme val="minor"/>
      </rPr>
      <t>DSO</t>
    </r>
    <r>
      <rPr>
        <sz val="11"/>
        <color theme="1"/>
        <rFont val="Aptos Narrow"/>
        <family val="2"/>
        <scheme val="minor"/>
      </rPr>
      <t xml:space="preserve"> indicates that collection processes are not sustained across all clients—</t>
    </r>
    <r>
      <rPr>
        <b/>
        <sz val="11"/>
        <color theme="1"/>
        <rFont val="Aptos Narrow"/>
        <family val="2"/>
        <scheme val="minor"/>
      </rPr>
      <t>implement tighter credit control</t>
    </r>
    <r>
      <rPr>
        <sz val="11"/>
        <color theme="1"/>
        <rFont val="Aptos Narrow"/>
        <family val="2"/>
        <scheme val="minor"/>
      </rPr>
      <t xml:space="preserve">, considering payment penalties for late payers. </t>
    </r>
    <r>
      <rPr>
        <b/>
        <sz val="11"/>
        <color theme="1"/>
        <rFont val="Aptos Narrow"/>
        <family val="2"/>
        <scheme val="minor"/>
      </rPr>
      <t>Inventory reduction</t>
    </r>
    <r>
      <rPr>
        <sz val="11"/>
        <color theme="1"/>
        <rFont val="Aptos Narrow"/>
        <family val="2"/>
        <scheme val="minor"/>
      </rPr>
      <t xml:space="preserve"> is now critical, and further </t>
    </r>
    <r>
      <rPr>
        <b/>
        <sz val="11"/>
        <color theme="1"/>
        <rFont val="Aptos Narrow"/>
        <family val="2"/>
        <scheme val="minor"/>
      </rPr>
      <t>liquidation strategies</t>
    </r>
    <r>
      <rPr>
        <sz val="11"/>
        <color theme="1"/>
        <rFont val="Aptos Narrow"/>
        <family val="2"/>
        <scheme val="minor"/>
      </rPr>
      <t xml:space="preserve"> should be explored. A strategic review of the </t>
    </r>
    <r>
      <rPr>
        <b/>
        <sz val="11"/>
        <color theme="1"/>
        <rFont val="Aptos Narrow"/>
        <family val="2"/>
        <scheme val="minor"/>
      </rPr>
      <t>inventory cycle</t>
    </r>
    <r>
      <rPr>
        <sz val="11"/>
        <color theme="1"/>
        <rFont val="Aptos Narrow"/>
        <family val="2"/>
        <scheme val="minor"/>
      </rPr>
      <t xml:space="preserve"> could reveal inefficiencies in demand planning that need immediate correction.</t>
    </r>
  </si>
  <si>
    <r>
      <t xml:space="preserve">Revenue rebounded with a </t>
    </r>
    <r>
      <rPr>
        <b/>
        <sz val="11"/>
        <color theme="1"/>
        <rFont val="Aptos Narrow"/>
        <family val="2"/>
        <scheme val="minor"/>
      </rPr>
      <t>5.9% increase</t>
    </r>
    <r>
      <rPr>
        <sz val="11"/>
        <color theme="1"/>
        <rFont val="Aptos Narrow"/>
        <family val="2"/>
        <scheme val="minor"/>
      </rPr>
      <t xml:space="preserve">, driven by strong recoveries from </t>
    </r>
    <r>
      <rPr>
        <b/>
        <sz val="11"/>
        <color theme="1"/>
        <rFont val="Aptos Narrow"/>
        <family val="2"/>
        <scheme val="minor"/>
      </rPr>
      <t>Client 3</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but </t>
    </r>
    <r>
      <rPr>
        <b/>
        <sz val="11"/>
        <color theme="1"/>
        <rFont val="Aptos Narrow"/>
        <family val="2"/>
        <scheme val="minor"/>
      </rPr>
      <t>Client 1</t>
    </r>
    <r>
      <rPr>
        <sz val="11"/>
        <color theme="1"/>
        <rFont val="Aptos Narrow"/>
        <family val="2"/>
        <scheme val="minor"/>
      </rPr>
      <t xml:space="preserve"> remained weak. Margins grew </t>
    </r>
    <r>
      <rPr>
        <b/>
        <sz val="11"/>
        <color theme="1"/>
        <rFont val="Aptos Narrow"/>
        <family val="2"/>
        <scheme val="minor"/>
      </rPr>
      <t>+14%</t>
    </r>
    <r>
      <rPr>
        <sz val="11"/>
        <color theme="1"/>
        <rFont val="Aptos Narrow"/>
        <family val="2"/>
        <scheme val="minor"/>
      </rPr>
      <t xml:space="preserve">, largely due to </t>
    </r>
    <r>
      <rPr>
        <b/>
        <sz val="11"/>
        <color theme="1"/>
        <rFont val="Aptos Narrow"/>
        <family val="2"/>
        <scheme val="minor"/>
      </rPr>
      <t>cost efficiencies</t>
    </r>
    <r>
      <rPr>
        <sz val="11"/>
        <color theme="1"/>
        <rFont val="Aptos Narrow"/>
        <family val="2"/>
        <scheme val="minor"/>
      </rPr>
      <t xml:space="preserve"> contributing </t>
    </r>
    <r>
      <rPr>
        <b/>
        <sz val="11"/>
        <color theme="1"/>
        <rFont val="Aptos Narrow"/>
        <family val="2"/>
        <scheme val="minor"/>
      </rPr>
      <t>+218%</t>
    </r>
    <r>
      <rPr>
        <sz val="11"/>
        <color theme="1"/>
        <rFont val="Aptos Narrow"/>
        <family val="2"/>
        <scheme val="minor"/>
      </rPr>
      <t xml:space="preserve"> to the total. Despite this, </t>
    </r>
    <r>
      <rPr>
        <b/>
        <sz val="11"/>
        <color theme="1"/>
        <rFont val="Aptos Narrow"/>
        <family val="2"/>
        <scheme val="minor"/>
      </rPr>
      <t>DSO worsened to 79 days</t>
    </r>
    <r>
      <rPr>
        <sz val="11"/>
        <color theme="1"/>
        <rFont val="Aptos Narrow"/>
        <family val="2"/>
        <scheme val="minor"/>
      </rPr>
      <t xml:space="preserve">, and </t>
    </r>
    <r>
      <rPr>
        <b/>
        <sz val="11"/>
        <color theme="1"/>
        <rFont val="Aptos Narrow"/>
        <family val="2"/>
        <scheme val="minor"/>
      </rPr>
      <t>DIO increased to 8.5</t>
    </r>
    <r>
      <rPr>
        <sz val="11"/>
        <color theme="1"/>
        <rFont val="Aptos Narrow"/>
        <family val="2"/>
        <scheme val="minor"/>
      </rPr>
      <t>, showing that more cash was tied up in working capital.</t>
    </r>
  </si>
  <si>
    <r>
      <t>Strategic Cash Flow Focus</t>
    </r>
    <r>
      <rPr>
        <sz val="11"/>
        <color theme="1"/>
        <rFont val="Aptos Narrow"/>
        <family val="2"/>
        <scheme val="minor"/>
      </rPr>
      <t xml:space="preserve">: Although revenue recovery is a positive signal, the continued </t>
    </r>
    <r>
      <rPr>
        <b/>
        <sz val="11"/>
        <color theme="1"/>
        <rFont val="Aptos Narrow"/>
        <family val="2"/>
        <scheme val="minor"/>
      </rPr>
      <t>dependency on Client 1</t>
    </r>
    <r>
      <rPr>
        <sz val="11"/>
        <color theme="1"/>
        <rFont val="Aptos Narrow"/>
        <family val="2"/>
        <scheme val="minor"/>
      </rPr>
      <t xml:space="preserve"> remains a substantial risk. Accelerate efforts to diversify the </t>
    </r>
    <r>
      <rPr>
        <b/>
        <sz val="11"/>
        <color theme="1"/>
        <rFont val="Aptos Narrow"/>
        <family val="2"/>
        <scheme val="minor"/>
      </rPr>
      <t>client base</t>
    </r>
    <r>
      <rPr>
        <sz val="11"/>
        <color theme="1"/>
        <rFont val="Aptos Narrow"/>
        <family val="2"/>
        <scheme val="minor"/>
      </rPr>
      <t xml:space="preserve">, focusing on developing a </t>
    </r>
    <r>
      <rPr>
        <b/>
        <sz val="11"/>
        <color theme="1"/>
        <rFont val="Aptos Narrow"/>
        <family val="2"/>
        <scheme val="minor"/>
      </rPr>
      <t>mid-tier client segment</t>
    </r>
    <r>
      <rPr>
        <sz val="11"/>
        <color theme="1"/>
        <rFont val="Aptos Narrow"/>
        <family val="2"/>
        <scheme val="minor"/>
      </rPr>
      <t xml:space="preserve"> with sustainable growth. In terms of margins, the strong operational efficiencies must be </t>
    </r>
    <r>
      <rPr>
        <b/>
        <sz val="11"/>
        <color theme="1"/>
        <rFont val="Aptos Narrow"/>
        <family val="2"/>
        <scheme val="minor"/>
      </rPr>
      <t>scaled across departments</t>
    </r>
    <r>
      <rPr>
        <sz val="11"/>
        <color theme="1"/>
        <rFont val="Aptos Narrow"/>
        <family val="2"/>
        <scheme val="minor"/>
      </rPr>
      <t xml:space="preserve">, particularly in production and logistics. The rise in </t>
    </r>
    <r>
      <rPr>
        <b/>
        <sz val="11"/>
        <color theme="1"/>
        <rFont val="Aptos Narrow"/>
        <family val="2"/>
        <scheme val="minor"/>
      </rPr>
      <t>DSO</t>
    </r>
    <r>
      <rPr>
        <sz val="11"/>
        <color theme="1"/>
        <rFont val="Aptos Narrow"/>
        <family val="2"/>
        <scheme val="minor"/>
      </rPr>
      <t xml:space="preserve"> indicates inefficiencies in collections that need immediate rectification—consider adopting </t>
    </r>
    <r>
      <rPr>
        <b/>
        <sz val="11"/>
        <color theme="1"/>
        <rFont val="Aptos Narrow"/>
        <family val="2"/>
        <scheme val="minor"/>
      </rPr>
      <t>third-party collection services</t>
    </r>
    <r>
      <rPr>
        <sz val="11"/>
        <color theme="1"/>
        <rFont val="Aptos Narrow"/>
        <family val="2"/>
        <scheme val="minor"/>
      </rPr>
      <t xml:space="preserve"> or </t>
    </r>
    <r>
      <rPr>
        <b/>
        <sz val="11"/>
        <color theme="1"/>
        <rFont val="Aptos Narrow"/>
        <family val="2"/>
        <scheme val="minor"/>
      </rPr>
      <t>automating follow-up processes</t>
    </r>
    <r>
      <rPr>
        <sz val="11"/>
        <color theme="1"/>
        <rFont val="Aptos Narrow"/>
        <family val="2"/>
        <scheme val="minor"/>
      </rPr>
      <t xml:space="preserve">. The significant increase in </t>
    </r>
    <r>
      <rPr>
        <b/>
        <sz val="11"/>
        <color theme="1"/>
        <rFont val="Aptos Narrow"/>
        <family val="2"/>
        <scheme val="minor"/>
      </rPr>
      <t>DIO</t>
    </r>
    <r>
      <rPr>
        <sz val="11"/>
        <color theme="1"/>
        <rFont val="Aptos Narrow"/>
        <family val="2"/>
        <scheme val="minor"/>
      </rPr>
      <t xml:space="preserve"> now represents a </t>
    </r>
    <r>
      <rPr>
        <b/>
        <sz val="11"/>
        <color theme="1"/>
        <rFont val="Aptos Narrow"/>
        <family val="2"/>
        <scheme val="minor"/>
      </rPr>
      <t>working capital crisis</t>
    </r>
    <r>
      <rPr>
        <sz val="11"/>
        <color theme="1"/>
        <rFont val="Aptos Narrow"/>
        <family val="2"/>
        <scheme val="minor"/>
      </rPr>
      <t xml:space="preserve">, and unless excess inventory is cleared, the company risks cash flow constraints. Implement </t>
    </r>
    <r>
      <rPr>
        <b/>
        <sz val="11"/>
        <color theme="1"/>
        <rFont val="Aptos Narrow"/>
        <family val="2"/>
        <scheme val="minor"/>
      </rPr>
      <t>demand-based inventory management</t>
    </r>
    <r>
      <rPr>
        <sz val="11"/>
        <color theme="1"/>
        <rFont val="Aptos Narrow"/>
        <family val="2"/>
        <scheme val="minor"/>
      </rPr>
      <t xml:space="preserve"> and align </t>
    </r>
    <r>
      <rPr>
        <b/>
        <sz val="11"/>
        <color theme="1"/>
        <rFont val="Aptos Narrow"/>
        <family val="2"/>
        <scheme val="minor"/>
      </rPr>
      <t>production cuts</t>
    </r>
    <r>
      <rPr>
        <sz val="11"/>
        <color theme="1"/>
        <rFont val="Aptos Narrow"/>
        <family val="2"/>
        <scheme val="minor"/>
      </rPr>
      <t xml:space="preserve"> to reduce further cash tie-ups.</t>
    </r>
  </si>
  <si>
    <r>
      <t xml:space="preserve">Revenue rose by </t>
    </r>
    <r>
      <rPr>
        <b/>
        <sz val="11"/>
        <color theme="1"/>
        <rFont val="Aptos Narrow"/>
        <family val="2"/>
        <scheme val="minor"/>
      </rPr>
      <t>4.29%</t>
    </r>
    <r>
      <rPr>
        <sz val="11"/>
        <color theme="1"/>
        <rFont val="Aptos Narrow"/>
        <family val="2"/>
        <scheme val="minor"/>
      </rPr>
      <t xml:space="preserve">, driven by growth from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3</t>
    </r>
    <r>
      <rPr>
        <sz val="11"/>
        <color theme="1"/>
        <rFont val="Aptos Narrow"/>
        <family val="2"/>
        <scheme val="minor"/>
      </rPr>
      <t xml:space="preserve">, though </t>
    </r>
    <r>
      <rPr>
        <b/>
        <sz val="11"/>
        <color theme="1"/>
        <rFont val="Aptos Narrow"/>
        <family val="2"/>
        <scheme val="minor"/>
      </rPr>
      <t>Client 1</t>
    </r>
    <r>
      <rPr>
        <sz val="11"/>
        <color theme="1"/>
        <rFont val="Aptos Narrow"/>
        <family val="2"/>
        <scheme val="minor"/>
      </rPr>
      <t xml:space="preserve"> continued to decline. Margin impact was heavy, with a </t>
    </r>
    <r>
      <rPr>
        <b/>
        <sz val="11"/>
        <color theme="1"/>
        <rFont val="Aptos Narrow"/>
        <family val="2"/>
        <scheme val="minor"/>
      </rPr>
      <t>-55% decline</t>
    </r>
    <r>
      <rPr>
        <sz val="11"/>
        <color theme="1"/>
        <rFont val="Aptos Narrow"/>
        <family val="2"/>
        <scheme val="minor"/>
      </rPr>
      <t xml:space="preserve"> due to revenue pressure, but </t>
    </r>
    <r>
      <rPr>
        <b/>
        <sz val="11"/>
        <color theme="1"/>
        <rFont val="Aptos Narrow"/>
        <family val="2"/>
        <scheme val="minor"/>
      </rPr>
      <t>cost efficiencies</t>
    </r>
    <r>
      <rPr>
        <sz val="11"/>
        <color theme="1"/>
        <rFont val="Aptos Narrow"/>
        <family val="2"/>
        <scheme val="minor"/>
      </rPr>
      <t xml:space="preserve"> of </t>
    </r>
    <r>
      <rPr>
        <b/>
        <sz val="11"/>
        <color theme="1"/>
        <rFont val="Aptos Narrow"/>
        <family val="2"/>
        <scheme val="minor"/>
      </rPr>
      <t>+145%</t>
    </r>
    <r>
      <rPr>
        <sz val="11"/>
        <color theme="1"/>
        <rFont val="Aptos Narrow"/>
        <family val="2"/>
        <scheme val="minor"/>
      </rPr>
      <t xml:space="preserve"> helped reduce the overall loss. </t>
    </r>
    <r>
      <rPr>
        <b/>
        <sz val="11"/>
        <color theme="1"/>
        <rFont val="Aptos Narrow"/>
        <family val="2"/>
        <scheme val="minor"/>
      </rPr>
      <t>DSO improved to 75 days</t>
    </r>
    <r>
      <rPr>
        <sz val="11"/>
        <color theme="1"/>
        <rFont val="Aptos Narrow"/>
        <family val="2"/>
        <scheme val="minor"/>
      </rPr>
      <t xml:space="preserve">, but </t>
    </r>
    <r>
      <rPr>
        <b/>
        <sz val="11"/>
        <color theme="1"/>
        <rFont val="Aptos Narrow"/>
        <family val="2"/>
        <scheme val="minor"/>
      </rPr>
      <t>DIO worsened to 9.7</t>
    </r>
    <r>
      <rPr>
        <sz val="11"/>
        <color theme="1"/>
        <rFont val="Aptos Narrow"/>
        <family val="2"/>
        <scheme val="minor"/>
      </rPr>
      <t>, signaling further inventory buildup.</t>
    </r>
  </si>
  <si>
    <r>
      <t>Strategic Recommendations</t>
    </r>
    <r>
      <rPr>
        <sz val="11"/>
        <color theme="1"/>
        <rFont val="Aptos Narrow"/>
        <family val="2"/>
        <scheme val="minor"/>
      </rPr>
      <t xml:space="preserve">: While revenue growth in mid-tier clients like </t>
    </r>
    <r>
      <rPr>
        <b/>
        <sz val="11"/>
        <color theme="1"/>
        <rFont val="Aptos Narrow"/>
        <family val="2"/>
        <scheme val="minor"/>
      </rPr>
      <t>Client 3</t>
    </r>
    <r>
      <rPr>
        <sz val="11"/>
        <color theme="1"/>
        <rFont val="Aptos Narrow"/>
        <family val="2"/>
        <scheme val="minor"/>
      </rPr>
      <t xml:space="preserve"> and </t>
    </r>
    <r>
      <rPr>
        <b/>
        <sz val="11"/>
        <color theme="1"/>
        <rFont val="Aptos Narrow"/>
        <family val="2"/>
        <scheme val="minor"/>
      </rPr>
      <t>Client 5</t>
    </r>
    <r>
      <rPr>
        <sz val="11"/>
        <color theme="1"/>
        <rFont val="Aptos Narrow"/>
        <family val="2"/>
        <scheme val="minor"/>
      </rPr>
      <t xml:space="preserve"> is promising, </t>
    </r>
    <r>
      <rPr>
        <b/>
        <sz val="11"/>
        <color theme="1"/>
        <rFont val="Aptos Narrow"/>
        <family val="2"/>
        <scheme val="minor"/>
      </rPr>
      <t>Client 1’s continued decline</t>
    </r>
    <r>
      <rPr>
        <sz val="11"/>
        <color theme="1"/>
        <rFont val="Aptos Narrow"/>
        <family val="2"/>
        <scheme val="minor"/>
      </rPr>
      <t xml:space="preserve"> indicates that recovery may not be possible. Strategically, </t>
    </r>
    <r>
      <rPr>
        <b/>
        <sz val="11"/>
        <color theme="1"/>
        <rFont val="Aptos Narrow"/>
        <family val="2"/>
        <scheme val="minor"/>
      </rPr>
      <t>phasing out dependence on Client 1</t>
    </r>
    <r>
      <rPr>
        <sz val="11"/>
        <color theme="1"/>
        <rFont val="Aptos Narrow"/>
        <family val="2"/>
        <scheme val="minor"/>
      </rPr>
      <t xml:space="preserve"> over the next two quarters should be a priority while aggressively </t>
    </r>
    <r>
      <rPr>
        <b/>
        <sz val="11"/>
        <color theme="1"/>
        <rFont val="Aptos Narrow"/>
        <family val="2"/>
        <scheme val="minor"/>
      </rPr>
      <t>scaling mid-tier clients</t>
    </r>
    <r>
      <rPr>
        <sz val="11"/>
        <color theme="1"/>
        <rFont val="Aptos Narrow"/>
        <family val="2"/>
        <scheme val="minor"/>
      </rPr>
      <t xml:space="preserve">. The company's focus should now shift toward </t>
    </r>
    <r>
      <rPr>
        <b/>
        <sz val="11"/>
        <color theme="1"/>
        <rFont val="Aptos Narrow"/>
        <family val="2"/>
        <scheme val="minor"/>
      </rPr>
      <t>margins and working capital</t>
    </r>
    <r>
      <rPr>
        <sz val="11"/>
        <color theme="1"/>
        <rFont val="Aptos Narrow"/>
        <family val="2"/>
        <scheme val="minor"/>
      </rPr>
      <t xml:space="preserve">. Despite strong cost efficiencies, the </t>
    </r>
    <r>
      <rPr>
        <b/>
        <sz val="11"/>
        <color theme="1"/>
        <rFont val="Aptos Narrow"/>
        <family val="2"/>
        <scheme val="minor"/>
      </rPr>
      <t>heavy margin impact</t>
    </r>
    <r>
      <rPr>
        <sz val="11"/>
        <color theme="1"/>
        <rFont val="Aptos Narrow"/>
        <family val="2"/>
        <scheme val="minor"/>
      </rPr>
      <t xml:space="preserve"> from revenue fluctuations suggests a need for </t>
    </r>
    <r>
      <rPr>
        <b/>
        <sz val="11"/>
        <color theme="1"/>
        <rFont val="Aptos Narrow"/>
        <family val="2"/>
        <scheme val="minor"/>
      </rPr>
      <t>price renegotiations</t>
    </r>
    <r>
      <rPr>
        <sz val="11"/>
        <color theme="1"/>
        <rFont val="Aptos Narrow"/>
        <family val="2"/>
        <scheme val="minor"/>
      </rPr>
      <t xml:space="preserve"> or cost-cutting in non-core areas. The </t>
    </r>
    <r>
      <rPr>
        <b/>
        <sz val="11"/>
        <color theme="1"/>
        <rFont val="Aptos Narrow"/>
        <family val="2"/>
        <scheme val="minor"/>
      </rPr>
      <t>DSO improvement</t>
    </r>
    <r>
      <rPr>
        <sz val="11"/>
        <color theme="1"/>
        <rFont val="Aptos Narrow"/>
        <family val="2"/>
        <scheme val="minor"/>
      </rPr>
      <t xml:space="preserve"> is positive, but the continued rise in </t>
    </r>
    <r>
      <rPr>
        <b/>
        <sz val="11"/>
        <color theme="1"/>
        <rFont val="Aptos Narrow"/>
        <family val="2"/>
        <scheme val="minor"/>
      </rPr>
      <t>DIO to 9.7</t>
    </r>
    <r>
      <rPr>
        <sz val="11"/>
        <color theme="1"/>
        <rFont val="Aptos Narrow"/>
        <family val="2"/>
        <scheme val="minor"/>
      </rPr>
      <t xml:space="preserve"> reflects an unsustainable inventory cycle. Immediate action is needed to implement a </t>
    </r>
    <r>
      <rPr>
        <b/>
        <sz val="11"/>
        <color theme="1"/>
        <rFont val="Aptos Narrow"/>
        <family val="2"/>
        <scheme val="minor"/>
      </rPr>
      <t>demand-based supply chain strategy</t>
    </r>
    <r>
      <rPr>
        <sz val="11"/>
        <color theme="1"/>
        <rFont val="Aptos Narrow"/>
        <family val="2"/>
        <scheme val="minor"/>
      </rPr>
      <t xml:space="preserve">, ensuring that inventory levels align with actual sales. The focus should be on reducing production in line with real demand forecasts and leveraging </t>
    </r>
    <r>
      <rPr>
        <b/>
        <sz val="11"/>
        <color theme="1"/>
        <rFont val="Aptos Narrow"/>
        <family val="2"/>
        <scheme val="minor"/>
      </rPr>
      <t>automated inventory replenishment systems</t>
    </r>
    <r>
      <rPr>
        <sz val="11"/>
        <color theme="1"/>
        <rFont val="Aptos Narrow"/>
        <family val="2"/>
        <scheme val="minor"/>
      </rPr>
      <t>.</t>
    </r>
  </si>
  <si>
    <r>
      <t xml:space="preserve">August saw a steep </t>
    </r>
    <r>
      <rPr>
        <b/>
        <sz val="11"/>
        <color theme="1"/>
        <rFont val="Aptos Narrow"/>
        <family val="2"/>
        <scheme val="minor"/>
      </rPr>
      <t>15.63% revenue decline</t>
    </r>
    <r>
      <rPr>
        <sz val="11"/>
        <color theme="1"/>
        <rFont val="Aptos Narrow"/>
        <family val="2"/>
        <scheme val="minor"/>
      </rPr>
      <t xml:space="preserve">, primarily due to a </t>
    </r>
    <r>
      <rPr>
        <b/>
        <sz val="11"/>
        <color theme="1"/>
        <rFont val="Aptos Narrow"/>
        <family val="2"/>
        <scheme val="minor"/>
      </rPr>
      <t>1.5M$ reduction</t>
    </r>
    <r>
      <rPr>
        <sz val="11"/>
        <color theme="1"/>
        <rFont val="Aptos Narrow"/>
        <family val="2"/>
        <scheme val="minor"/>
      </rPr>
      <t xml:space="preserve"> in orders from </t>
    </r>
    <r>
      <rPr>
        <b/>
        <sz val="11"/>
        <color theme="1"/>
        <rFont val="Aptos Narrow"/>
        <family val="2"/>
        <scheme val="minor"/>
      </rPr>
      <t>Client 1</t>
    </r>
    <r>
      <rPr>
        <sz val="11"/>
        <color theme="1"/>
        <rFont val="Aptos Narrow"/>
        <family val="2"/>
        <scheme val="minor"/>
      </rPr>
      <t xml:space="preserve">. This was compounded by a further decline in </t>
    </r>
    <r>
      <rPr>
        <b/>
        <sz val="11"/>
        <color theme="1"/>
        <rFont val="Aptos Narrow"/>
        <family val="2"/>
        <scheme val="minor"/>
      </rPr>
      <t>Client 9</t>
    </r>
    <r>
      <rPr>
        <sz val="11"/>
        <color theme="1"/>
        <rFont val="Aptos Narrow"/>
        <family val="2"/>
        <scheme val="minor"/>
      </rPr>
      <t xml:space="preserve">, which eroded much of the gains from previous months. The margin was severely impacted, with a </t>
    </r>
    <r>
      <rPr>
        <b/>
        <sz val="11"/>
        <color theme="1"/>
        <rFont val="Aptos Narrow"/>
        <family val="2"/>
        <scheme val="minor"/>
      </rPr>
      <t>-55% decline</t>
    </r>
    <r>
      <rPr>
        <sz val="11"/>
        <color theme="1"/>
        <rFont val="Aptos Narrow"/>
        <family val="2"/>
        <scheme val="minor"/>
      </rPr>
      <t xml:space="preserve"> in response to the revenue drop. </t>
    </r>
    <r>
      <rPr>
        <b/>
        <sz val="11"/>
        <color theme="1"/>
        <rFont val="Aptos Narrow"/>
        <family val="2"/>
        <scheme val="minor"/>
      </rPr>
      <t>Cost efficiencies</t>
    </r>
    <r>
      <rPr>
        <sz val="11"/>
        <color theme="1"/>
        <rFont val="Aptos Narrow"/>
        <family val="2"/>
        <scheme val="minor"/>
      </rPr>
      <t xml:space="preserve"> remained strong, contributing </t>
    </r>
    <r>
      <rPr>
        <b/>
        <sz val="11"/>
        <color theme="1"/>
        <rFont val="Aptos Narrow"/>
        <family val="2"/>
        <scheme val="minor"/>
      </rPr>
      <t>+81%</t>
    </r>
    <r>
      <rPr>
        <sz val="11"/>
        <color theme="1"/>
        <rFont val="Aptos Narrow"/>
        <family val="2"/>
        <scheme val="minor"/>
      </rPr>
      <t xml:space="preserve"> to offset some of the loss, but this wasn’t enough to stop the slide. </t>
    </r>
    <r>
      <rPr>
        <b/>
        <sz val="11"/>
        <color theme="1"/>
        <rFont val="Aptos Narrow"/>
        <family val="2"/>
        <scheme val="minor"/>
      </rPr>
      <t>DSO rose to 78 days</t>
    </r>
    <r>
      <rPr>
        <sz val="11"/>
        <color theme="1"/>
        <rFont val="Aptos Narrow"/>
        <family val="2"/>
        <scheme val="minor"/>
      </rPr>
      <t xml:space="preserve">, highlighting continued issues with collections, and </t>
    </r>
    <r>
      <rPr>
        <b/>
        <sz val="11"/>
        <color theme="1"/>
        <rFont val="Aptos Narrow"/>
        <family val="2"/>
        <scheme val="minor"/>
      </rPr>
      <t>DIO increased to 10.75</t>
    </r>
    <r>
      <rPr>
        <sz val="11"/>
        <color theme="1"/>
        <rFont val="Aptos Narrow"/>
        <family val="2"/>
        <scheme val="minor"/>
      </rPr>
      <t>, reflecting a growing liquidity crisis as inventory continued to pile up without converting to sales.</t>
    </r>
  </si>
  <si>
    <r>
      <t>Strategic Recommendations</t>
    </r>
    <r>
      <rPr>
        <sz val="11"/>
        <color theme="1"/>
        <rFont val="Aptos Narrow"/>
        <family val="2"/>
        <scheme val="minor"/>
      </rPr>
      <t xml:space="preserve">: The sharp revenue decline underscores the </t>
    </r>
    <r>
      <rPr>
        <b/>
        <sz val="11"/>
        <color theme="1"/>
        <rFont val="Aptos Narrow"/>
        <family val="2"/>
        <scheme val="minor"/>
      </rPr>
      <t>urgent need for diversification</t>
    </r>
    <r>
      <rPr>
        <sz val="11"/>
        <color theme="1"/>
        <rFont val="Aptos Narrow"/>
        <family val="2"/>
        <scheme val="minor"/>
      </rPr>
      <t xml:space="preserve"> away from large clients like </t>
    </r>
    <r>
      <rPr>
        <b/>
        <sz val="11"/>
        <color theme="1"/>
        <rFont val="Aptos Narrow"/>
        <family val="2"/>
        <scheme val="minor"/>
      </rPr>
      <t>Client 1</t>
    </r>
    <r>
      <rPr>
        <sz val="11"/>
        <color theme="1"/>
        <rFont val="Aptos Narrow"/>
        <family val="2"/>
        <scheme val="minor"/>
      </rPr>
      <t xml:space="preserve">. A </t>
    </r>
    <r>
      <rPr>
        <b/>
        <sz val="11"/>
        <color theme="1"/>
        <rFont val="Aptos Narrow"/>
        <family val="2"/>
        <scheme val="minor"/>
      </rPr>
      <t>client diversification initiative</t>
    </r>
    <r>
      <rPr>
        <sz val="11"/>
        <color theme="1"/>
        <rFont val="Aptos Narrow"/>
        <family val="2"/>
        <scheme val="minor"/>
      </rPr>
      <t xml:space="preserve"> should be launched immediately, focusing on adding </t>
    </r>
    <r>
      <rPr>
        <b/>
        <sz val="11"/>
        <color theme="1"/>
        <rFont val="Aptos Narrow"/>
        <family val="2"/>
        <scheme val="minor"/>
      </rPr>
      <t>10-15 new mid-tier clients</t>
    </r>
    <r>
      <rPr>
        <sz val="11"/>
        <color theme="1"/>
        <rFont val="Aptos Narrow"/>
        <family val="2"/>
        <scheme val="minor"/>
      </rPr>
      <t xml:space="preserve"> by Q4. In parallel, </t>
    </r>
    <r>
      <rPr>
        <b/>
        <sz val="11"/>
        <color theme="1"/>
        <rFont val="Aptos Narrow"/>
        <family val="2"/>
        <scheme val="minor"/>
      </rPr>
      <t>risk mitigation strategies</t>
    </r>
    <r>
      <rPr>
        <sz val="11"/>
        <color theme="1"/>
        <rFont val="Aptos Narrow"/>
        <family val="2"/>
        <scheme val="minor"/>
      </rPr>
      <t xml:space="preserve"> should be implemented for large clients, such as </t>
    </r>
    <r>
      <rPr>
        <b/>
        <sz val="11"/>
        <color theme="1"/>
        <rFont val="Aptos Narrow"/>
        <family val="2"/>
        <scheme val="minor"/>
      </rPr>
      <t>dynamic discounting</t>
    </r>
    <r>
      <rPr>
        <sz val="11"/>
        <color theme="1"/>
        <rFont val="Aptos Narrow"/>
        <family val="2"/>
        <scheme val="minor"/>
      </rPr>
      <t xml:space="preserve"> or </t>
    </r>
    <r>
      <rPr>
        <b/>
        <sz val="11"/>
        <color theme="1"/>
        <rFont val="Aptos Narrow"/>
        <family val="2"/>
        <scheme val="minor"/>
      </rPr>
      <t>credit insurance</t>
    </r>
    <r>
      <rPr>
        <sz val="11"/>
        <color theme="1"/>
        <rFont val="Aptos Narrow"/>
        <family val="2"/>
        <scheme val="minor"/>
      </rPr>
      <t xml:space="preserve">. The rising </t>
    </r>
    <r>
      <rPr>
        <b/>
        <sz val="11"/>
        <color theme="1"/>
        <rFont val="Aptos Narrow"/>
        <family val="2"/>
        <scheme val="minor"/>
      </rPr>
      <t>DSO</t>
    </r>
    <r>
      <rPr>
        <sz val="11"/>
        <color theme="1"/>
        <rFont val="Aptos Narrow"/>
        <family val="2"/>
        <scheme val="minor"/>
      </rPr>
      <t xml:space="preserve"> suggests that the collections process is not functioning efficiently across all clients, particularly </t>
    </r>
    <r>
      <rPr>
        <b/>
        <sz val="11"/>
        <color theme="1"/>
        <rFont val="Aptos Narrow"/>
        <family val="2"/>
        <scheme val="minor"/>
      </rPr>
      <t>Client 9</t>
    </r>
    <r>
      <rPr>
        <sz val="11"/>
        <color theme="1"/>
        <rFont val="Aptos Narrow"/>
        <family val="2"/>
        <scheme val="minor"/>
      </rPr>
      <t xml:space="preserve">. Consider implementing </t>
    </r>
    <r>
      <rPr>
        <b/>
        <sz val="11"/>
        <color theme="1"/>
        <rFont val="Aptos Narrow"/>
        <family val="2"/>
        <scheme val="minor"/>
      </rPr>
      <t>automated collection workflows</t>
    </r>
    <r>
      <rPr>
        <sz val="11"/>
        <color theme="1"/>
        <rFont val="Aptos Narrow"/>
        <family val="2"/>
        <scheme val="minor"/>
      </rPr>
      <t xml:space="preserve"> and leveraging </t>
    </r>
    <r>
      <rPr>
        <b/>
        <sz val="11"/>
        <color theme="1"/>
        <rFont val="Aptos Narrow"/>
        <family val="2"/>
        <scheme val="minor"/>
      </rPr>
      <t>third-party collection agencies</t>
    </r>
    <r>
      <rPr>
        <sz val="11"/>
        <color theme="1"/>
        <rFont val="Aptos Narrow"/>
        <family val="2"/>
        <scheme val="minor"/>
      </rPr>
      <t xml:space="preserve"> to reduce delays. The rising </t>
    </r>
    <r>
      <rPr>
        <b/>
        <sz val="11"/>
        <color theme="1"/>
        <rFont val="Aptos Narrow"/>
        <family val="2"/>
        <scheme val="minor"/>
      </rPr>
      <t>DIO</t>
    </r>
    <r>
      <rPr>
        <sz val="11"/>
        <color theme="1"/>
        <rFont val="Aptos Narrow"/>
        <family val="2"/>
        <scheme val="minor"/>
      </rPr>
      <t xml:space="preserve"> indicates that inventory levels are critically high, and the company is nearing a </t>
    </r>
    <r>
      <rPr>
        <b/>
        <sz val="11"/>
        <color theme="1"/>
        <rFont val="Aptos Narrow"/>
        <family val="2"/>
        <scheme val="minor"/>
      </rPr>
      <t>working capital crisis</t>
    </r>
    <r>
      <rPr>
        <sz val="11"/>
        <color theme="1"/>
        <rFont val="Aptos Narrow"/>
        <family val="2"/>
        <scheme val="minor"/>
      </rPr>
      <t xml:space="preserve">. Immediate measures should include </t>
    </r>
    <r>
      <rPr>
        <b/>
        <sz val="11"/>
        <color theme="1"/>
        <rFont val="Aptos Narrow"/>
        <family val="2"/>
        <scheme val="minor"/>
      </rPr>
      <t>inventory liquidation</t>
    </r>
    <r>
      <rPr>
        <sz val="11"/>
        <color theme="1"/>
        <rFont val="Aptos Narrow"/>
        <family val="2"/>
        <scheme val="minor"/>
      </rPr>
      <t xml:space="preserve"> sales, offering deep discounts to move slow-moving stock, and adopting more </t>
    </r>
    <r>
      <rPr>
        <b/>
        <sz val="11"/>
        <color theme="1"/>
        <rFont val="Aptos Narrow"/>
        <family val="2"/>
        <scheme val="minor"/>
      </rPr>
      <t>aggressive demand forecasting tools</t>
    </r>
    <r>
      <rPr>
        <sz val="11"/>
        <color theme="1"/>
        <rFont val="Aptos Narrow"/>
        <family val="2"/>
        <scheme val="minor"/>
      </rPr>
      <t xml:space="preserve"> to prevent future overproduction.</t>
    </r>
  </si>
  <si>
    <r>
      <t xml:space="preserve">September saw a </t>
    </r>
    <r>
      <rPr>
        <b/>
        <sz val="11"/>
        <color theme="1"/>
        <rFont val="Aptos Narrow"/>
        <family val="2"/>
        <scheme val="minor"/>
      </rPr>
      <t>3.80% recovery in revenue</t>
    </r>
    <r>
      <rPr>
        <sz val="11"/>
        <color theme="1"/>
        <rFont val="Aptos Narrow"/>
        <family val="2"/>
        <scheme val="minor"/>
      </rPr>
      <t xml:space="preserve">, driven by partial recoveries from </t>
    </r>
    <r>
      <rPr>
        <b/>
        <sz val="11"/>
        <color theme="1"/>
        <rFont val="Aptos Narrow"/>
        <family val="2"/>
        <scheme val="minor"/>
      </rPr>
      <t>Client 1</t>
    </r>
    <r>
      <rPr>
        <sz val="11"/>
        <color theme="1"/>
        <rFont val="Aptos Narrow"/>
        <family val="2"/>
        <scheme val="minor"/>
      </rPr>
      <t xml:space="preserve"> and growth in smaller clients, but this was not enough to offset the year-to-date shortfall. </t>
    </r>
    <r>
      <rPr>
        <b/>
        <sz val="11"/>
        <color theme="1"/>
        <rFont val="Aptos Narrow"/>
        <family val="2"/>
        <scheme val="minor"/>
      </rPr>
      <t>Margins improved by 8%</t>
    </r>
    <r>
      <rPr>
        <sz val="11"/>
        <color theme="1"/>
        <rFont val="Aptos Narrow"/>
        <family val="2"/>
        <scheme val="minor"/>
      </rPr>
      <t xml:space="preserve">, helped by </t>
    </r>
    <r>
      <rPr>
        <b/>
        <sz val="11"/>
        <color theme="1"/>
        <rFont val="Aptos Narrow"/>
        <family val="2"/>
        <scheme val="minor"/>
      </rPr>
      <t>cost efficiencies</t>
    </r>
    <r>
      <rPr>
        <sz val="11"/>
        <color theme="1"/>
        <rFont val="Aptos Narrow"/>
        <family val="2"/>
        <scheme val="minor"/>
      </rPr>
      <t xml:space="preserve"> contributing </t>
    </r>
    <r>
      <rPr>
        <b/>
        <sz val="11"/>
        <color theme="1"/>
        <rFont val="Aptos Narrow"/>
        <family val="2"/>
        <scheme val="minor"/>
      </rPr>
      <t>+109%</t>
    </r>
    <r>
      <rPr>
        <sz val="11"/>
        <color theme="1"/>
        <rFont val="Aptos Narrow"/>
        <family val="2"/>
        <scheme val="minor"/>
      </rPr>
      <t xml:space="preserve">. However, the </t>
    </r>
    <r>
      <rPr>
        <b/>
        <sz val="11"/>
        <color theme="1"/>
        <rFont val="Aptos Narrow"/>
        <family val="2"/>
        <scheme val="minor"/>
      </rPr>
      <t>DSO reached 80 days</t>
    </r>
    <r>
      <rPr>
        <sz val="11"/>
        <color theme="1"/>
        <rFont val="Aptos Narrow"/>
        <family val="2"/>
        <scheme val="minor"/>
      </rPr>
      <t xml:space="preserve">, the highest of the year, signaling a deepening liquidity issue. </t>
    </r>
    <r>
      <rPr>
        <b/>
        <sz val="11"/>
        <color theme="1"/>
        <rFont val="Aptos Narrow"/>
        <family val="2"/>
        <scheme val="minor"/>
      </rPr>
      <t>DIO rose to 12.2</t>
    </r>
    <r>
      <rPr>
        <sz val="11"/>
        <color theme="1"/>
        <rFont val="Aptos Narrow"/>
        <family val="2"/>
        <scheme val="minor"/>
      </rPr>
      <t>, worsening cash flow as even more capital was tied up in unsold inventory.</t>
    </r>
  </si>
  <si>
    <r>
      <t>Strategic Recommendations</t>
    </r>
    <r>
      <rPr>
        <sz val="11"/>
        <color theme="1"/>
        <rFont val="Aptos Narrow"/>
        <family val="2"/>
        <scheme val="minor"/>
      </rPr>
      <t xml:space="preserve">: The revenue recovery, although positive, is fragile and heavily dependent on </t>
    </r>
    <r>
      <rPr>
        <b/>
        <sz val="11"/>
        <color theme="1"/>
        <rFont val="Aptos Narrow"/>
        <family val="2"/>
        <scheme val="minor"/>
      </rPr>
      <t>Client 1’s partial comeback</t>
    </r>
    <r>
      <rPr>
        <sz val="11"/>
        <color theme="1"/>
        <rFont val="Aptos Narrow"/>
        <family val="2"/>
        <scheme val="minor"/>
      </rPr>
      <t xml:space="preserve">. A </t>
    </r>
    <r>
      <rPr>
        <b/>
        <sz val="11"/>
        <color theme="1"/>
        <rFont val="Aptos Narrow"/>
        <family val="2"/>
        <scheme val="minor"/>
      </rPr>
      <t>client retention strategy</t>
    </r>
    <r>
      <rPr>
        <sz val="11"/>
        <color theme="1"/>
        <rFont val="Aptos Narrow"/>
        <family val="2"/>
        <scheme val="minor"/>
      </rPr>
      <t xml:space="preserve"> should be developed for smaller clients, emphasizing </t>
    </r>
    <r>
      <rPr>
        <b/>
        <sz val="11"/>
        <color theme="1"/>
        <rFont val="Aptos Narrow"/>
        <family val="2"/>
        <scheme val="minor"/>
      </rPr>
      <t>increased touchpoints</t>
    </r>
    <r>
      <rPr>
        <sz val="11"/>
        <color theme="1"/>
        <rFont val="Aptos Narrow"/>
        <family val="2"/>
        <scheme val="minor"/>
      </rPr>
      <t xml:space="preserve"> and tailored offers to maintain growth. On the </t>
    </r>
    <r>
      <rPr>
        <b/>
        <sz val="11"/>
        <color theme="1"/>
        <rFont val="Aptos Narrow"/>
        <family val="2"/>
        <scheme val="minor"/>
      </rPr>
      <t>DSO</t>
    </r>
    <r>
      <rPr>
        <sz val="11"/>
        <color theme="1"/>
        <rFont val="Aptos Narrow"/>
        <family val="2"/>
        <scheme val="minor"/>
      </rPr>
      <t xml:space="preserve"> front, this is now a critical problem—consider </t>
    </r>
    <r>
      <rPr>
        <b/>
        <sz val="11"/>
        <color theme="1"/>
        <rFont val="Aptos Narrow"/>
        <family val="2"/>
        <scheme val="minor"/>
      </rPr>
      <t>immediate renegotiation of payment terms</t>
    </r>
    <r>
      <rPr>
        <sz val="11"/>
        <color theme="1"/>
        <rFont val="Aptos Narrow"/>
        <family val="2"/>
        <scheme val="minor"/>
      </rPr>
      <t xml:space="preserve"> with large and slow-paying clients or temporarily halt services to high-risk clients to reduce exposure. It may also be necessary to introduce </t>
    </r>
    <r>
      <rPr>
        <b/>
        <sz val="11"/>
        <color theme="1"/>
        <rFont val="Aptos Narrow"/>
        <family val="2"/>
        <scheme val="minor"/>
      </rPr>
      <t>invoice factoring</t>
    </r>
    <r>
      <rPr>
        <sz val="11"/>
        <color theme="1"/>
        <rFont val="Aptos Narrow"/>
        <family val="2"/>
        <scheme val="minor"/>
      </rPr>
      <t xml:space="preserve"> to free up cash tied up in AR. The continued rise in </t>
    </r>
    <r>
      <rPr>
        <b/>
        <sz val="11"/>
        <color theme="1"/>
        <rFont val="Aptos Narrow"/>
        <family val="2"/>
        <scheme val="minor"/>
      </rPr>
      <t>DIO</t>
    </r>
    <r>
      <rPr>
        <sz val="11"/>
        <color theme="1"/>
        <rFont val="Aptos Narrow"/>
        <family val="2"/>
        <scheme val="minor"/>
      </rPr>
      <t xml:space="preserve"> indicates that current </t>
    </r>
    <r>
      <rPr>
        <b/>
        <sz val="11"/>
        <color theme="1"/>
        <rFont val="Aptos Narrow"/>
        <family val="2"/>
        <scheme val="minor"/>
      </rPr>
      <t>inventory control measures</t>
    </r>
    <r>
      <rPr>
        <sz val="11"/>
        <color theme="1"/>
        <rFont val="Aptos Narrow"/>
        <family val="2"/>
        <scheme val="minor"/>
      </rPr>
      <t xml:space="preserve"> are insufficient. More </t>
    </r>
    <r>
      <rPr>
        <b/>
        <sz val="11"/>
        <color theme="1"/>
        <rFont val="Aptos Narrow"/>
        <family val="2"/>
        <scheme val="minor"/>
      </rPr>
      <t>aggressive production cuts</t>
    </r>
    <r>
      <rPr>
        <sz val="11"/>
        <color theme="1"/>
        <rFont val="Aptos Narrow"/>
        <family val="2"/>
        <scheme val="minor"/>
      </rPr>
      <t xml:space="preserve"> are required, and the company should evaluate the feasibility of </t>
    </r>
    <r>
      <rPr>
        <b/>
        <sz val="11"/>
        <color theme="1"/>
        <rFont val="Aptos Narrow"/>
        <family val="2"/>
        <scheme val="minor"/>
      </rPr>
      <t>lean manufacturing</t>
    </r>
    <r>
      <rPr>
        <sz val="11"/>
        <color theme="1"/>
        <rFont val="Aptos Narrow"/>
        <family val="2"/>
        <scheme val="minor"/>
      </rPr>
      <t xml:space="preserve"> principles to prevent excess inventory in the future.</t>
    </r>
  </si>
  <si>
    <r>
      <t xml:space="preserve">October saw a </t>
    </r>
    <r>
      <rPr>
        <b/>
        <sz val="11"/>
        <color theme="1"/>
        <rFont val="Aptos Narrow"/>
        <family val="2"/>
        <scheme val="minor"/>
      </rPr>
      <t>1.17% revenue decline</t>
    </r>
    <r>
      <rPr>
        <sz val="11"/>
        <color theme="1"/>
        <rFont val="Aptos Narrow"/>
        <family val="2"/>
        <scheme val="minor"/>
      </rPr>
      <t xml:space="preserve">, with a </t>
    </r>
    <r>
      <rPr>
        <b/>
        <sz val="11"/>
        <color theme="1"/>
        <rFont val="Aptos Narrow"/>
        <family val="2"/>
        <scheme val="minor"/>
      </rPr>
      <t>450K$ drop</t>
    </r>
    <r>
      <rPr>
        <sz val="11"/>
        <color theme="1"/>
        <rFont val="Aptos Narrow"/>
        <family val="2"/>
        <scheme val="minor"/>
      </rPr>
      <t xml:space="preserve"> from </t>
    </r>
    <r>
      <rPr>
        <b/>
        <sz val="11"/>
        <color theme="1"/>
        <rFont val="Aptos Narrow"/>
        <family val="2"/>
        <scheme val="minor"/>
      </rPr>
      <t>Client 4</t>
    </r>
    <r>
      <rPr>
        <sz val="11"/>
        <color theme="1"/>
        <rFont val="Aptos Narrow"/>
        <family val="2"/>
        <scheme val="minor"/>
      </rPr>
      <t xml:space="preserve">, partially offset by a recovery from </t>
    </r>
    <r>
      <rPr>
        <b/>
        <sz val="11"/>
        <color theme="1"/>
        <rFont val="Aptos Narrow"/>
        <family val="2"/>
        <scheme val="minor"/>
      </rPr>
      <t>Client 10</t>
    </r>
    <r>
      <rPr>
        <sz val="11"/>
        <color theme="1"/>
        <rFont val="Aptos Narrow"/>
        <family val="2"/>
        <scheme val="minor"/>
      </rPr>
      <t xml:space="preserve">. </t>
    </r>
    <r>
      <rPr>
        <b/>
        <sz val="11"/>
        <color theme="1"/>
        <rFont val="Aptos Narrow"/>
        <family val="2"/>
        <scheme val="minor"/>
      </rPr>
      <t>Margins declined by 4%</t>
    </r>
    <r>
      <rPr>
        <sz val="11"/>
        <color theme="1"/>
        <rFont val="Aptos Narrow"/>
        <family val="2"/>
        <scheme val="minor"/>
      </rPr>
      <t xml:space="preserve">, though </t>
    </r>
    <r>
      <rPr>
        <b/>
        <sz val="11"/>
        <color theme="1"/>
        <rFont val="Aptos Narrow"/>
        <family val="2"/>
        <scheme val="minor"/>
      </rPr>
      <t>cost efficiencies</t>
    </r>
    <r>
      <rPr>
        <sz val="11"/>
        <color theme="1"/>
        <rFont val="Aptos Narrow"/>
        <family val="2"/>
        <scheme val="minor"/>
      </rPr>
      <t xml:space="preserve"> contributed </t>
    </r>
    <r>
      <rPr>
        <b/>
        <sz val="11"/>
        <color theme="1"/>
        <rFont val="Aptos Narrow"/>
        <family val="2"/>
        <scheme val="minor"/>
      </rPr>
      <t>+26%</t>
    </r>
    <r>
      <rPr>
        <sz val="11"/>
        <color theme="1"/>
        <rFont val="Aptos Narrow"/>
        <family val="2"/>
        <scheme val="minor"/>
      </rPr>
      <t xml:space="preserve">, helping to cushion the blow. </t>
    </r>
    <r>
      <rPr>
        <b/>
        <sz val="11"/>
        <color theme="1"/>
        <rFont val="Aptos Narrow"/>
        <family val="2"/>
        <scheme val="minor"/>
      </rPr>
      <t>DSO dropped to 69 days</t>
    </r>
    <r>
      <rPr>
        <sz val="11"/>
        <color theme="1"/>
        <rFont val="Aptos Narrow"/>
        <family val="2"/>
        <scheme val="minor"/>
      </rPr>
      <t xml:space="preserve">, signaling some improvements in collection processes, but </t>
    </r>
    <r>
      <rPr>
        <b/>
        <sz val="11"/>
        <color theme="1"/>
        <rFont val="Aptos Narrow"/>
        <family val="2"/>
        <scheme val="minor"/>
      </rPr>
      <t>DIO</t>
    </r>
    <r>
      <rPr>
        <sz val="11"/>
        <color theme="1"/>
        <rFont val="Aptos Narrow"/>
        <family val="2"/>
        <scheme val="minor"/>
      </rPr>
      <t xml:space="preserve"> continued to worsen, reaching </t>
    </r>
    <r>
      <rPr>
        <b/>
        <sz val="11"/>
        <color theme="1"/>
        <rFont val="Aptos Narrow"/>
        <family val="2"/>
        <scheme val="minor"/>
      </rPr>
      <t>13.9</t>
    </r>
    <r>
      <rPr>
        <sz val="11"/>
        <color theme="1"/>
        <rFont val="Aptos Narrow"/>
        <family val="2"/>
        <scheme val="minor"/>
      </rPr>
      <t>, signaling a major working capital issue as the company was struggling to convert inventory into cash.</t>
    </r>
  </si>
  <si>
    <r>
      <t>Strategic Recommendations</t>
    </r>
    <r>
      <rPr>
        <sz val="11"/>
        <color theme="1"/>
        <rFont val="Aptos Narrow"/>
        <family val="2"/>
        <scheme val="minor"/>
      </rPr>
      <t xml:space="preserve">: The decline in </t>
    </r>
    <r>
      <rPr>
        <b/>
        <sz val="11"/>
        <color theme="1"/>
        <rFont val="Aptos Narrow"/>
        <family val="2"/>
        <scheme val="minor"/>
      </rPr>
      <t>Client 4’s</t>
    </r>
    <r>
      <rPr>
        <sz val="11"/>
        <color theme="1"/>
        <rFont val="Aptos Narrow"/>
        <family val="2"/>
        <scheme val="minor"/>
      </rPr>
      <t xml:space="preserve"> revenue suggests client volatility continues to threaten financial stability. Develop a </t>
    </r>
    <r>
      <rPr>
        <b/>
        <sz val="11"/>
        <color theme="1"/>
        <rFont val="Aptos Narrow"/>
        <family val="2"/>
        <scheme val="minor"/>
      </rPr>
      <t>client volatility management plan</t>
    </r>
    <r>
      <rPr>
        <sz val="11"/>
        <color theme="1"/>
        <rFont val="Aptos Narrow"/>
        <family val="2"/>
        <scheme val="minor"/>
      </rPr>
      <t xml:space="preserve">, which includes </t>
    </r>
    <r>
      <rPr>
        <b/>
        <sz val="11"/>
        <color theme="1"/>
        <rFont val="Aptos Narrow"/>
        <family val="2"/>
        <scheme val="minor"/>
      </rPr>
      <t>in-depth customer satisfaction analysis</t>
    </r>
    <r>
      <rPr>
        <sz val="11"/>
        <color theme="1"/>
        <rFont val="Aptos Narrow"/>
        <family val="2"/>
        <scheme val="minor"/>
      </rPr>
      <t xml:space="preserve"> and improved </t>
    </r>
    <r>
      <rPr>
        <b/>
        <sz val="11"/>
        <color theme="1"/>
        <rFont val="Aptos Narrow"/>
        <family val="2"/>
        <scheme val="minor"/>
      </rPr>
      <t>contractual safeguards</t>
    </r>
    <r>
      <rPr>
        <sz val="11"/>
        <color theme="1"/>
        <rFont val="Aptos Narrow"/>
        <family val="2"/>
        <scheme val="minor"/>
      </rPr>
      <t xml:space="preserve"> to reduce reliance on high-risk clients. The </t>
    </r>
    <r>
      <rPr>
        <b/>
        <sz val="11"/>
        <color theme="1"/>
        <rFont val="Aptos Narrow"/>
        <family val="2"/>
        <scheme val="minor"/>
      </rPr>
      <t>margin decline</t>
    </r>
    <r>
      <rPr>
        <sz val="11"/>
        <color theme="1"/>
        <rFont val="Aptos Narrow"/>
        <family val="2"/>
        <scheme val="minor"/>
      </rPr>
      <t xml:space="preserve"> indicates that revenue growth is lagging cost efficiency gains, meaning the company’s ability to </t>
    </r>
    <r>
      <rPr>
        <b/>
        <sz val="11"/>
        <color theme="1"/>
        <rFont val="Aptos Narrow"/>
        <family val="2"/>
        <scheme val="minor"/>
      </rPr>
      <t>pass on costs</t>
    </r>
    <r>
      <rPr>
        <sz val="11"/>
        <color theme="1"/>
        <rFont val="Aptos Narrow"/>
        <family val="2"/>
        <scheme val="minor"/>
      </rPr>
      <t xml:space="preserve"> to customers is weak. Consider reviewing </t>
    </r>
    <r>
      <rPr>
        <b/>
        <sz val="11"/>
        <color theme="1"/>
        <rFont val="Aptos Narrow"/>
        <family val="2"/>
        <scheme val="minor"/>
      </rPr>
      <t>pricing strategies</t>
    </r>
    <r>
      <rPr>
        <sz val="11"/>
        <color theme="1"/>
        <rFont val="Aptos Narrow"/>
        <family val="2"/>
        <scheme val="minor"/>
      </rPr>
      <t xml:space="preserve"> to restore profitability, particularly with large accounts. The </t>
    </r>
    <r>
      <rPr>
        <b/>
        <sz val="11"/>
        <color theme="1"/>
        <rFont val="Aptos Narrow"/>
        <family val="2"/>
        <scheme val="minor"/>
      </rPr>
      <t>DSO improvement</t>
    </r>
    <r>
      <rPr>
        <sz val="11"/>
        <color theme="1"/>
        <rFont val="Aptos Narrow"/>
        <family val="2"/>
        <scheme val="minor"/>
      </rPr>
      <t xml:space="preserve"> is a good sign, but it needs to be sustained. Implement </t>
    </r>
    <r>
      <rPr>
        <b/>
        <sz val="11"/>
        <color theme="1"/>
        <rFont val="Aptos Narrow"/>
        <family val="2"/>
        <scheme val="minor"/>
      </rPr>
      <t>client-level KPIs</t>
    </r>
    <r>
      <rPr>
        <sz val="11"/>
        <color theme="1"/>
        <rFont val="Aptos Narrow"/>
        <family val="2"/>
        <scheme val="minor"/>
      </rPr>
      <t xml:space="preserve"> to track payment behavior and create a </t>
    </r>
    <r>
      <rPr>
        <b/>
        <sz val="11"/>
        <color theme="1"/>
        <rFont val="Aptos Narrow"/>
        <family val="2"/>
        <scheme val="minor"/>
      </rPr>
      <t>real-time dashboard</t>
    </r>
    <r>
      <rPr>
        <sz val="11"/>
        <color theme="1"/>
        <rFont val="Aptos Narrow"/>
        <family val="2"/>
        <scheme val="minor"/>
      </rPr>
      <t xml:space="preserve"> for the AR team to quickly identify problem clients. The worsening </t>
    </r>
    <r>
      <rPr>
        <b/>
        <sz val="11"/>
        <color theme="1"/>
        <rFont val="Aptos Narrow"/>
        <family val="2"/>
        <scheme val="minor"/>
      </rPr>
      <t>DIO</t>
    </r>
    <r>
      <rPr>
        <sz val="11"/>
        <color theme="1"/>
        <rFont val="Aptos Narrow"/>
        <family val="2"/>
        <scheme val="minor"/>
      </rPr>
      <t xml:space="preserve"> indicates that more immediate measures need to be taken—implement a </t>
    </r>
    <r>
      <rPr>
        <b/>
        <sz val="11"/>
        <color theme="1"/>
        <rFont val="Aptos Narrow"/>
        <family val="2"/>
        <scheme val="minor"/>
      </rPr>
      <t>complete inventory overhaul</t>
    </r>
    <r>
      <rPr>
        <sz val="11"/>
        <color theme="1"/>
        <rFont val="Aptos Narrow"/>
        <family val="2"/>
        <scheme val="minor"/>
      </rPr>
      <t xml:space="preserve">, potentially outsourcing some </t>
    </r>
    <r>
      <rPr>
        <b/>
        <sz val="11"/>
        <color theme="1"/>
        <rFont val="Aptos Narrow"/>
        <family val="2"/>
        <scheme val="minor"/>
      </rPr>
      <t>inventory management to third-party logistics providers</t>
    </r>
    <r>
      <rPr>
        <sz val="11"/>
        <color theme="1"/>
        <rFont val="Aptos Narrow"/>
        <family val="2"/>
        <scheme val="minor"/>
      </rPr>
      <t xml:space="preserve"> to reduce stock levels and improve liquidity.</t>
    </r>
  </si>
  <si>
    <r>
      <t xml:space="preserve">Revenue declined slightly by </t>
    </r>
    <r>
      <rPr>
        <b/>
        <sz val="11"/>
        <color theme="1"/>
        <rFont val="Aptos Narrow"/>
        <family val="2"/>
        <scheme val="minor"/>
      </rPr>
      <t>0.64%</t>
    </r>
    <r>
      <rPr>
        <sz val="11"/>
        <color theme="1"/>
        <rFont val="Aptos Narrow"/>
        <family val="2"/>
        <scheme val="minor"/>
      </rPr>
      <t xml:space="preserve">, but this was masked by the continued recovery of </t>
    </r>
    <r>
      <rPr>
        <b/>
        <sz val="11"/>
        <color theme="1"/>
        <rFont val="Aptos Narrow"/>
        <family val="2"/>
        <scheme val="minor"/>
      </rPr>
      <t>Client 1</t>
    </r>
    <r>
      <rPr>
        <sz val="11"/>
        <color theme="1"/>
        <rFont val="Aptos Narrow"/>
        <family val="2"/>
        <scheme val="minor"/>
      </rPr>
      <t xml:space="preserve">, which helped to balance out the poor performance of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t>
    </r>
    <r>
      <rPr>
        <b/>
        <sz val="11"/>
        <color theme="1"/>
        <rFont val="Aptos Narrow"/>
        <family val="2"/>
        <scheme val="minor"/>
      </rPr>
      <t>Margins dipped slightly by 2%</t>
    </r>
    <r>
      <rPr>
        <sz val="11"/>
        <color theme="1"/>
        <rFont val="Aptos Narrow"/>
        <family val="2"/>
        <scheme val="minor"/>
      </rPr>
      <t xml:space="preserve">, but </t>
    </r>
    <r>
      <rPr>
        <b/>
        <sz val="11"/>
        <color theme="1"/>
        <rFont val="Aptos Narrow"/>
        <family val="2"/>
        <scheme val="minor"/>
      </rPr>
      <t>cost efficiencies</t>
    </r>
    <r>
      <rPr>
        <sz val="11"/>
        <color theme="1"/>
        <rFont val="Aptos Narrow"/>
        <family val="2"/>
        <scheme val="minor"/>
      </rPr>
      <t xml:space="preserve"> again helped mitigate the impact. The </t>
    </r>
    <r>
      <rPr>
        <b/>
        <sz val="11"/>
        <color theme="1"/>
        <rFont val="Aptos Narrow"/>
        <family val="2"/>
        <scheme val="minor"/>
      </rPr>
      <t>DSO rose slightly to 74 days</t>
    </r>
    <r>
      <rPr>
        <sz val="11"/>
        <color theme="1"/>
        <rFont val="Aptos Narrow"/>
        <family val="2"/>
        <scheme val="minor"/>
      </rPr>
      <t xml:space="preserve">, reflecting ongoing collection inefficiencies, while </t>
    </r>
    <r>
      <rPr>
        <b/>
        <sz val="11"/>
        <color theme="1"/>
        <rFont val="Aptos Narrow"/>
        <family val="2"/>
        <scheme val="minor"/>
      </rPr>
      <t>DIO continued to rise</t>
    </r>
    <r>
      <rPr>
        <sz val="11"/>
        <color theme="1"/>
        <rFont val="Aptos Narrow"/>
        <family val="2"/>
        <scheme val="minor"/>
      </rPr>
      <t xml:space="preserve"> to </t>
    </r>
    <r>
      <rPr>
        <b/>
        <sz val="11"/>
        <color theme="1"/>
        <rFont val="Aptos Narrow"/>
        <family val="2"/>
        <scheme val="minor"/>
      </rPr>
      <t>14.8</t>
    </r>
    <r>
      <rPr>
        <sz val="11"/>
        <color theme="1"/>
        <rFont val="Aptos Narrow"/>
        <family val="2"/>
        <scheme val="minor"/>
      </rPr>
      <t>, pointing to further cash flow pressures tied to unsold inventory.</t>
    </r>
  </si>
  <si>
    <r>
      <t>Strategic Recommendations</t>
    </r>
    <r>
      <rPr>
        <sz val="11"/>
        <color theme="1"/>
        <rFont val="Aptos Narrow"/>
        <family val="2"/>
        <scheme val="minor"/>
      </rPr>
      <t xml:space="preserve">: </t>
    </r>
    <r>
      <rPr>
        <b/>
        <sz val="11"/>
        <color theme="1"/>
        <rFont val="Aptos Narrow"/>
        <family val="2"/>
        <scheme val="minor"/>
      </rPr>
      <t>Client 1's recovery</t>
    </r>
    <r>
      <rPr>
        <sz val="11"/>
        <color theme="1"/>
        <rFont val="Aptos Narrow"/>
        <family val="2"/>
        <scheme val="minor"/>
      </rPr>
      <t xml:space="preserve"> remains a bright spot, but the underperformance of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should be addressed by a </t>
    </r>
    <r>
      <rPr>
        <b/>
        <sz val="11"/>
        <color theme="1"/>
        <rFont val="Aptos Narrow"/>
        <family val="2"/>
        <scheme val="minor"/>
      </rPr>
      <t>customer risk management plan</t>
    </r>
    <r>
      <rPr>
        <sz val="11"/>
        <color theme="1"/>
        <rFont val="Aptos Narrow"/>
        <family val="2"/>
        <scheme val="minor"/>
      </rPr>
      <t xml:space="preserve">. Develop contingency plans, such as </t>
    </r>
    <r>
      <rPr>
        <b/>
        <sz val="11"/>
        <color theme="1"/>
        <rFont val="Aptos Narrow"/>
        <family val="2"/>
        <scheme val="minor"/>
      </rPr>
      <t>secondary revenue streams</t>
    </r>
    <r>
      <rPr>
        <sz val="11"/>
        <color theme="1"/>
        <rFont val="Aptos Narrow"/>
        <family val="2"/>
        <scheme val="minor"/>
      </rPr>
      <t xml:space="preserve"> for high-risk clients and review </t>
    </r>
    <r>
      <rPr>
        <b/>
        <sz val="11"/>
        <color theme="1"/>
        <rFont val="Aptos Narrow"/>
        <family val="2"/>
        <scheme val="minor"/>
      </rPr>
      <t>client credit policies</t>
    </r>
    <r>
      <rPr>
        <sz val="11"/>
        <color theme="1"/>
        <rFont val="Aptos Narrow"/>
        <family val="2"/>
        <scheme val="minor"/>
      </rPr>
      <t xml:space="preserve"> to avoid future issues. The </t>
    </r>
    <r>
      <rPr>
        <b/>
        <sz val="11"/>
        <color theme="1"/>
        <rFont val="Aptos Narrow"/>
        <family val="2"/>
        <scheme val="minor"/>
      </rPr>
      <t>marginal decline in margins</t>
    </r>
    <r>
      <rPr>
        <sz val="11"/>
        <color theme="1"/>
        <rFont val="Aptos Narrow"/>
        <family val="2"/>
        <scheme val="minor"/>
      </rPr>
      <t xml:space="preserve"> is an indication that while </t>
    </r>
    <r>
      <rPr>
        <b/>
        <sz val="11"/>
        <color theme="1"/>
        <rFont val="Aptos Narrow"/>
        <family val="2"/>
        <scheme val="minor"/>
      </rPr>
      <t>cost control remains effective</t>
    </r>
    <r>
      <rPr>
        <sz val="11"/>
        <color theme="1"/>
        <rFont val="Aptos Narrow"/>
        <family val="2"/>
        <scheme val="minor"/>
      </rPr>
      <t xml:space="preserve">, the company’s pricing power is limited. Investigate the feasibility of </t>
    </r>
    <r>
      <rPr>
        <b/>
        <sz val="11"/>
        <color theme="1"/>
        <rFont val="Aptos Narrow"/>
        <family val="2"/>
        <scheme val="minor"/>
      </rPr>
      <t>adjusting pricing models</t>
    </r>
    <r>
      <rPr>
        <sz val="11"/>
        <color theme="1"/>
        <rFont val="Aptos Narrow"/>
        <family val="2"/>
        <scheme val="minor"/>
      </rPr>
      <t xml:space="preserve"> across the client base to improve margins without sacrificing competitiveness. On the </t>
    </r>
    <r>
      <rPr>
        <b/>
        <sz val="11"/>
        <color theme="1"/>
        <rFont val="Aptos Narrow"/>
        <family val="2"/>
        <scheme val="minor"/>
      </rPr>
      <t>DSO front</t>
    </r>
    <r>
      <rPr>
        <sz val="11"/>
        <color theme="1"/>
        <rFont val="Aptos Narrow"/>
        <family val="2"/>
        <scheme val="minor"/>
      </rPr>
      <t>, more aggressive measures need to be taken—</t>
    </r>
    <r>
      <rPr>
        <b/>
        <sz val="11"/>
        <color theme="1"/>
        <rFont val="Aptos Narrow"/>
        <family val="2"/>
        <scheme val="minor"/>
      </rPr>
      <t>invoice factoring</t>
    </r>
    <r>
      <rPr>
        <sz val="11"/>
        <color theme="1"/>
        <rFont val="Aptos Narrow"/>
        <family val="2"/>
        <scheme val="minor"/>
      </rPr>
      <t xml:space="preserve"> or </t>
    </r>
    <r>
      <rPr>
        <b/>
        <sz val="11"/>
        <color theme="1"/>
        <rFont val="Aptos Narrow"/>
        <family val="2"/>
        <scheme val="minor"/>
      </rPr>
      <t>short-term bridge financing</t>
    </r>
    <r>
      <rPr>
        <sz val="11"/>
        <color theme="1"/>
        <rFont val="Aptos Narrow"/>
        <family val="2"/>
        <scheme val="minor"/>
      </rPr>
      <t xml:space="preserve"> could be considered to improve liquidity. The </t>
    </r>
    <r>
      <rPr>
        <b/>
        <sz val="11"/>
        <color theme="1"/>
        <rFont val="Aptos Narrow"/>
        <family val="2"/>
        <scheme val="minor"/>
      </rPr>
      <t>DIO increase to 14.8</t>
    </r>
    <r>
      <rPr>
        <sz val="11"/>
        <color theme="1"/>
        <rFont val="Aptos Narrow"/>
        <family val="2"/>
        <scheme val="minor"/>
      </rPr>
      <t xml:space="preserve"> is a red flag, indicating that the company’s liquidity is severely at risk. Immediate actions should be taken to </t>
    </r>
    <r>
      <rPr>
        <b/>
        <sz val="11"/>
        <color theme="1"/>
        <rFont val="Aptos Narrow"/>
        <family val="2"/>
        <scheme val="minor"/>
      </rPr>
      <t>freeze production of low-demand products</t>
    </r>
    <r>
      <rPr>
        <sz val="11"/>
        <color theme="1"/>
        <rFont val="Aptos Narrow"/>
        <family val="2"/>
        <scheme val="minor"/>
      </rPr>
      <t xml:space="preserve"> and </t>
    </r>
    <r>
      <rPr>
        <b/>
        <sz val="11"/>
        <color theme="1"/>
        <rFont val="Aptos Narrow"/>
        <family val="2"/>
        <scheme val="minor"/>
      </rPr>
      <t>accelerate inventory turnover</t>
    </r>
    <r>
      <rPr>
        <sz val="11"/>
        <color theme="1"/>
        <rFont val="Aptos Narrow"/>
        <family val="2"/>
        <scheme val="minor"/>
      </rPr>
      <t xml:space="preserve"> through price reductions, bundling, or even returning products to suppliers where feasible.</t>
    </r>
  </si>
  <si>
    <r>
      <t xml:space="preserve">December ended with a </t>
    </r>
    <r>
      <rPr>
        <b/>
        <sz val="11"/>
        <color theme="1"/>
        <rFont val="Aptos Narrow"/>
        <family val="2"/>
        <scheme val="minor"/>
      </rPr>
      <t>4.27% revenue decline</t>
    </r>
    <r>
      <rPr>
        <sz val="11"/>
        <color theme="1"/>
        <rFont val="Aptos Narrow"/>
        <family val="2"/>
        <scheme val="minor"/>
      </rPr>
      <t xml:space="preserve">, with </t>
    </r>
    <r>
      <rPr>
        <b/>
        <sz val="11"/>
        <color theme="1"/>
        <rFont val="Aptos Narrow"/>
        <family val="2"/>
        <scheme val="minor"/>
      </rPr>
      <t>Client 1</t>
    </r>
    <r>
      <rPr>
        <sz val="11"/>
        <color theme="1"/>
        <rFont val="Aptos Narrow"/>
        <family val="2"/>
        <scheme val="minor"/>
      </rPr>
      <t xml:space="preserve"> contributing heavily to this drop (</t>
    </r>
    <r>
      <rPr>
        <b/>
        <sz val="11"/>
        <color theme="1"/>
        <rFont val="Aptos Narrow"/>
        <family val="2"/>
        <scheme val="minor"/>
      </rPr>
      <t>1.4M$ in losses</t>
    </r>
    <r>
      <rPr>
        <sz val="11"/>
        <color theme="1"/>
        <rFont val="Aptos Narrow"/>
        <family val="2"/>
        <scheme val="minor"/>
      </rPr>
      <t xml:space="preserve">). However, growth from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provided some offsets. Margins were impacted by </t>
    </r>
    <r>
      <rPr>
        <b/>
        <sz val="11"/>
        <color theme="1"/>
        <rFont val="Aptos Narrow"/>
        <family val="2"/>
        <scheme val="minor"/>
      </rPr>
      <t>-12%</t>
    </r>
    <r>
      <rPr>
        <sz val="11"/>
        <color theme="1"/>
        <rFont val="Aptos Narrow"/>
        <family val="2"/>
        <scheme val="minor"/>
      </rPr>
      <t xml:space="preserve">, though </t>
    </r>
    <r>
      <rPr>
        <b/>
        <sz val="11"/>
        <color theme="1"/>
        <rFont val="Aptos Narrow"/>
        <family val="2"/>
        <scheme val="minor"/>
      </rPr>
      <t>cost efficiencies</t>
    </r>
    <r>
      <rPr>
        <sz val="11"/>
        <color theme="1"/>
        <rFont val="Aptos Narrow"/>
        <family val="2"/>
        <scheme val="minor"/>
      </rPr>
      <t xml:space="preserve"> contributed </t>
    </r>
    <r>
      <rPr>
        <b/>
        <sz val="11"/>
        <color theme="1"/>
        <rFont val="Aptos Narrow"/>
        <family val="2"/>
        <scheme val="minor"/>
      </rPr>
      <t>+40%</t>
    </r>
    <r>
      <rPr>
        <sz val="11"/>
        <color theme="1"/>
        <rFont val="Aptos Narrow"/>
        <family val="2"/>
        <scheme val="minor"/>
      </rPr>
      <t xml:space="preserve"> to cushion the blow. </t>
    </r>
    <r>
      <rPr>
        <b/>
        <sz val="11"/>
        <color theme="1"/>
        <rFont val="Aptos Narrow"/>
        <family val="2"/>
        <scheme val="minor"/>
      </rPr>
      <t>DSO stabilized at 69 days</t>
    </r>
    <r>
      <rPr>
        <sz val="11"/>
        <color theme="1"/>
        <rFont val="Aptos Narrow"/>
        <family val="2"/>
        <scheme val="minor"/>
      </rPr>
      <t xml:space="preserve">, but </t>
    </r>
    <r>
      <rPr>
        <b/>
        <sz val="11"/>
        <color theme="1"/>
        <rFont val="Aptos Narrow"/>
        <family val="2"/>
        <scheme val="minor"/>
      </rPr>
      <t>DIO rose further to 15.6</t>
    </r>
    <r>
      <rPr>
        <sz val="11"/>
        <color theme="1"/>
        <rFont val="Aptos Narrow"/>
        <family val="2"/>
        <scheme val="minor"/>
      </rPr>
      <t>, signaling a major liquidity crisis as cash continued to be tied up in unsold inventory.</t>
    </r>
  </si>
  <si>
    <r>
      <t>Strategic Recommendations</t>
    </r>
    <r>
      <rPr>
        <sz val="11"/>
        <color theme="1"/>
        <rFont val="Aptos Narrow"/>
        <family val="2"/>
        <scheme val="minor"/>
      </rPr>
      <t xml:space="preserve">: The end of the year signals a critical need to address </t>
    </r>
    <r>
      <rPr>
        <b/>
        <sz val="11"/>
        <color theme="1"/>
        <rFont val="Aptos Narrow"/>
        <family val="2"/>
        <scheme val="minor"/>
      </rPr>
      <t>Client 1’s underperformance</t>
    </r>
    <r>
      <rPr>
        <sz val="11"/>
        <color theme="1"/>
        <rFont val="Aptos Narrow"/>
        <family val="2"/>
        <scheme val="minor"/>
      </rPr>
      <t xml:space="preserve">. Consider either </t>
    </r>
    <r>
      <rPr>
        <b/>
        <sz val="11"/>
        <color theme="1"/>
        <rFont val="Aptos Narrow"/>
        <family val="2"/>
        <scheme val="minor"/>
      </rPr>
      <t>restructuring the relationship</t>
    </r>
    <r>
      <rPr>
        <sz val="11"/>
        <color theme="1"/>
        <rFont val="Aptos Narrow"/>
        <family val="2"/>
        <scheme val="minor"/>
      </rPr>
      <t xml:space="preserve"> with </t>
    </r>
    <r>
      <rPr>
        <b/>
        <sz val="11"/>
        <color theme="1"/>
        <rFont val="Aptos Narrow"/>
        <family val="2"/>
        <scheme val="minor"/>
      </rPr>
      <t>Client 1</t>
    </r>
    <r>
      <rPr>
        <sz val="11"/>
        <color theme="1"/>
        <rFont val="Aptos Narrow"/>
        <family val="2"/>
        <scheme val="minor"/>
      </rPr>
      <t xml:space="preserve"> or significantly reducing reliance on this client moving forward. Growth from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is a positive sign, but a </t>
    </r>
    <r>
      <rPr>
        <b/>
        <sz val="11"/>
        <color theme="1"/>
        <rFont val="Aptos Narrow"/>
        <family val="2"/>
        <scheme val="minor"/>
      </rPr>
      <t>mid-tier client growth strategy</t>
    </r>
    <r>
      <rPr>
        <sz val="11"/>
        <color theme="1"/>
        <rFont val="Aptos Narrow"/>
        <family val="2"/>
        <scheme val="minor"/>
      </rPr>
      <t xml:space="preserve"> should be implemented to build a more </t>
    </r>
    <r>
      <rPr>
        <b/>
        <sz val="11"/>
        <color theme="1"/>
        <rFont val="Aptos Narrow"/>
        <family val="2"/>
        <scheme val="minor"/>
      </rPr>
      <t>balanced portfolio</t>
    </r>
    <r>
      <rPr>
        <sz val="11"/>
        <color theme="1"/>
        <rFont val="Aptos Narrow"/>
        <family val="2"/>
        <scheme val="minor"/>
      </rPr>
      <t xml:space="preserve">. The </t>
    </r>
    <r>
      <rPr>
        <b/>
        <sz val="11"/>
        <color theme="1"/>
        <rFont val="Aptos Narrow"/>
        <family val="2"/>
        <scheme val="minor"/>
      </rPr>
      <t>12% margin decline</t>
    </r>
    <r>
      <rPr>
        <sz val="11"/>
        <color theme="1"/>
        <rFont val="Aptos Narrow"/>
        <family val="2"/>
        <scheme val="minor"/>
      </rPr>
      <t xml:space="preserve"> suggests that </t>
    </r>
    <r>
      <rPr>
        <b/>
        <sz val="11"/>
        <color theme="1"/>
        <rFont val="Aptos Narrow"/>
        <family val="2"/>
        <scheme val="minor"/>
      </rPr>
      <t>pricing power remains weak</t>
    </r>
    <r>
      <rPr>
        <sz val="11"/>
        <color theme="1"/>
        <rFont val="Aptos Narrow"/>
        <family val="2"/>
        <scheme val="minor"/>
      </rPr>
      <t xml:space="preserve">, and more aggressive measures are required to </t>
    </r>
    <r>
      <rPr>
        <b/>
        <sz val="11"/>
        <color theme="1"/>
        <rFont val="Aptos Narrow"/>
        <family val="2"/>
        <scheme val="minor"/>
      </rPr>
      <t>boost profitability</t>
    </r>
    <r>
      <rPr>
        <sz val="11"/>
        <color theme="1"/>
        <rFont val="Aptos Narrow"/>
        <family val="2"/>
        <scheme val="minor"/>
      </rPr>
      <t xml:space="preserve">, possibly through </t>
    </r>
    <r>
      <rPr>
        <b/>
        <sz val="11"/>
        <color theme="1"/>
        <rFont val="Aptos Narrow"/>
        <family val="2"/>
        <scheme val="minor"/>
      </rPr>
      <t>cost reallocation or cutting non-core expenses</t>
    </r>
    <r>
      <rPr>
        <sz val="11"/>
        <color theme="1"/>
        <rFont val="Aptos Narrow"/>
        <family val="2"/>
        <scheme val="minor"/>
      </rPr>
      <t xml:space="preserve">. The </t>
    </r>
    <r>
      <rPr>
        <b/>
        <sz val="11"/>
        <color theme="1"/>
        <rFont val="Aptos Narrow"/>
        <family val="2"/>
        <scheme val="minor"/>
      </rPr>
      <t>DSO stabilization</t>
    </r>
    <r>
      <rPr>
        <sz val="11"/>
        <color theme="1"/>
        <rFont val="Aptos Narrow"/>
        <family val="2"/>
        <scheme val="minor"/>
      </rPr>
      <t xml:space="preserve"> is promising, but the </t>
    </r>
    <r>
      <rPr>
        <b/>
        <sz val="11"/>
        <color theme="1"/>
        <rFont val="Aptos Narrow"/>
        <family val="2"/>
        <scheme val="minor"/>
      </rPr>
      <t>DIO at 15.6</t>
    </r>
    <r>
      <rPr>
        <sz val="11"/>
        <color theme="1"/>
        <rFont val="Aptos Narrow"/>
        <family val="2"/>
        <scheme val="minor"/>
      </rPr>
      <t xml:space="preserve"> indicates a severe liquidity crunch. This should be treated as an emergency situation, and </t>
    </r>
    <r>
      <rPr>
        <b/>
        <sz val="11"/>
        <color theme="1"/>
        <rFont val="Aptos Narrow"/>
        <family val="2"/>
        <scheme val="minor"/>
      </rPr>
      <t>inventory reduction</t>
    </r>
    <r>
      <rPr>
        <sz val="11"/>
        <color theme="1"/>
        <rFont val="Aptos Narrow"/>
        <family val="2"/>
        <scheme val="minor"/>
      </rPr>
      <t xml:space="preserve"> strategies should be prioritized. In addition to </t>
    </r>
    <r>
      <rPr>
        <b/>
        <sz val="11"/>
        <color theme="1"/>
        <rFont val="Aptos Narrow"/>
        <family val="2"/>
        <scheme val="minor"/>
      </rPr>
      <t>liquidation sales</t>
    </r>
    <r>
      <rPr>
        <sz val="11"/>
        <color theme="1"/>
        <rFont val="Aptos Narrow"/>
        <family val="2"/>
        <scheme val="minor"/>
      </rPr>
      <t xml:space="preserve">, consider </t>
    </r>
    <r>
      <rPr>
        <b/>
        <sz val="11"/>
        <color theme="1"/>
        <rFont val="Aptos Narrow"/>
        <family val="2"/>
        <scheme val="minor"/>
      </rPr>
      <t>product obsolescence write-downs</t>
    </r>
    <r>
      <rPr>
        <sz val="11"/>
        <color theme="1"/>
        <rFont val="Aptos Narrow"/>
        <family val="2"/>
        <scheme val="minor"/>
      </rPr>
      <t xml:space="preserve"> to clean up the balance sheet and free up cash. </t>
    </r>
    <r>
      <rPr>
        <b/>
        <sz val="11"/>
        <color theme="1"/>
        <rFont val="Aptos Narrow"/>
        <family val="2"/>
        <scheme val="minor"/>
      </rPr>
      <t>Exploring strategic partnerships</t>
    </r>
    <r>
      <rPr>
        <sz val="11"/>
        <color theme="1"/>
        <rFont val="Aptos Narrow"/>
        <family val="2"/>
        <scheme val="minor"/>
      </rPr>
      <t xml:space="preserve"> with inventory management firms or </t>
    </r>
    <r>
      <rPr>
        <b/>
        <sz val="11"/>
        <color theme="1"/>
        <rFont val="Aptos Narrow"/>
        <family val="2"/>
        <scheme val="minor"/>
      </rPr>
      <t>outsourcing production</t>
    </r>
    <r>
      <rPr>
        <sz val="11"/>
        <color theme="1"/>
        <rFont val="Aptos Narrow"/>
        <family val="2"/>
        <scheme val="minor"/>
      </rPr>
      <t xml:space="preserve"> could also reduce inventory overhang and improve liquidity in the new year.</t>
    </r>
  </si>
  <si>
    <r>
      <t xml:space="preserve">Revenue dropped by </t>
    </r>
    <r>
      <rPr>
        <b/>
        <sz val="11"/>
        <color theme="1"/>
        <rFont val="Aptos Narrow"/>
        <family val="2"/>
        <scheme val="minor"/>
      </rPr>
      <t>1.02M$</t>
    </r>
    <r>
      <rPr>
        <sz val="11"/>
        <color theme="1"/>
        <rFont val="Aptos Narrow"/>
        <family val="2"/>
        <scheme val="minor"/>
      </rPr>
      <t xml:space="preserve">, driven by a major </t>
    </r>
    <r>
      <rPr>
        <b/>
        <sz val="11"/>
        <color theme="1"/>
        <rFont val="Aptos Narrow"/>
        <family val="2"/>
        <scheme val="minor"/>
      </rPr>
      <t>1.8M$ loss from Client 1</t>
    </r>
    <r>
      <rPr>
        <sz val="11"/>
        <color theme="1"/>
        <rFont val="Aptos Narrow"/>
        <family val="2"/>
        <scheme val="minor"/>
      </rPr>
      <t xml:space="preserve">, exposing high </t>
    </r>
    <r>
      <rPr>
        <b/>
        <sz val="11"/>
        <color theme="1"/>
        <rFont val="Aptos Narrow"/>
        <family val="2"/>
        <scheme val="minor"/>
      </rPr>
      <t>concentration risk</t>
    </r>
    <r>
      <rPr>
        <sz val="11"/>
        <color theme="1"/>
        <rFont val="Aptos Narrow"/>
        <family val="2"/>
        <scheme val="minor"/>
      </rPr>
      <t xml:space="preserve">. The company was heavily reliant on this client, leading to a significant </t>
    </r>
    <r>
      <rPr>
        <b/>
        <sz val="11"/>
        <color theme="1"/>
        <rFont val="Aptos Narrow"/>
        <family val="2"/>
        <scheme val="minor"/>
      </rPr>
      <t>margin decline</t>
    </r>
    <r>
      <rPr>
        <sz val="11"/>
        <color theme="1"/>
        <rFont val="Aptos Narrow"/>
        <family val="2"/>
        <scheme val="minor"/>
      </rPr>
      <t xml:space="preserve"> (</t>
    </r>
    <r>
      <rPr>
        <b/>
        <sz val="11"/>
        <color theme="1"/>
        <rFont val="Aptos Narrow"/>
        <family val="2"/>
        <scheme val="minor"/>
      </rPr>
      <t>-24%</t>
    </r>
    <r>
      <rPr>
        <sz val="11"/>
        <color theme="1"/>
        <rFont val="Aptos Narrow"/>
        <family val="2"/>
        <scheme val="minor"/>
      </rPr>
      <t xml:space="preserve">), which was somewhat offset by cost efficiencies contributing </t>
    </r>
    <r>
      <rPr>
        <b/>
        <sz val="11"/>
        <color theme="1"/>
        <rFont val="Aptos Narrow"/>
        <family val="2"/>
        <scheme val="minor"/>
      </rPr>
      <t>+76%</t>
    </r>
    <r>
      <rPr>
        <sz val="11"/>
        <color theme="1"/>
        <rFont val="Aptos Narrow"/>
        <family val="2"/>
        <scheme val="minor"/>
      </rPr>
      <t xml:space="preserve">. </t>
    </r>
    <r>
      <rPr>
        <b/>
        <sz val="11"/>
        <color theme="1"/>
        <rFont val="Aptos Narrow"/>
        <family val="2"/>
        <scheme val="minor"/>
      </rPr>
      <t>DSO increased to 63 days</t>
    </r>
    <r>
      <rPr>
        <sz val="11"/>
        <color theme="1"/>
        <rFont val="Aptos Narrow"/>
        <family val="2"/>
        <scheme val="minor"/>
      </rPr>
      <t xml:space="preserve">, signaling a slowdown in collections, while </t>
    </r>
    <r>
      <rPr>
        <b/>
        <sz val="11"/>
        <color theme="1"/>
        <rFont val="Aptos Narrow"/>
        <family val="2"/>
        <scheme val="minor"/>
      </rPr>
      <t>DPO</t>
    </r>
    <r>
      <rPr>
        <sz val="11"/>
        <color theme="1"/>
        <rFont val="Aptos Narrow"/>
        <family val="2"/>
        <scheme val="minor"/>
      </rPr>
      <t xml:space="preserve"> reliance increased to manage cash flow through supplier credits. </t>
    </r>
    <r>
      <rPr>
        <b/>
        <sz val="11"/>
        <color theme="1"/>
        <rFont val="Aptos Narrow"/>
        <family val="2"/>
        <scheme val="minor"/>
      </rPr>
      <t>DIO remained stable</t>
    </r>
    <r>
      <rPr>
        <sz val="11"/>
        <color theme="1"/>
        <rFont val="Aptos Narrow"/>
        <family val="2"/>
        <scheme val="minor"/>
      </rPr>
      <t>, but inventory buildup risk was flagged as a future concern.</t>
    </r>
  </si>
  <si>
    <r>
      <t xml:space="preserve">Revenue declined further by </t>
    </r>
    <r>
      <rPr>
        <b/>
        <sz val="11"/>
        <color theme="1"/>
        <rFont val="Aptos Narrow"/>
        <family val="2"/>
        <scheme val="minor"/>
      </rPr>
      <t>1.93M$</t>
    </r>
    <r>
      <rPr>
        <sz val="11"/>
        <color theme="1"/>
        <rFont val="Aptos Narrow"/>
        <family val="2"/>
        <scheme val="minor"/>
      </rPr>
      <t xml:space="preserve">, driven by major underperformance from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This compounded the company’s existing reliance on </t>
    </r>
    <r>
      <rPr>
        <b/>
        <sz val="11"/>
        <color theme="1"/>
        <rFont val="Aptos Narrow"/>
        <family val="2"/>
        <scheme val="minor"/>
      </rPr>
      <t>Client 1</t>
    </r>
    <r>
      <rPr>
        <sz val="11"/>
        <color theme="1"/>
        <rFont val="Aptos Narrow"/>
        <family val="2"/>
        <scheme val="minor"/>
      </rPr>
      <t xml:space="preserve">, further aggravating </t>
    </r>
    <r>
      <rPr>
        <b/>
        <sz val="11"/>
        <color theme="1"/>
        <rFont val="Aptos Narrow"/>
        <family val="2"/>
        <scheme val="minor"/>
      </rPr>
      <t>client concentration risks</t>
    </r>
    <r>
      <rPr>
        <sz val="11"/>
        <color theme="1"/>
        <rFont val="Aptos Narrow"/>
        <family val="2"/>
        <scheme val="minor"/>
      </rPr>
      <t xml:space="preserve">. </t>
    </r>
    <r>
      <rPr>
        <b/>
        <sz val="11"/>
        <color theme="1"/>
        <rFont val="Aptos Narrow"/>
        <family val="2"/>
        <scheme val="minor"/>
      </rPr>
      <t>Margins</t>
    </r>
    <r>
      <rPr>
        <sz val="11"/>
        <color theme="1"/>
        <rFont val="Aptos Narrow"/>
        <family val="2"/>
        <scheme val="minor"/>
      </rPr>
      <t xml:space="preserve"> were hit hard, falling by </t>
    </r>
    <r>
      <rPr>
        <b/>
        <sz val="11"/>
        <color theme="1"/>
        <rFont val="Aptos Narrow"/>
        <family val="2"/>
        <scheme val="minor"/>
      </rPr>
      <t>-57%</t>
    </r>
    <r>
      <rPr>
        <sz val="11"/>
        <color theme="1"/>
        <rFont val="Aptos Narrow"/>
        <family val="2"/>
        <scheme val="minor"/>
      </rPr>
      <t xml:space="preserve">, and despite </t>
    </r>
    <r>
      <rPr>
        <b/>
        <sz val="11"/>
        <color theme="1"/>
        <rFont val="Aptos Narrow"/>
        <family val="2"/>
        <scheme val="minor"/>
      </rPr>
      <t>cost efficiencies</t>
    </r>
    <r>
      <rPr>
        <sz val="11"/>
        <color theme="1"/>
        <rFont val="Aptos Narrow"/>
        <family val="2"/>
        <scheme val="minor"/>
      </rPr>
      <t xml:space="preserve"> adding </t>
    </r>
    <r>
      <rPr>
        <b/>
        <sz val="11"/>
        <color theme="1"/>
        <rFont val="Aptos Narrow"/>
        <family val="2"/>
        <scheme val="minor"/>
      </rPr>
      <t>+14%</t>
    </r>
    <r>
      <rPr>
        <sz val="11"/>
        <color theme="1"/>
        <rFont val="Aptos Narrow"/>
        <family val="2"/>
        <scheme val="minor"/>
      </rPr>
      <t xml:space="preserve">, the significant revenue shortfall led to </t>
    </r>
    <r>
      <rPr>
        <b/>
        <sz val="11"/>
        <color theme="1"/>
        <rFont val="Aptos Narrow"/>
        <family val="2"/>
        <scheme val="minor"/>
      </rPr>
      <t>weak overall performance</t>
    </r>
    <r>
      <rPr>
        <sz val="11"/>
        <color theme="1"/>
        <rFont val="Aptos Narrow"/>
        <family val="2"/>
        <scheme val="minor"/>
      </rPr>
      <t xml:space="preserve">. </t>
    </r>
    <r>
      <rPr>
        <b/>
        <sz val="11"/>
        <color theme="1"/>
        <rFont val="Aptos Narrow"/>
        <family val="2"/>
        <scheme val="minor"/>
      </rPr>
      <t>DSO worsened to 84 days</t>
    </r>
    <r>
      <rPr>
        <sz val="11"/>
        <color theme="1"/>
        <rFont val="Aptos Narrow"/>
        <family val="2"/>
        <scheme val="minor"/>
      </rPr>
      <t xml:space="preserve">, and </t>
    </r>
    <r>
      <rPr>
        <b/>
        <sz val="11"/>
        <color theme="1"/>
        <rFont val="Aptos Narrow"/>
        <family val="2"/>
        <scheme val="minor"/>
      </rPr>
      <t>DIO increased to 5</t>
    </r>
    <r>
      <rPr>
        <sz val="11"/>
        <color theme="1"/>
        <rFont val="Aptos Narrow"/>
        <family val="2"/>
        <scheme val="minor"/>
      </rPr>
      <t xml:space="preserve">, signaling potential cash flow constraints. Inventory levels showed inefficiencies, tying up cash, while </t>
    </r>
    <r>
      <rPr>
        <b/>
        <sz val="11"/>
        <color theme="1"/>
        <rFont val="Aptos Narrow"/>
        <family val="2"/>
        <scheme val="minor"/>
      </rPr>
      <t>DPO</t>
    </r>
    <r>
      <rPr>
        <sz val="11"/>
        <color theme="1"/>
        <rFont val="Aptos Narrow"/>
        <family val="2"/>
        <scheme val="minor"/>
      </rPr>
      <t xml:space="preserve"> remained extended, indicating a dependence on extended supplier credit.</t>
    </r>
  </si>
  <si>
    <r>
      <t xml:space="preserve">April brought a </t>
    </r>
    <r>
      <rPr>
        <b/>
        <sz val="11"/>
        <color theme="1"/>
        <rFont val="Aptos Narrow"/>
        <family val="2"/>
        <scheme val="minor"/>
      </rPr>
      <t>1.68M$ revenue recovery</t>
    </r>
    <r>
      <rPr>
        <sz val="11"/>
        <color theme="1"/>
        <rFont val="Aptos Narrow"/>
        <family val="2"/>
        <scheme val="minor"/>
      </rPr>
      <t xml:space="preserve">, driven by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which temporarily alleviated the client concentration concerns. However, </t>
    </r>
    <r>
      <rPr>
        <b/>
        <sz val="11"/>
        <color theme="1"/>
        <rFont val="Aptos Narrow"/>
        <family val="2"/>
        <scheme val="minor"/>
      </rPr>
      <t>margin performance</t>
    </r>
    <r>
      <rPr>
        <sz val="11"/>
        <color theme="1"/>
        <rFont val="Aptos Narrow"/>
        <family val="2"/>
        <scheme val="minor"/>
      </rPr>
      <t xml:space="preserve"> remained modest, with a </t>
    </r>
    <r>
      <rPr>
        <b/>
        <sz val="11"/>
        <color theme="1"/>
        <rFont val="Aptos Narrow"/>
        <family val="2"/>
        <scheme val="minor"/>
      </rPr>
      <t>+37% improvement</t>
    </r>
    <r>
      <rPr>
        <sz val="11"/>
        <color theme="1"/>
        <rFont val="Aptos Narrow"/>
        <family val="2"/>
        <scheme val="minor"/>
      </rPr>
      <t xml:space="preserve">, though weaker </t>
    </r>
    <r>
      <rPr>
        <b/>
        <sz val="11"/>
        <color theme="1"/>
        <rFont val="Aptos Narrow"/>
        <family val="2"/>
        <scheme val="minor"/>
      </rPr>
      <t>cost efficiencies</t>
    </r>
    <r>
      <rPr>
        <sz val="11"/>
        <color theme="1"/>
        <rFont val="Aptos Narrow"/>
        <family val="2"/>
        <scheme val="minor"/>
      </rPr>
      <t xml:space="preserve"> contributed only </t>
    </r>
    <r>
      <rPr>
        <b/>
        <sz val="11"/>
        <color theme="1"/>
        <rFont val="Aptos Narrow"/>
        <family val="2"/>
        <scheme val="minor"/>
      </rPr>
      <t>+14%</t>
    </r>
    <r>
      <rPr>
        <sz val="11"/>
        <color theme="1"/>
        <rFont val="Aptos Narrow"/>
        <family val="2"/>
        <scheme val="minor"/>
      </rPr>
      <t xml:space="preserve">. </t>
    </r>
    <r>
      <rPr>
        <b/>
        <sz val="11"/>
        <color theme="1"/>
        <rFont val="Aptos Narrow"/>
        <family val="2"/>
        <scheme val="minor"/>
      </rPr>
      <t>DSO improved to 64 days</t>
    </r>
    <r>
      <rPr>
        <sz val="11"/>
        <color theme="1"/>
        <rFont val="Aptos Narrow"/>
        <family val="2"/>
        <scheme val="minor"/>
      </rPr>
      <t xml:space="preserve">, indicating an improvement in collections, but </t>
    </r>
    <r>
      <rPr>
        <b/>
        <sz val="11"/>
        <color theme="1"/>
        <rFont val="Aptos Narrow"/>
        <family val="2"/>
        <scheme val="minor"/>
      </rPr>
      <t>DIO continued to rise to 6.25</t>
    </r>
    <r>
      <rPr>
        <sz val="11"/>
        <color theme="1"/>
        <rFont val="Aptos Narrow"/>
        <family val="2"/>
        <scheme val="minor"/>
      </rPr>
      <t xml:space="preserve">, tying up more capital in inventory. </t>
    </r>
    <r>
      <rPr>
        <b/>
        <sz val="11"/>
        <color theme="1"/>
        <rFont val="Aptos Narrow"/>
        <family val="2"/>
        <scheme val="minor"/>
      </rPr>
      <t>DPO remained extended</t>
    </r>
    <r>
      <rPr>
        <sz val="11"/>
        <color theme="1"/>
        <rFont val="Aptos Narrow"/>
        <family val="2"/>
        <scheme val="minor"/>
      </rPr>
      <t xml:space="preserve"> to manage cash flow pressures through supplier credit.</t>
    </r>
  </si>
  <si>
    <r>
      <t xml:space="preserve">Revenue declined by </t>
    </r>
    <r>
      <rPr>
        <b/>
        <sz val="11"/>
        <color theme="1"/>
        <rFont val="Aptos Narrow"/>
        <family val="2"/>
        <scheme val="minor"/>
      </rPr>
      <t>4.82%</t>
    </r>
    <r>
      <rPr>
        <sz val="11"/>
        <color theme="1"/>
        <rFont val="Aptos Narrow"/>
        <family val="2"/>
        <scheme val="minor"/>
      </rPr>
      <t xml:space="preserve">, largely due to further losses from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which more than offset the gains from </t>
    </r>
    <r>
      <rPr>
        <b/>
        <sz val="11"/>
        <color theme="1"/>
        <rFont val="Aptos Narrow"/>
        <family val="2"/>
        <scheme val="minor"/>
      </rPr>
      <t>Client 1</t>
    </r>
    <r>
      <rPr>
        <sz val="11"/>
        <color theme="1"/>
        <rFont val="Aptos Narrow"/>
        <family val="2"/>
        <scheme val="minor"/>
      </rPr>
      <t xml:space="preserve">. </t>
    </r>
    <r>
      <rPr>
        <b/>
        <sz val="11"/>
        <color theme="1"/>
        <rFont val="Aptos Narrow"/>
        <family val="2"/>
        <scheme val="minor"/>
      </rPr>
      <t>Margins dropped by 14%</t>
    </r>
    <r>
      <rPr>
        <sz val="11"/>
        <color theme="1"/>
        <rFont val="Aptos Narrow"/>
        <family val="2"/>
        <scheme val="minor"/>
      </rPr>
      <t xml:space="preserve">, but strong </t>
    </r>
    <r>
      <rPr>
        <b/>
        <sz val="11"/>
        <color theme="1"/>
        <rFont val="Aptos Narrow"/>
        <family val="2"/>
        <scheme val="minor"/>
      </rPr>
      <t>cost efficiencies</t>
    </r>
    <r>
      <rPr>
        <sz val="11"/>
        <color theme="1"/>
        <rFont val="Aptos Narrow"/>
        <family val="2"/>
        <scheme val="minor"/>
      </rPr>
      <t xml:space="preserve"> contributed </t>
    </r>
    <r>
      <rPr>
        <b/>
        <sz val="11"/>
        <color theme="1"/>
        <rFont val="Aptos Narrow"/>
        <family val="2"/>
        <scheme val="minor"/>
      </rPr>
      <t>+36%</t>
    </r>
    <r>
      <rPr>
        <sz val="11"/>
        <color theme="1"/>
        <rFont val="Aptos Narrow"/>
        <family val="2"/>
        <scheme val="minor"/>
      </rPr>
      <t xml:space="preserve"> to sustain some profitability. </t>
    </r>
    <r>
      <rPr>
        <b/>
        <sz val="11"/>
        <color theme="1"/>
        <rFont val="Aptos Narrow"/>
        <family val="2"/>
        <scheme val="minor"/>
      </rPr>
      <t>DSO increased to 70 days</t>
    </r>
    <r>
      <rPr>
        <sz val="11"/>
        <color theme="1"/>
        <rFont val="Aptos Narrow"/>
        <family val="2"/>
        <scheme val="minor"/>
      </rPr>
      <t xml:space="preserve">, reflecting inconsistent collection efforts, while </t>
    </r>
    <r>
      <rPr>
        <b/>
        <sz val="11"/>
        <color theme="1"/>
        <rFont val="Aptos Narrow"/>
        <family val="2"/>
        <scheme val="minor"/>
      </rPr>
      <t>DIO continued to rise</t>
    </r>
    <r>
      <rPr>
        <sz val="11"/>
        <color theme="1"/>
        <rFont val="Aptos Narrow"/>
        <family val="2"/>
        <scheme val="minor"/>
      </rPr>
      <t xml:space="preserve"> to </t>
    </r>
    <r>
      <rPr>
        <b/>
        <sz val="11"/>
        <color theme="1"/>
        <rFont val="Aptos Narrow"/>
        <family val="2"/>
        <scheme val="minor"/>
      </rPr>
      <t>7.2</t>
    </r>
    <r>
      <rPr>
        <sz val="11"/>
        <color theme="1"/>
        <rFont val="Aptos Narrow"/>
        <family val="2"/>
        <scheme val="minor"/>
      </rPr>
      <t xml:space="preserve">, tying up even more cash in inventory. </t>
    </r>
    <r>
      <rPr>
        <b/>
        <sz val="11"/>
        <color theme="1"/>
        <rFont val="Aptos Narrow"/>
        <family val="2"/>
        <scheme val="minor"/>
      </rPr>
      <t>DPO remained extended</t>
    </r>
    <r>
      <rPr>
        <sz val="11"/>
        <color theme="1"/>
        <rFont val="Aptos Narrow"/>
        <family val="2"/>
        <scheme val="minor"/>
      </rPr>
      <t>, showing ongoing reliance on supplier credit for liquidity management.</t>
    </r>
  </si>
  <si>
    <r>
      <t xml:space="preserve">January began with stable performance, showing no significant revenue fluctuations. It set a baseline for future growth and served as the foundation for assessing performance trends. </t>
    </r>
    <r>
      <rPr>
        <b/>
        <sz val="11"/>
        <color theme="1"/>
        <rFont val="Aptos Narrow"/>
        <family val="2"/>
        <scheme val="minor"/>
      </rPr>
      <t>Cost control</t>
    </r>
    <r>
      <rPr>
        <sz val="11"/>
        <color theme="1"/>
        <rFont val="Aptos Narrow"/>
        <family val="2"/>
        <scheme val="minor"/>
      </rPr>
      <t xml:space="preserve"> measures were consistent, and </t>
    </r>
    <r>
      <rPr>
        <b/>
        <sz val="11"/>
        <color theme="1"/>
        <rFont val="Aptos Narrow"/>
        <family val="2"/>
        <scheme val="minor"/>
      </rPr>
      <t>working capital management</t>
    </r>
    <r>
      <rPr>
        <sz val="11"/>
        <color theme="1"/>
        <rFont val="Aptos Narrow"/>
        <family val="2"/>
        <scheme val="minor"/>
      </rPr>
      <t xml:space="preserve"> was stable. No major disruptions were identified, but with January being a calm month, it is critical to use this as the foundation for measuring deviations in upcoming months.</t>
    </r>
  </si>
  <si>
    <r>
      <t>Strategic Actions for Year-End Priorities</t>
    </r>
    <r>
      <rPr>
        <sz val="11"/>
        <color theme="1"/>
        <rFont val="Aptos Narrow"/>
        <family val="2"/>
        <scheme val="minor"/>
      </rPr>
      <t xml:space="preserve">: Establish </t>
    </r>
    <r>
      <rPr>
        <b/>
        <sz val="11"/>
        <color theme="1"/>
        <rFont val="Aptos Narrow"/>
        <family val="2"/>
        <scheme val="minor"/>
      </rPr>
      <t>KPI tracking systems</t>
    </r>
    <r>
      <rPr>
        <sz val="11"/>
        <color theme="1"/>
        <rFont val="Aptos Narrow"/>
        <family val="2"/>
        <scheme val="minor"/>
      </rPr>
      <t xml:space="preserve"> to monitor revenue growth, </t>
    </r>
    <r>
      <rPr>
        <b/>
        <sz val="11"/>
        <color theme="1"/>
        <rFont val="Aptos Narrow"/>
        <family val="2"/>
        <scheme val="minor"/>
      </rPr>
      <t>cost control</t>
    </r>
    <r>
      <rPr>
        <sz val="11"/>
        <color theme="1"/>
        <rFont val="Aptos Narrow"/>
        <family val="2"/>
        <scheme val="minor"/>
      </rPr>
      <t xml:space="preserve">, and </t>
    </r>
    <r>
      <rPr>
        <b/>
        <sz val="11"/>
        <color theme="1"/>
        <rFont val="Aptos Narrow"/>
        <family val="2"/>
        <scheme val="minor"/>
      </rPr>
      <t>working capital performance</t>
    </r>
    <r>
      <rPr>
        <sz val="11"/>
        <color theme="1"/>
        <rFont val="Aptos Narrow"/>
        <family val="2"/>
        <scheme val="minor"/>
      </rPr>
      <t xml:space="preserve">. Set specific targets for </t>
    </r>
    <r>
      <rPr>
        <b/>
        <sz val="11"/>
        <color theme="1"/>
        <rFont val="Aptos Narrow"/>
        <family val="2"/>
        <scheme val="minor"/>
      </rPr>
      <t>client revenue diversification</t>
    </r>
    <r>
      <rPr>
        <sz val="11"/>
        <color theme="1"/>
        <rFont val="Aptos Narrow"/>
        <family val="2"/>
        <scheme val="minor"/>
      </rPr>
      <t xml:space="preserve">, working capital efficiency (DSO, DIO), and </t>
    </r>
    <r>
      <rPr>
        <b/>
        <sz val="11"/>
        <color theme="1"/>
        <rFont val="Aptos Narrow"/>
        <family val="2"/>
        <scheme val="minor"/>
      </rPr>
      <t>margin improvement</t>
    </r>
    <r>
      <rPr>
        <sz val="11"/>
        <color theme="1"/>
        <rFont val="Aptos Narrow"/>
        <family val="2"/>
        <scheme val="minor"/>
      </rPr>
      <t xml:space="preserve">. These KPIs will serve as the guiding reference for the rest of the year. Ensure that January's performance is used as a </t>
    </r>
    <r>
      <rPr>
        <b/>
        <sz val="11"/>
        <color theme="1"/>
        <rFont val="Aptos Narrow"/>
        <family val="2"/>
        <scheme val="minor"/>
      </rPr>
      <t>benchmark</t>
    </r>
    <r>
      <rPr>
        <sz val="11"/>
        <color theme="1"/>
        <rFont val="Aptos Narrow"/>
        <family val="2"/>
        <scheme val="minor"/>
      </rPr>
      <t xml:space="preserve"> for defining future goals. Begin introducing </t>
    </r>
    <r>
      <rPr>
        <b/>
        <sz val="11"/>
        <color theme="1"/>
        <rFont val="Aptos Narrow"/>
        <family val="2"/>
        <scheme val="minor"/>
      </rPr>
      <t>client risk assessments</t>
    </r>
    <r>
      <rPr>
        <sz val="11"/>
        <color theme="1"/>
        <rFont val="Aptos Narrow"/>
        <family val="2"/>
        <scheme val="minor"/>
      </rPr>
      <t xml:space="preserve"> early to understand any potential revenue concentration risks.</t>
    </r>
  </si>
  <si>
    <r>
      <t xml:space="preserve">The stable performance in January establishes a </t>
    </r>
    <r>
      <rPr>
        <b/>
        <sz val="11"/>
        <color theme="1"/>
        <rFont val="Aptos Narrow"/>
        <family val="2"/>
        <scheme val="minor"/>
      </rPr>
      <t>baseline</t>
    </r>
    <r>
      <rPr>
        <sz val="11"/>
        <color theme="1"/>
        <rFont val="Aptos Narrow"/>
        <family val="2"/>
        <scheme val="minor"/>
      </rPr>
      <t xml:space="preserve"> for future analysis. Early KPIs related to </t>
    </r>
    <r>
      <rPr>
        <b/>
        <sz val="11"/>
        <color theme="1"/>
        <rFont val="Aptos Narrow"/>
        <family val="2"/>
        <scheme val="minor"/>
      </rPr>
      <t>revenue growth</t>
    </r>
    <r>
      <rPr>
        <sz val="11"/>
        <color theme="1"/>
        <rFont val="Aptos Narrow"/>
        <family val="2"/>
        <scheme val="minor"/>
      </rPr>
      <t xml:space="preserve"> and </t>
    </r>
    <r>
      <rPr>
        <b/>
        <sz val="11"/>
        <color theme="1"/>
        <rFont val="Aptos Narrow"/>
        <family val="2"/>
        <scheme val="minor"/>
      </rPr>
      <t>working capital</t>
    </r>
    <r>
      <rPr>
        <sz val="11"/>
        <color theme="1"/>
        <rFont val="Aptos Narrow"/>
        <family val="2"/>
        <scheme val="minor"/>
      </rPr>
      <t xml:space="preserve"> will guide assessments of performance deviations and trends. No immediate red flags, but groundwork is needed to track </t>
    </r>
    <r>
      <rPr>
        <b/>
        <sz val="11"/>
        <color theme="1"/>
        <rFont val="Aptos Narrow"/>
        <family val="2"/>
        <scheme val="minor"/>
      </rPr>
      <t>client diversification</t>
    </r>
    <r>
      <rPr>
        <sz val="11"/>
        <color theme="1"/>
        <rFont val="Aptos Narrow"/>
        <family val="2"/>
        <scheme val="minor"/>
      </rPr>
      <t xml:space="preserve"> and maintain </t>
    </r>
    <r>
      <rPr>
        <b/>
        <sz val="11"/>
        <color theme="1"/>
        <rFont val="Aptos Narrow"/>
        <family val="2"/>
        <scheme val="minor"/>
      </rPr>
      <t>operational efficiency</t>
    </r>
    <r>
      <rPr>
        <sz val="11"/>
        <color theme="1"/>
        <rFont val="Aptos Narrow"/>
        <family val="2"/>
        <scheme val="minor"/>
      </rPr>
      <t>. January’s stability provides clarity in identifying variances in future months.</t>
    </r>
  </si>
  <si>
    <r>
      <t xml:space="preserve">Revenue improved by </t>
    </r>
    <r>
      <rPr>
        <b/>
        <sz val="11"/>
        <color theme="1"/>
        <rFont val="Aptos Narrow"/>
        <family val="2"/>
        <scheme val="minor"/>
      </rPr>
      <t>5.9%</t>
    </r>
    <r>
      <rPr>
        <sz val="11"/>
        <color theme="1"/>
        <rFont val="Aptos Narrow"/>
        <family val="2"/>
        <scheme val="minor"/>
      </rPr>
      <t xml:space="preserve">, thanks to strong performance from </t>
    </r>
    <r>
      <rPr>
        <b/>
        <sz val="11"/>
        <color theme="1"/>
        <rFont val="Aptos Narrow"/>
        <family val="2"/>
        <scheme val="minor"/>
      </rPr>
      <t>Client 3</t>
    </r>
    <r>
      <rPr>
        <sz val="11"/>
        <color theme="1"/>
        <rFont val="Aptos Narrow"/>
        <family val="2"/>
        <scheme val="minor"/>
      </rPr>
      <t xml:space="preserve"> and </t>
    </r>
    <r>
      <rPr>
        <b/>
        <sz val="11"/>
        <color theme="1"/>
        <rFont val="Aptos Narrow"/>
        <family val="2"/>
        <scheme val="minor"/>
      </rPr>
      <t>Client 9</t>
    </r>
    <r>
      <rPr>
        <sz val="11"/>
        <color theme="1"/>
        <rFont val="Aptos Narrow"/>
        <family val="2"/>
        <scheme val="minor"/>
      </rPr>
      <t xml:space="preserve">, though </t>
    </r>
    <r>
      <rPr>
        <b/>
        <sz val="11"/>
        <color theme="1"/>
        <rFont val="Aptos Narrow"/>
        <family val="2"/>
        <scheme val="minor"/>
      </rPr>
      <t>Client 1</t>
    </r>
    <r>
      <rPr>
        <sz val="11"/>
        <color theme="1"/>
        <rFont val="Aptos Narrow"/>
        <family val="2"/>
        <scheme val="minor"/>
      </rPr>
      <t xml:space="preserve"> continued to show signs of weakness. </t>
    </r>
    <r>
      <rPr>
        <b/>
        <sz val="11"/>
        <color theme="1"/>
        <rFont val="Aptos Narrow"/>
        <family val="2"/>
        <scheme val="minor"/>
      </rPr>
      <t>Margins improved by 14%</t>
    </r>
    <r>
      <rPr>
        <sz val="11"/>
        <color theme="1"/>
        <rFont val="Aptos Narrow"/>
        <family val="2"/>
        <scheme val="minor"/>
      </rPr>
      <t xml:space="preserve">, driven by </t>
    </r>
    <r>
      <rPr>
        <b/>
        <sz val="11"/>
        <color theme="1"/>
        <rFont val="Aptos Narrow"/>
        <family val="2"/>
        <scheme val="minor"/>
      </rPr>
      <t>cost efficiencies</t>
    </r>
    <r>
      <rPr>
        <sz val="11"/>
        <color theme="1"/>
        <rFont val="Aptos Narrow"/>
        <family val="2"/>
        <scheme val="minor"/>
      </rPr>
      <t xml:space="preserve"> contributing </t>
    </r>
    <r>
      <rPr>
        <b/>
        <sz val="11"/>
        <color theme="1"/>
        <rFont val="Aptos Narrow"/>
        <family val="2"/>
        <scheme val="minor"/>
      </rPr>
      <t>+218%</t>
    </r>
    <r>
      <rPr>
        <sz val="11"/>
        <color theme="1"/>
        <rFont val="Aptos Narrow"/>
        <family val="2"/>
        <scheme val="minor"/>
      </rPr>
      <t xml:space="preserve">. However, </t>
    </r>
    <r>
      <rPr>
        <b/>
        <sz val="11"/>
        <color theme="1"/>
        <rFont val="Aptos Narrow"/>
        <family val="2"/>
        <scheme val="minor"/>
      </rPr>
      <t>DSO worsened to 79 days</t>
    </r>
    <r>
      <rPr>
        <sz val="11"/>
        <color theme="1"/>
        <rFont val="Aptos Narrow"/>
        <family val="2"/>
        <scheme val="minor"/>
      </rPr>
      <t xml:space="preserve">, and </t>
    </r>
    <r>
      <rPr>
        <b/>
        <sz val="11"/>
        <color theme="1"/>
        <rFont val="Aptos Narrow"/>
        <family val="2"/>
        <scheme val="minor"/>
      </rPr>
      <t>DIO increased to 8.5</t>
    </r>
    <r>
      <rPr>
        <sz val="11"/>
        <color theme="1"/>
        <rFont val="Aptos Narrow"/>
        <family val="2"/>
        <scheme val="minor"/>
      </rPr>
      <t xml:space="preserve">, reflecting growing strain on cash flow due to inefficient inventory turnover. </t>
    </r>
    <r>
      <rPr>
        <b/>
        <sz val="11"/>
        <color theme="1"/>
        <rFont val="Aptos Narrow"/>
        <family val="2"/>
        <scheme val="minor"/>
      </rPr>
      <t>DPO remained extended</t>
    </r>
    <r>
      <rPr>
        <sz val="11"/>
        <color theme="1"/>
        <rFont val="Aptos Narrow"/>
        <family val="2"/>
        <scheme val="minor"/>
      </rPr>
      <t>, relying on supplier credit to cover working capital gaps.</t>
    </r>
  </si>
  <si>
    <r>
      <t xml:space="preserve">Revenue rose by </t>
    </r>
    <r>
      <rPr>
        <b/>
        <sz val="11"/>
        <color theme="1"/>
        <rFont val="Aptos Narrow"/>
        <family val="2"/>
        <scheme val="minor"/>
      </rPr>
      <t>4.29%</t>
    </r>
    <r>
      <rPr>
        <sz val="11"/>
        <color theme="1"/>
        <rFont val="Aptos Narrow"/>
        <family val="2"/>
        <scheme val="minor"/>
      </rPr>
      <t xml:space="preserve">, driven by </t>
    </r>
    <r>
      <rPr>
        <b/>
        <sz val="11"/>
        <color theme="1"/>
        <rFont val="Aptos Narrow"/>
        <family val="2"/>
        <scheme val="minor"/>
      </rPr>
      <t>Client 5</t>
    </r>
    <r>
      <rPr>
        <sz val="11"/>
        <color theme="1"/>
        <rFont val="Aptos Narrow"/>
        <family val="2"/>
        <scheme val="minor"/>
      </rPr>
      <t xml:space="preserve"> and </t>
    </r>
    <r>
      <rPr>
        <b/>
        <sz val="11"/>
        <color theme="1"/>
        <rFont val="Aptos Narrow"/>
        <family val="2"/>
        <scheme val="minor"/>
      </rPr>
      <t>Client 3</t>
    </r>
    <r>
      <rPr>
        <sz val="11"/>
        <color theme="1"/>
        <rFont val="Aptos Narrow"/>
        <family val="2"/>
        <scheme val="minor"/>
      </rPr>
      <t xml:space="preserve">, though </t>
    </r>
    <r>
      <rPr>
        <b/>
        <sz val="11"/>
        <color theme="1"/>
        <rFont val="Aptos Narrow"/>
        <family val="2"/>
        <scheme val="minor"/>
      </rPr>
      <t>Client 1’s continued decline</t>
    </r>
    <r>
      <rPr>
        <sz val="11"/>
        <color theme="1"/>
        <rFont val="Aptos Narrow"/>
        <family val="2"/>
        <scheme val="minor"/>
      </rPr>
      <t xml:space="preserve"> remains a significant concern. Margins were impacted, with a </t>
    </r>
    <r>
      <rPr>
        <b/>
        <sz val="11"/>
        <color theme="1"/>
        <rFont val="Aptos Narrow"/>
        <family val="2"/>
        <scheme val="minor"/>
      </rPr>
      <t>-55% decline</t>
    </r>
    <r>
      <rPr>
        <sz val="11"/>
        <color theme="1"/>
        <rFont val="Aptos Narrow"/>
        <family val="2"/>
        <scheme val="minor"/>
      </rPr>
      <t xml:space="preserve">, but </t>
    </r>
    <r>
      <rPr>
        <b/>
        <sz val="11"/>
        <color theme="1"/>
        <rFont val="Aptos Narrow"/>
        <family val="2"/>
        <scheme val="minor"/>
      </rPr>
      <t>cost efficiencies</t>
    </r>
    <r>
      <rPr>
        <sz val="11"/>
        <color theme="1"/>
        <rFont val="Aptos Narrow"/>
        <family val="2"/>
        <scheme val="minor"/>
      </rPr>
      <t xml:space="preserve"> contributed </t>
    </r>
    <r>
      <rPr>
        <b/>
        <sz val="11"/>
        <color theme="1"/>
        <rFont val="Aptos Narrow"/>
        <family val="2"/>
        <scheme val="minor"/>
      </rPr>
      <t>+145%</t>
    </r>
    <r>
      <rPr>
        <sz val="11"/>
        <color theme="1"/>
        <rFont val="Aptos Narrow"/>
        <family val="2"/>
        <scheme val="minor"/>
      </rPr>
      <t xml:space="preserve">, softening the blow. </t>
    </r>
    <r>
      <rPr>
        <b/>
        <sz val="11"/>
        <color theme="1"/>
        <rFont val="Aptos Narrow"/>
        <family val="2"/>
        <scheme val="minor"/>
      </rPr>
      <t>DSO improved slightly to 75 days</t>
    </r>
    <r>
      <rPr>
        <sz val="11"/>
        <color theme="1"/>
        <rFont val="Aptos Narrow"/>
        <family val="2"/>
        <scheme val="minor"/>
      </rPr>
      <t xml:space="preserve">, but </t>
    </r>
    <r>
      <rPr>
        <b/>
        <sz val="11"/>
        <color theme="1"/>
        <rFont val="Aptos Narrow"/>
        <family val="2"/>
        <scheme val="minor"/>
      </rPr>
      <t>DIO surged to 9.7</t>
    </r>
    <r>
      <rPr>
        <sz val="11"/>
        <color theme="1"/>
        <rFont val="Aptos Narrow"/>
        <family val="2"/>
        <scheme val="minor"/>
      </rPr>
      <t xml:space="preserve">, continuing to represent a significant liquidity drain as </t>
    </r>
    <r>
      <rPr>
        <b/>
        <sz val="11"/>
        <color theme="1"/>
        <rFont val="Aptos Narrow"/>
        <family val="2"/>
        <scheme val="minor"/>
      </rPr>
      <t>inventory turnover remained inefficient</t>
    </r>
    <r>
      <rPr>
        <sz val="11"/>
        <color theme="1"/>
        <rFont val="Aptos Narrow"/>
        <family val="2"/>
        <scheme val="minor"/>
      </rPr>
      <t xml:space="preserve">. </t>
    </r>
    <r>
      <rPr>
        <b/>
        <sz val="11"/>
        <color theme="1"/>
        <rFont val="Aptos Narrow"/>
        <family val="2"/>
        <scheme val="minor"/>
      </rPr>
      <t>DPO remained extended</t>
    </r>
    <r>
      <rPr>
        <sz val="11"/>
        <color theme="1"/>
        <rFont val="Aptos Narrow"/>
        <family val="2"/>
        <scheme val="minor"/>
      </rPr>
      <t>.</t>
    </r>
  </si>
  <si>
    <r>
      <t xml:space="preserve">August saw a steep </t>
    </r>
    <r>
      <rPr>
        <b/>
        <sz val="11"/>
        <color theme="1"/>
        <rFont val="Aptos Narrow"/>
        <family val="2"/>
        <scheme val="minor"/>
      </rPr>
      <t>15.63% decline in revenue</t>
    </r>
    <r>
      <rPr>
        <sz val="11"/>
        <color theme="1"/>
        <rFont val="Aptos Narrow"/>
        <family val="2"/>
        <scheme val="minor"/>
      </rPr>
      <t xml:space="preserve">, mainly due to a </t>
    </r>
    <r>
      <rPr>
        <b/>
        <sz val="11"/>
        <color theme="1"/>
        <rFont val="Aptos Narrow"/>
        <family val="2"/>
        <scheme val="minor"/>
      </rPr>
      <t>1.5M$ reduction in orders from Client 1</t>
    </r>
    <r>
      <rPr>
        <sz val="11"/>
        <color theme="1"/>
        <rFont val="Aptos Narrow"/>
        <family val="2"/>
        <scheme val="minor"/>
      </rPr>
      <t xml:space="preserve"> and a further decline from </t>
    </r>
    <r>
      <rPr>
        <b/>
        <sz val="11"/>
        <color theme="1"/>
        <rFont val="Aptos Narrow"/>
        <family val="2"/>
        <scheme val="minor"/>
      </rPr>
      <t>Client 9</t>
    </r>
    <r>
      <rPr>
        <sz val="11"/>
        <color theme="1"/>
        <rFont val="Aptos Narrow"/>
        <family val="2"/>
        <scheme val="minor"/>
      </rPr>
      <t xml:space="preserve">. </t>
    </r>
    <r>
      <rPr>
        <b/>
        <sz val="11"/>
        <color theme="1"/>
        <rFont val="Aptos Narrow"/>
        <family val="2"/>
        <scheme val="minor"/>
      </rPr>
      <t>Margins dropped by 55%</t>
    </r>
    <r>
      <rPr>
        <sz val="11"/>
        <color theme="1"/>
        <rFont val="Aptos Narrow"/>
        <family val="2"/>
        <scheme val="minor"/>
      </rPr>
      <t xml:space="preserve">, offset somewhat by </t>
    </r>
    <r>
      <rPr>
        <b/>
        <sz val="11"/>
        <color theme="1"/>
        <rFont val="Aptos Narrow"/>
        <family val="2"/>
        <scheme val="minor"/>
      </rPr>
      <t>cost efficiencies</t>
    </r>
    <r>
      <rPr>
        <sz val="11"/>
        <color theme="1"/>
        <rFont val="Aptos Narrow"/>
        <family val="2"/>
        <scheme val="minor"/>
      </rPr>
      <t xml:space="preserve"> contributing </t>
    </r>
    <r>
      <rPr>
        <b/>
        <sz val="11"/>
        <color theme="1"/>
        <rFont val="Aptos Narrow"/>
        <family val="2"/>
        <scheme val="minor"/>
      </rPr>
      <t>+81%</t>
    </r>
    <r>
      <rPr>
        <sz val="11"/>
        <color theme="1"/>
        <rFont val="Aptos Narrow"/>
        <family val="2"/>
        <scheme val="minor"/>
      </rPr>
      <t xml:space="preserve">. </t>
    </r>
    <r>
      <rPr>
        <b/>
        <sz val="11"/>
        <color theme="1"/>
        <rFont val="Aptos Narrow"/>
        <family val="2"/>
        <scheme val="minor"/>
      </rPr>
      <t>DSO rose to 78 days</t>
    </r>
    <r>
      <rPr>
        <sz val="11"/>
        <color theme="1"/>
        <rFont val="Aptos Narrow"/>
        <family val="2"/>
        <scheme val="minor"/>
      </rPr>
      <t xml:space="preserve">, signaling continued issues with collections, while </t>
    </r>
    <r>
      <rPr>
        <b/>
        <sz val="11"/>
        <color theme="1"/>
        <rFont val="Aptos Narrow"/>
        <family val="2"/>
        <scheme val="minor"/>
      </rPr>
      <t>DIO increased to 10.75</t>
    </r>
    <r>
      <rPr>
        <sz val="11"/>
        <color theme="1"/>
        <rFont val="Aptos Narrow"/>
        <family val="2"/>
        <scheme val="minor"/>
      </rPr>
      <t xml:space="preserve">, reflecting worsening liquidity concerns. </t>
    </r>
    <r>
      <rPr>
        <b/>
        <sz val="11"/>
        <color theme="1"/>
        <rFont val="Aptos Narrow"/>
        <family val="2"/>
        <scheme val="minor"/>
      </rPr>
      <t>DPO remained extended</t>
    </r>
    <r>
      <rPr>
        <sz val="11"/>
        <color theme="1"/>
        <rFont val="Aptos Narrow"/>
        <family val="2"/>
        <scheme val="minor"/>
      </rPr>
      <t>, showing that the company was relying heavily on supplier credit.</t>
    </r>
  </si>
  <si>
    <r>
      <t xml:space="preserve">Revenue saw a </t>
    </r>
    <r>
      <rPr>
        <b/>
        <sz val="11"/>
        <color theme="1"/>
        <rFont val="Aptos Narrow"/>
        <family val="2"/>
        <scheme val="minor"/>
      </rPr>
      <t>3.80% recovery</t>
    </r>
    <r>
      <rPr>
        <sz val="11"/>
        <color theme="1"/>
        <rFont val="Aptos Narrow"/>
        <family val="2"/>
        <scheme val="minor"/>
      </rPr>
      <t xml:space="preserve">, driven by a partial comeback from </t>
    </r>
    <r>
      <rPr>
        <b/>
        <sz val="11"/>
        <color theme="1"/>
        <rFont val="Aptos Narrow"/>
        <family val="2"/>
        <scheme val="minor"/>
      </rPr>
      <t>Client 1</t>
    </r>
    <r>
      <rPr>
        <sz val="11"/>
        <color theme="1"/>
        <rFont val="Aptos Narrow"/>
        <family val="2"/>
        <scheme val="minor"/>
      </rPr>
      <t xml:space="preserve"> and </t>
    </r>
    <r>
      <rPr>
        <b/>
        <sz val="11"/>
        <color theme="1"/>
        <rFont val="Aptos Narrow"/>
        <family val="2"/>
        <scheme val="minor"/>
      </rPr>
      <t>new contributions from smaller clients</t>
    </r>
    <r>
      <rPr>
        <sz val="11"/>
        <color theme="1"/>
        <rFont val="Aptos Narrow"/>
        <family val="2"/>
        <scheme val="minor"/>
      </rPr>
      <t xml:space="preserve">. </t>
    </r>
    <r>
      <rPr>
        <b/>
        <sz val="11"/>
        <color theme="1"/>
        <rFont val="Aptos Narrow"/>
        <family val="2"/>
        <scheme val="minor"/>
      </rPr>
      <t>Margins improved by 8%</t>
    </r>
    <r>
      <rPr>
        <sz val="11"/>
        <color theme="1"/>
        <rFont val="Aptos Narrow"/>
        <family val="2"/>
        <scheme val="minor"/>
      </rPr>
      <t xml:space="preserve">, aided by </t>
    </r>
    <r>
      <rPr>
        <b/>
        <sz val="11"/>
        <color theme="1"/>
        <rFont val="Aptos Narrow"/>
        <family val="2"/>
        <scheme val="minor"/>
      </rPr>
      <t>cost efficiencies</t>
    </r>
    <r>
      <rPr>
        <sz val="11"/>
        <color theme="1"/>
        <rFont val="Aptos Narrow"/>
        <family val="2"/>
        <scheme val="minor"/>
      </rPr>
      <t xml:space="preserve"> contributing </t>
    </r>
    <r>
      <rPr>
        <b/>
        <sz val="11"/>
        <color theme="1"/>
        <rFont val="Aptos Narrow"/>
        <family val="2"/>
        <scheme val="minor"/>
      </rPr>
      <t>+109%</t>
    </r>
    <r>
      <rPr>
        <sz val="11"/>
        <color theme="1"/>
        <rFont val="Aptos Narrow"/>
        <family val="2"/>
        <scheme val="minor"/>
      </rPr>
      <t xml:space="preserve">. </t>
    </r>
    <r>
      <rPr>
        <b/>
        <sz val="11"/>
        <color theme="1"/>
        <rFont val="Aptos Narrow"/>
        <family val="2"/>
        <scheme val="minor"/>
      </rPr>
      <t>DSO reached 80 days</t>
    </r>
    <r>
      <rPr>
        <sz val="11"/>
        <color theme="1"/>
        <rFont val="Aptos Narrow"/>
        <family val="2"/>
        <scheme val="minor"/>
      </rPr>
      <t xml:space="preserve">, the highest level of the year, and </t>
    </r>
    <r>
      <rPr>
        <b/>
        <sz val="11"/>
        <color theme="1"/>
        <rFont val="Aptos Narrow"/>
        <family val="2"/>
        <scheme val="minor"/>
      </rPr>
      <t>DIO rose to 12.2</t>
    </r>
    <r>
      <rPr>
        <sz val="11"/>
        <color theme="1"/>
        <rFont val="Aptos Narrow"/>
        <family val="2"/>
        <scheme val="minor"/>
      </rPr>
      <t xml:space="preserve">, reflecting severe liquidity stress due to unsold inventory. </t>
    </r>
    <r>
      <rPr>
        <b/>
        <sz val="11"/>
        <color theme="1"/>
        <rFont val="Aptos Narrow"/>
        <family val="2"/>
        <scheme val="minor"/>
      </rPr>
      <t>DPO remained extended</t>
    </r>
    <r>
      <rPr>
        <sz val="11"/>
        <color theme="1"/>
        <rFont val="Aptos Narrow"/>
        <family val="2"/>
        <scheme val="minor"/>
      </rPr>
      <t>.</t>
    </r>
  </si>
  <si>
    <r>
      <t xml:space="preserve">Revenue declined slightly by </t>
    </r>
    <r>
      <rPr>
        <b/>
        <sz val="11"/>
        <color theme="1"/>
        <rFont val="Aptos Narrow"/>
        <family val="2"/>
        <scheme val="minor"/>
      </rPr>
      <t>1.17%</t>
    </r>
    <r>
      <rPr>
        <sz val="11"/>
        <color theme="1"/>
        <rFont val="Aptos Narrow"/>
        <family val="2"/>
        <scheme val="minor"/>
      </rPr>
      <t xml:space="preserve">, with a </t>
    </r>
    <r>
      <rPr>
        <b/>
        <sz val="11"/>
        <color theme="1"/>
        <rFont val="Aptos Narrow"/>
        <family val="2"/>
        <scheme val="minor"/>
      </rPr>
      <t>450K$ loss</t>
    </r>
    <r>
      <rPr>
        <sz val="11"/>
        <color theme="1"/>
        <rFont val="Aptos Narrow"/>
        <family val="2"/>
        <scheme val="minor"/>
      </rPr>
      <t xml:space="preserve"> from </t>
    </r>
    <r>
      <rPr>
        <b/>
        <sz val="11"/>
        <color theme="1"/>
        <rFont val="Aptos Narrow"/>
        <family val="2"/>
        <scheme val="minor"/>
      </rPr>
      <t>Client 4</t>
    </r>
    <r>
      <rPr>
        <sz val="11"/>
        <color theme="1"/>
        <rFont val="Aptos Narrow"/>
        <family val="2"/>
        <scheme val="minor"/>
      </rPr>
      <t xml:space="preserve"> partially offset by recovery in </t>
    </r>
    <r>
      <rPr>
        <b/>
        <sz val="11"/>
        <color theme="1"/>
        <rFont val="Aptos Narrow"/>
        <family val="2"/>
        <scheme val="minor"/>
      </rPr>
      <t>Client 10</t>
    </r>
    <r>
      <rPr>
        <sz val="11"/>
        <color theme="1"/>
        <rFont val="Aptos Narrow"/>
        <family val="2"/>
        <scheme val="minor"/>
      </rPr>
      <t xml:space="preserve">. </t>
    </r>
    <r>
      <rPr>
        <b/>
        <sz val="11"/>
        <color theme="1"/>
        <rFont val="Aptos Narrow"/>
        <family val="2"/>
        <scheme val="minor"/>
      </rPr>
      <t>Margins dropped by 4%</t>
    </r>
    <r>
      <rPr>
        <sz val="11"/>
        <color theme="1"/>
        <rFont val="Aptos Narrow"/>
        <family val="2"/>
        <scheme val="minor"/>
      </rPr>
      <t xml:space="preserve">, with </t>
    </r>
    <r>
      <rPr>
        <b/>
        <sz val="11"/>
        <color theme="1"/>
        <rFont val="Aptos Narrow"/>
        <family val="2"/>
        <scheme val="minor"/>
      </rPr>
      <t>cost efficiencies contributing +26%</t>
    </r>
    <r>
      <rPr>
        <sz val="11"/>
        <color theme="1"/>
        <rFont val="Aptos Narrow"/>
        <family val="2"/>
        <scheme val="minor"/>
      </rPr>
      <t xml:space="preserve"> to mitigate further losses. </t>
    </r>
    <r>
      <rPr>
        <b/>
        <sz val="11"/>
        <color theme="1"/>
        <rFont val="Aptos Narrow"/>
        <family val="2"/>
        <scheme val="minor"/>
      </rPr>
      <t>DSO dropped to 69 days</t>
    </r>
    <r>
      <rPr>
        <sz val="11"/>
        <color theme="1"/>
        <rFont val="Aptos Narrow"/>
        <family val="2"/>
        <scheme val="minor"/>
      </rPr>
      <t xml:space="preserve">, showing improvement in collections, but </t>
    </r>
    <r>
      <rPr>
        <b/>
        <sz val="11"/>
        <color theme="1"/>
        <rFont val="Aptos Narrow"/>
        <family val="2"/>
        <scheme val="minor"/>
      </rPr>
      <t>DIO worsened to 13.9</t>
    </r>
    <r>
      <rPr>
        <sz val="11"/>
        <color theme="1"/>
        <rFont val="Aptos Narrow"/>
        <family val="2"/>
        <scheme val="minor"/>
      </rPr>
      <t xml:space="preserve">, indicating even more capital tied up in inventory. </t>
    </r>
    <r>
      <rPr>
        <b/>
        <sz val="11"/>
        <color theme="1"/>
        <rFont val="Aptos Narrow"/>
        <family val="2"/>
        <scheme val="minor"/>
      </rPr>
      <t>DPO remained extended</t>
    </r>
    <r>
      <rPr>
        <sz val="11"/>
        <color theme="1"/>
        <rFont val="Aptos Narrow"/>
        <family val="2"/>
        <scheme val="minor"/>
      </rPr>
      <t xml:space="preserve"> to manage cash flow.</t>
    </r>
  </si>
  <si>
    <r>
      <t xml:space="preserve">Revenue fell by </t>
    </r>
    <r>
      <rPr>
        <b/>
        <sz val="11"/>
        <color theme="1"/>
        <rFont val="Aptos Narrow"/>
        <family val="2"/>
        <scheme val="minor"/>
      </rPr>
      <t>0.64%</t>
    </r>
    <r>
      <rPr>
        <sz val="11"/>
        <color theme="1"/>
        <rFont val="Aptos Narrow"/>
        <family val="2"/>
        <scheme val="minor"/>
      </rPr>
      <t xml:space="preserve">, driven by further declines from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7</t>
    </r>
    <r>
      <rPr>
        <sz val="11"/>
        <color theme="1"/>
        <rFont val="Aptos Narrow"/>
        <family val="2"/>
        <scheme val="minor"/>
      </rPr>
      <t xml:space="preserve">, but partially offset by a recovery in </t>
    </r>
    <r>
      <rPr>
        <b/>
        <sz val="11"/>
        <color theme="1"/>
        <rFont val="Aptos Narrow"/>
        <family val="2"/>
        <scheme val="minor"/>
      </rPr>
      <t>Client 1</t>
    </r>
    <r>
      <rPr>
        <sz val="11"/>
        <color theme="1"/>
        <rFont val="Aptos Narrow"/>
        <family val="2"/>
        <scheme val="minor"/>
      </rPr>
      <t xml:space="preserve">. Margins dropped by </t>
    </r>
    <r>
      <rPr>
        <b/>
        <sz val="11"/>
        <color theme="1"/>
        <rFont val="Aptos Narrow"/>
        <family val="2"/>
        <scheme val="minor"/>
      </rPr>
      <t>2%</t>
    </r>
    <r>
      <rPr>
        <sz val="11"/>
        <color theme="1"/>
        <rFont val="Aptos Narrow"/>
        <family val="2"/>
        <scheme val="minor"/>
      </rPr>
      <t xml:space="preserve">, with </t>
    </r>
    <r>
      <rPr>
        <b/>
        <sz val="11"/>
        <color theme="1"/>
        <rFont val="Aptos Narrow"/>
        <family val="2"/>
        <scheme val="minor"/>
      </rPr>
      <t>cost efficiencies contributing +22%</t>
    </r>
    <r>
      <rPr>
        <sz val="11"/>
        <color theme="1"/>
        <rFont val="Aptos Narrow"/>
        <family val="2"/>
        <scheme val="minor"/>
      </rPr>
      <t xml:space="preserve">. </t>
    </r>
    <r>
      <rPr>
        <b/>
        <sz val="11"/>
        <color theme="1"/>
        <rFont val="Aptos Narrow"/>
        <family val="2"/>
        <scheme val="minor"/>
      </rPr>
      <t>DSO rose slightly to 74 days</t>
    </r>
    <r>
      <rPr>
        <sz val="11"/>
        <color theme="1"/>
        <rFont val="Aptos Narrow"/>
        <family val="2"/>
        <scheme val="minor"/>
      </rPr>
      <t xml:space="preserve">, reflecting continued difficulties with collections, and </t>
    </r>
    <r>
      <rPr>
        <b/>
        <sz val="11"/>
        <color theme="1"/>
        <rFont val="Aptos Narrow"/>
        <family val="2"/>
        <scheme val="minor"/>
      </rPr>
      <t>DIO increased further to 14.8</t>
    </r>
    <r>
      <rPr>
        <sz val="11"/>
        <color theme="1"/>
        <rFont val="Aptos Narrow"/>
        <family val="2"/>
        <scheme val="minor"/>
      </rPr>
      <t xml:space="preserve">, signaling critical liquidity risks. </t>
    </r>
    <r>
      <rPr>
        <b/>
        <sz val="11"/>
        <color theme="1"/>
        <rFont val="Aptos Narrow"/>
        <family val="2"/>
        <scheme val="minor"/>
      </rPr>
      <t>DPO remained extended</t>
    </r>
    <r>
      <rPr>
        <sz val="11"/>
        <color theme="1"/>
        <rFont val="Aptos Narrow"/>
        <family val="2"/>
        <scheme val="minor"/>
      </rPr>
      <t>.</t>
    </r>
  </si>
  <si>
    <r>
      <t xml:space="preserve">Revenue dropped by </t>
    </r>
    <r>
      <rPr>
        <b/>
        <sz val="11"/>
        <color theme="1"/>
        <rFont val="Aptos Narrow"/>
        <family val="2"/>
        <scheme val="minor"/>
      </rPr>
      <t>4.27%</t>
    </r>
    <r>
      <rPr>
        <sz val="11"/>
        <color theme="1"/>
        <rFont val="Aptos Narrow"/>
        <family val="2"/>
        <scheme val="minor"/>
      </rPr>
      <t xml:space="preserve">, primarily due to a </t>
    </r>
    <r>
      <rPr>
        <b/>
        <sz val="11"/>
        <color theme="1"/>
        <rFont val="Aptos Narrow"/>
        <family val="2"/>
        <scheme val="minor"/>
      </rPr>
      <t>1.4M$ decline from Client 1</t>
    </r>
    <r>
      <rPr>
        <sz val="11"/>
        <color theme="1"/>
        <rFont val="Aptos Narrow"/>
        <family val="2"/>
        <scheme val="minor"/>
      </rPr>
      <t xml:space="preserve">. Growth from </t>
    </r>
    <r>
      <rPr>
        <b/>
        <sz val="11"/>
        <color theme="1"/>
        <rFont val="Aptos Narrow"/>
        <family val="2"/>
        <scheme val="minor"/>
      </rPr>
      <t>Client 9</t>
    </r>
    <r>
      <rPr>
        <sz val="11"/>
        <color theme="1"/>
        <rFont val="Aptos Narrow"/>
        <family val="2"/>
        <scheme val="minor"/>
      </rPr>
      <t xml:space="preserve"> and </t>
    </r>
    <r>
      <rPr>
        <b/>
        <sz val="11"/>
        <color theme="1"/>
        <rFont val="Aptos Narrow"/>
        <family val="2"/>
        <scheme val="minor"/>
      </rPr>
      <t>Client 10</t>
    </r>
    <r>
      <rPr>
        <sz val="11"/>
        <color theme="1"/>
        <rFont val="Aptos Narrow"/>
        <family val="2"/>
        <scheme val="minor"/>
      </rPr>
      <t xml:space="preserve"> partially offset the decline. </t>
    </r>
    <r>
      <rPr>
        <b/>
        <sz val="11"/>
        <color theme="1"/>
        <rFont val="Aptos Narrow"/>
        <family val="2"/>
        <scheme val="minor"/>
      </rPr>
      <t>Margins dropped by 12%</t>
    </r>
    <r>
      <rPr>
        <sz val="11"/>
        <color theme="1"/>
        <rFont val="Aptos Narrow"/>
        <family val="2"/>
        <scheme val="minor"/>
      </rPr>
      <t xml:space="preserve">, with </t>
    </r>
    <r>
      <rPr>
        <b/>
        <sz val="11"/>
        <color theme="1"/>
        <rFont val="Aptos Narrow"/>
        <family val="2"/>
        <scheme val="minor"/>
      </rPr>
      <t>cost efficiencies contributing +40%</t>
    </r>
    <r>
      <rPr>
        <sz val="11"/>
        <color theme="1"/>
        <rFont val="Aptos Narrow"/>
        <family val="2"/>
        <scheme val="minor"/>
      </rPr>
      <t xml:space="preserve">. </t>
    </r>
    <r>
      <rPr>
        <b/>
        <sz val="11"/>
        <color theme="1"/>
        <rFont val="Aptos Narrow"/>
        <family val="2"/>
        <scheme val="minor"/>
      </rPr>
      <t>DSO stabilized at 69 days</t>
    </r>
    <r>
      <rPr>
        <sz val="11"/>
        <color theme="1"/>
        <rFont val="Aptos Narrow"/>
        <family val="2"/>
        <scheme val="minor"/>
      </rPr>
      <t xml:space="preserve">, but </t>
    </r>
    <r>
      <rPr>
        <b/>
        <sz val="11"/>
        <color theme="1"/>
        <rFont val="Aptos Narrow"/>
        <family val="2"/>
        <scheme val="minor"/>
      </rPr>
      <t>DIO rose further to 15.6</t>
    </r>
    <r>
      <rPr>
        <sz val="11"/>
        <color theme="1"/>
        <rFont val="Aptos Narrow"/>
        <family val="2"/>
        <scheme val="minor"/>
      </rPr>
      <t xml:space="preserve">, reflecting a critical liquidity crunch. </t>
    </r>
    <r>
      <rPr>
        <b/>
        <sz val="11"/>
        <color theme="1"/>
        <rFont val="Aptos Narrow"/>
        <family val="2"/>
        <scheme val="minor"/>
      </rPr>
      <t>DPO remained extended</t>
    </r>
    <r>
      <rPr>
        <sz val="11"/>
        <color theme="1"/>
        <rFont val="Aptos Narrow"/>
        <family val="2"/>
        <scheme val="minor"/>
      </rPr>
      <t xml:space="preserve"> to manage cash flow.</t>
    </r>
  </si>
  <si>
    <r>
      <rPr>
        <sz val="11"/>
        <color theme="1"/>
        <rFont val="Aptos Narrow"/>
        <family val="2"/>
        <scheme val="minor"/>
      </rPr>
      <t xml:space="preserve">February revealed a critical need for </t>
    </r>
    <r>
      <rPr>
        <b/>
        <sz val="11"/>
        <color theme="1"/>
        <rFont val="Aptos Narrow"/>
        <family val="2"/>
        <scheme val="minor"/>
      </rPr>
      <t>client diversification</t>
    </r>
    <r>
      <rPr>
        <sz val="11"/>
        <color theme="1"/>
        <rFont val="Aptos Narrow"/>
        <family val="2"/>
        <scheme val="minor"/>
      </rPr>
      <t xml:space="preserve">. To mitigate the risk of over-reliance on </t>
    </r>
    <r>
      <rPr>
        <b/>
        <sz val="11"/>
        <color theme="1"/>
        <rFont val="Aptos Narrow"/>
        <family val="2"/>
        <scheme val="minor"/>
      </rPr>
      <t>Client 1</t>
    </r>
    <r>
      <rPr>
        <sz val="11"/>
        <color theme="1"/>
        <rFont val="Aptos Narrow"/>
        <family val="2"/>
        <scheme val="minor"/>
      </rPr>
      <t xml:space="preserve">, initiate a </t>
    </r>
    <r>
      <rPr>
        <b/>
        <sz val="11"/>
        <color theme="1"/>
        <rFont val="Aptos Narrow"/>
        <family val="2"/>
        <scheme val="minor"/>
      </rPr>
      <t>sales strategy</t>
    </r>
    <r>
      <rPr>
        <sz val="11"/>
        <color theme="1"/>
        <rFont val="Aptos Narrow"/>
        <family val="2"/>
        <scheme val="minor"/>
      </rPr>
      <t xml:space="preserve"> focused on securing </t>
    </r>
    <r>
      <rPr>
        <b/>
        <sz val="11"/>
        <color theme="1"/>
        <rFont val="Aptos Narrow"/>
        <family val="2"/>
        <scheme val="minor"/>
      </rPr>
      <t>new mid-tier clients</t>
    </r>
    <r>
      <rPr>
        <sz val="11"/>
        <color theme="1"/>
        <rFont val="Aptos Narrow"/>
        <family val="2"/>
        <scheme val="minor"/>
      </rPr>
      <t xml:space="preserve"> and reducing </t>
    </r>
    <r>
      <rPr>
        <b/>
        <sz val="11"/>
        <color theme="1"/>
        <rFont val="Aptos Narrow"/>
        <family val="2"/>
        <scheme val="minor"/>
      </rPr>
      <t>Client 1's revenue contribution by 15%</t>
    </r>
    <r>
      <rPr>
        <sz val="11"/>
        <color theme="1"/>
        <rFont val="Aptos Narrow"/>
        <family val="2"/>
        <scheme val="minor"/>
      </rPr>
      <t xml:space="preserve"> by year-end. Implement </t>
    </r>
    <r>
      <rPr>
        <b/>
        <sz val="11"/>
        <color theme="1"/>
        <rFont val="Aptos Narrow"/>
        <family val="2"/>
        <scheme val="minor"/>
      </rPr>
      <t>enhanced collection processes</t>
    </r>
    <r>
      <rPr>
        <sz val="11"/>
        <color theme="1"/>
        <rFont val="Aptos Narrow"/>
        <family val="2"/>
        <scheme val="minor"/>
      </rPr>
      <t xml:space="preserve"> to bring </t>
    </r>
    <r>
      <rPr>
        <b/>
        <sz val="11"/>
        <color theme="1"/>
        <rFont val="Aptos Narrow"/>
        <family val="2"/>
        <scheme val="minor"/>
      </rPr>
      <t>DSO</t>
    </r>
    <r>
      <rPr>
        <sz val="11"/>
        <color theme="1"/>
        <rFont val="Aptos Narrow"/>
        <family val="2"/>
        <scheme val="minor"/>
      </rPr>
      <t xml:space="preserve"> back to January levels and tighten </t>
    </r>
    <r>
      <rPr>
        <b/>
        <sz val="11"/>
        <color theme="1"/>
        <rFont val="Aptos Narrow"/>
        <family val="2"/>
        <scheme val="minor"/>
      </rPr>
      <t>credit policies</t>
    </r>
    <r>
      <rPr>
        <sz val="11"/>
        <color theme="1"/>
        <rFont val="Aptos Narrow"/>
        <family val="2"/>
        <scheme val="minor"/>
      </rPr>
      <t xml:space="preserve"> for slow-paying clients. </t>
    </r>
    <r>
      <rPr>
        <b/>
        <sz val="11"/>
        <color theme="1"/>
        <rFont val="Aptos Narrow"/>
        <family val="2"/>
        <scheme val="minor"/>
      </rPr>
      <t>Supplier negotiation</t>
    </r>
    <r>
      <rPr>
        <sz val="11"/>
        <color theme="1"/>
        <rFont val="Aptos Narrow"/>
        <family val="2"/>
        <scheme val="minor"/>
      </rPr>
      <t xml:space="preserve"> is essential to balance </t>
    </r>
    <r>
      <rPr>
        <b/>
        <sz val="11"/>
        <color theme="1"/>
        <rFont val="Aptos Narrow"/>
        <family val="2"/>
        <scheme val="minor"/>
      </rPr>
      <t>DPO</t>
    </r>
    <r>
      <rPr>
        <sz val="11"/>
        <color theme="1"/>
        <rFont val="Aptos Narrow"/>
        <family val="2"/>
        <scheme val="minor"/>
      </rPr>
      <t xml:space="preserve"> without jeopardizing supplier relationships. Start reviewing inventory levels for potential </t>
    </r>
    <r>
      <rPr>
        <b/>
        <sz val="11"/>
        <color theme="1"/>
        <rFont val="Aptos Narrow"/>
        <family val="2"/>
        <scheme val="minor"/>
      </rPr>
      <t>DIO risks</t>
    </r>
    <r>
      <rPr>
        <sz val="11"/>
        <color theme="1"/>
        <rFont val="Aptos Narrow"/>
        <family val="2"/>
        <scheme val="minor"/>
      </rPr>
      <t xml:space="preserve"> in the coming months.</t>
    </r>
  </si>
  <si>
    <t>Immediate action is required to diversify the client base and expand revenue streams to reduce concentration risks from Client 5, Client 10, and Client 1. Set a target to reduce top client dependence by at least 10-15% by Q4. In addition, focus on improving collection efficiency by implementing stricter credit policies and deploying automated AR management. The increasing DIO needs to be controlled—establish more robust inventory management strategies and realign production with demand to prevent further cash tie-ups in stock. Extend supplier negotiation to ensure DPO stability without harming supply chain operations.</t>
  </si>
  <si>
    <t>The revenue recovery should be leveraged to reduce future volatility. Implement a client retention program to secure long-term contracts with Client 1 and Client 10 while continuing the client diversification strategy. The improvement in DSO indicates that the AR process is gaining traction; however, sustained efforts are needed to bring it below 60 days. Rising DIO highlights inefficiency in inventory turnover—deploy demand-driven inventory planning and explore opportunities for inventory liquidation to free up capital. Maintain supplier relationships to balance DPO with liquidity requirements.</t>
  </si>
  <si>
    <t>The continued underperformance of Client 5 and Client 9 presents long-term risks to revenue stability. Strengthen account management and customer feedback mechanisms to understand the root cause of underperformance. The rising DSO signals inefficiencies in collections; launch a collections task force with defined KPIs to bring DSO back in line with the year-end target of 60 days. Address the DIO issue by implementing inventory liquidation campaigns to free up cash and prevent future cash flow constraints. Consider introducing seasonal discounting or promotional sales to reduce excess inventory.</t>
  </si>
  <si>
    <t>The revenue rebound from Client 3 and Client 9 is promising, but the persistent weakness from Client 1 indicates a systemic risk. Focus on client diversification and expansion into stable sectors. Reassess collection efforts with a dedicated AR team to reduce DSO back to 60 days by Q3. DIO requires a complete inventory audit and supply chain realignment to manage liquidity risks.</t>
  </si>
  <si>
    <t>While Client 5 and Client 3 drove revenue growth, the continued decline of Client 1 necessitates a phased disengagement strategy. Focus on expanding mid-tier clients to offset the volatility from Client 1. DIO at 9.7 requires immediate inventory reduction measures through clearance sales or bulk discount strategies. Focus on optimizing the production schedule based on demand.</t>
  </si>
  <si>
    <t>The steep revenue decline from Client 1 and Client 9 underscores the urgent need for revenue diversification. A new client acquisition strategy should target 10-15 mid-tier clients by Q4 to rebalance the portfolio. DIO at 10.75 represents a severe liquidity risk. Immediate actions include liquidating excess stock and reducing production in underperforming product lines to preserve cash. Strengthen the AR process to address DSO.</t>
  </si>
  <si>
    <t>The partial recovery in revenue from Client 1 is positive but fragile. Use this window to secure long-term contracts with smaller clients to build a more balanced portfolio. Address DSO and DIO immediately: reduce DSO by 10-15 days through stricter collection terms and consider early payment discounts. Implement aggressive inventory liquidation strategies to free up cash and improve liquidity.</t>
  </si>
  <si>
    <t>The slight revenue decline reflects the ongoing volatility in key clients like Client 4. Focus on stabilizing smaller clients while continuing to scale new clients. The drop in DSO is positive—ensure consistent collections efforts to maintain this improvement. DIO’s rise to 13.9 is now a severe concern. Accelerate inventory reduction efforts and align production more closely with demand to prevent future liquidity issues.</t>
  </si>
  <si>
    <t>The ongoing decline from Client 9 and Client 7 highlights the need for a client recovery plan to retain these key accounts. The slight increase in DSO suggests inconsistencies in collections processes—implement real-time AR tracking and use early payment incentives to improve collections. DIO at 14.8 is a red flag—consider writing down obsolete inventory and accelerating liquidation sales to free up capital.</t>
  </si>
  <si>
    <t>The end-of-year decline in Client 1 shows that this client can no longer be relied upon for stable revenue. Focus on long-term client diversification strategies and lock in new clients from high-growth sectors. The stabilization of DSO is a positive sign, but DIO at 15.6 requires urgent attention—consider inventory write-offs or more aggressive liquidation to avoid cash flow disruptions. Align production schedules with realistic sales forecasts.</t>
  </si>
  <si>
    <r>
      <rPr>
        <sz val="11"/>
        <color theme="1"/>
        <rFont val="Aptos Narrow"/>
        <family val="2"/>
        <scheme val="minor"/>
      </rPr>
      <t xml:space="preserve">February demonstrated the </t>
    </r>
    <r>
      <rPr>
        <b/>
        <sz val="11"/>
        <color theme="1"/>
        <rFont val="Aptos Narrow"/>
        <family val="2"/>
        <scheme val="minor"/>
      </rPr>
      <t>vulnerability</t>
    </r>
    <r>
      <rPr>
        <sz val="11"/>
        <color theme="1"/>
        <rFont val="Aptos Narrow"/>
        <family val="2"/>
        <scheme val="minor"/>
      </rPr>
      <t xml:space="preserve"> posed by </t>
    </r>
    <r>
      <rPr>
        <b/>
        <sz val="11"/>
        <color theme="1"/>
        <rFont val="Aptos Narrow"/>
        <family val="2"/>
        <scheme val="minor"/>
      </rPr>
      <t>Client 1</t>
    </r>
    <r>
      <rPr>
        <sz val="11"/>
        <color theme="1"/>
        <rFont val="Aptos Narrow"/>
        <family val="2"/>
        <scheme val="minor"/>
      </rPr>
      <t xml:space="preserve">. The over-reliance on a single client is now clearly a threat, and action is necessary to </t>
    </r>
    <r>
      <rPr>
        <b/>
        <sz val="11"/>
        <color theme="1"/>
        <rFont val="Aptos Narrow"/>
        <family val="2"/>
        <scheme val="minor"/>
      </rPr>
      <t>diversify revenue streams</t>
    </r>
    <r>
      <rPr>
        <sz val="11"/>
        <color theme="1"/>
        <rFont val="Aptos Narrow"/>
        <family val="2"/>
        <scheme val="minor"/>
      </rPr>
      <t xml:space="preserve">. The increase in </t>
    </r>
    <r>
      <rPr>
        <b/>
        <sz val="11"/>
        <color theme="1"/>
        <rFont val="Aptos Narrow"/>
        <family val="2"/>
        <scheme val="minor"/>
      </rPr>
      <t>DSO</t>
    </r>
    <r>
      <rPr>
        <sz val="11"/>
        <color theme="1"/>
        <rFont val="Aptos Narrow"/>
        <family val="2"/>
        <scheme val="minor"/>
      </rPr>
      <t xml:space="preserve"> suggests weaknesses in </t>
    </r>
    <r>
      <rPr>
        <b/>
        <sz val="11"/>
        <color theme="1"/>
        <rFont val="Aptos Narrow"/>
        <family val="2"/>
        <scheme val="minor"/>
      </rPr>
      <t>collections</t>
    </r>
    <r>
      <rPr>
        <sz val="11"/>
        <color theme="1"/>
        <rFont val="Aptos Narrow"/>
        <family val="2"/>
        <scheme val="minor"/>
      </rPr>
      <t xml:space="preserve"> that will need stronger attention in March. Use February’s results as the first indication that operational adjustments (client diversification and AR management) will be crucial for stabilizing cash flow.</t>
    </r>
  </si>
  <si>
    <t>March further deepened the problems first seen in February, specifically around client concentration risk. The increase in DSO is now critical, and liquidity pressures are building due to rising inventory levels (DIO). There’s a clear pattern of declining margins, indicating that the company is unable to absorb the revenue shocks without sustained cost control. A rolling focus on revenue diversification and tighter working capital management is becoming a central priority to stabilize cash flow.</t>
  </si>
  <si>
    <t>April marked a temporary recovery in revenue, but underlying risks remain, particularly with margin pressure and rising DIO. While DSO improved, this trend needs consistent attention. The month highlights that client retention and diversification must work in tandem to stabilize revenue. April provides optimism in terms of revenue but reinforces the need for sustained improvements in inventory management to prevent liquidity constraints as the year progresses.</t>
  </si>
  <si>
    <t>May reinforced the ongoing client volatility risks and the company’s over-reliance on a small set of clients. The uptick in DSO underscores that collections improvements seen in April were not sustained. The continuous rise in DIO is now posing a significant liquidity risk that requires immediate intervention. The rolling trend points toward an increasing reliance on cost efficiencies to manage profitability, but this cannot be a long-term solution without improving working capital management.</t>
  </si>
  <si>
    <t>June’s performance showed a two-track pattern: while revenue and margins improved, the growing strain on working capital (particularly DSO and DIO) is now critical. The rolling trend highlights inventory mismanagement as a significant issue. Liquidity pressures are increasing, and cost efficiencies alone cannot mitigate these challenges in the long term.</t>
  </si>
  <si>
    <t>July reinforces the long-standing challenges with Client 1, and the reliance on a small group of clients is evident. The improvement in DSO is positive but inventory buildup (DIO) continues to present liquidity issues. July highlights that cost efficiencies alone cannot carry the business without addressing inventory and client diversification. Cash flow pressures continue to mount.</t>
  </si>
  <si>
    <t>August’s revenue drop exacerbates the rolling issues around client dependence and working capital inefficiencies. The increasing DSO and DIO continue to place severe strain on liquidity, reflecting an inability to convert sales into cash. August marks a critical point where immediate intervention is required to stabilize the business. Cost efficiencies alone are insufficient to mitigate these risks.</t>
  </si>
  <si>
    <t>September shows a fragile recovery, but the persistent liquidity issues stemming from high DSO and DIO continue to mount. The rolling analysis shows that the company’s ability to collect cash is severely impacted, with more cash tied up in unsold inventory and delayed payments. The risk to liquidity is now critical and requires immediate attention to avoid cash flow disruptions.</t>
  </si>
  <si>
    <t>October’s rolling trends show a slight improvement in collections (DSO), but DIO continues to worsen, tying up even more cash. The company’s inability to efficiently manage inventory turnover is becoming a major barrier to liquidity. The rolling pattern indicates that improvements in revenue are being overshadowed by working capital challenges.</t>
  </si>
  <si>
    <t>November’s rolling trends show that while client recoveries are providing some stability in revenue, the working capital inefficiencies (especially DIO) continue to pose a severe liquidity risk. The rolling impact of high DIO and DSO suggests that without significant improvements in inventory turnover, the company will face severe cash flow issues by year-end.</t>
  </si>
  <si>
    <t>December's rolling trends show the culmination of working capital inefficiencies, particularly in DIO, which is now at a critical level. The company is facing a severe liquidity crunch, and without immediate improvements in inventory management and client diversification, there will be significant financial stress heading into the new year. The rolling trend signals urgent intervention is needed.</t>
  </si>
  <si>
    <r>
      <rPr>
        <i/>
        <u/>
        <sz val="14"/>
        <color theme="0"/>
        <rFont val="Aptos Display"/>
        <family val="2"/>
        <scheme val="major"/>
      </rPr>
      <t>1. Embrace Omnichannel Strategies</t>
    </r>
    <r>
      <rPr>
        <sz val="14"/>
        <color theme="0"/>
        <rFont val="Aptos Display"/>
        <family val="2"/>
        <scheme val="major"/>
      </rPr>
      <t xml:space="preserve">
Integrated Shopping Experience: Successful retailers offer a seamless experience across physical stores, e-commerce platforms, and mobile apps. The focus is on making it easy for customers to switch between channels while maintaining a consistent brand experience.
Personalization: Retailers that thrive often leverage data to personalize interactions. AI-driven customer analytics help deliver tailored recommendations, promotions, and experiences that increase customer engagement and loyalty.
</t>
    </r>
    <r>
      <rPr>
        <i/>
        <u/>
        <sz val="14"/>
        <color theme="0"/>
        <rFont val="Aptos Display"/>
        <family val="2"/>
        <scheme val="major"/>
      </rPr>
      <t>2. Optimize Supply Chain Management</t>
    </r>
    <r>
      <rPr>
        <sz val="14"/>
        <color theme="0"/>
        <rFont val="Aptos Display"/>
        <family val="2"/>
        <scheme val="major"/>
      </rPr>
      <t xml:space="preserve">
Demand Forecasting: Top retailers excel in predicting consumer demand using AI and advanced analytics. This helps maintain optimal inventory levels, reducing stockouts and overstock situations while enhancing customer satisfaction.
Agility in Logistics: Implementing flexible supply chain operations that can quickly respond to changes in demand or supply disruptions is critical. Many retailers use real-time data and predictive analytics to keep supply chains resilient and responsive.
Sustainable Practices: Incorporating environmentally friendly practices into supply chains is increasingly important. Retailers with sustainable operations (e.g., reducing packaging waste, optimizing routes to reduce emissions) are viewed more favorably by consumers.
</t>
    </r>
    <r>
      <rPr>
        <i/>
        <u/>
        <sz val="14"/>
        <color theme="0"/>
        <rFont val="Aptos Display"/>
        <family val="2"/>
        <scheme val="major"/>
      </rPr>
      <t xml:space="preserve">3. Data-Driven Decision Making
</t>
    </r>
    <r>
      <rPr>
        <sz val="14"/>
        <color theme="0"/>
        <rFont val="Aptos Display"/>
        <family val="2"/>
        <scheme val="major"/>
      </rPr>
      <t xml:space="preserve">Advanced Analytics: Industry leaders rely heavily on data to make informed decisions. Analyzing customer behavior, market trends, and operational performance allows retailers to optimize pricing, product placement, and inventory management.
Real-Time Reporting: Retailers that implement real-time financial and operational reporting are better equipped to make quick adjustments. Automation tools for instant reporting and AI-generated insights enable proactive management of financial performance.
</t>
    </r>
    <r>
      <rPr>
        <i/>
        <u/>
        <sz val="14"/>
        <color theme="0"/>
        <rFont val="Aptos Display"/>
        <family val="2"/>
        <scheme val="major"/>
      </rPr>
      <t>4. Enhance Customer Experience</t>
    </r>
    <r>
      <rPr>
        <sz val="14"/>
        <color theme="0"/>
        <rFont val="Aptos Display"/>
        <family val="2"/>
        <scheme val="major"/>
      </rPr>
      <t xml:space="preserve">
Loyalty Programs: Many successful retailers prioritize customer retention by offering robust loyalty programs. These programs reward repeat customers and encourage long-term relationships, often incorporating data-driven insights to offer customized benefits.
In-Store Experience: Creating a unique and immersive in-store shopping experience differentiates leading retailers. Engaging store layouts, product demonstrations, and in-store technologies like virtual try-ons or self-checkout enhance the customer journey.
</t>
    </r>
    <r>
      <rPr>
        <i/>
        <u/>
        <sz val="14"/>
        <color theme="0"/>
        <rFont val="Aptos Display"/>
        <family val="2"/>
        <scheme val="major"/>
      </rPr>
      <t>5. Focus on Cost Management and Margins</t>
    </r>
    <r>
      <rPr>
        <sz val="14"/>
        <color theme="0"/>
        <rFont val="Aptos Display"/>
        <family val="2"/>
        <scheme val="major"/>
      </rPr>
      <t xml:space="preserve">
Margin Optimization: Leading retailers continuously monitor and manage their margins by reducing operational costs, improving supply chain efficiency, and optimizing product pricing strategies. AI-driven tools help forecast sales trends and identify areas for cost savings.
Lean Operations: Efficient retailers focus on lean operations, optimizing labor, technology, and inventory to reduce waste and improve profitability. Automation in store management, inventory control, and administrative tasks drives down operational costs.
</t>
    </r>
    <r>
      <rPr>
        <i/>
        <u/>
        <sz val="14"/>
        <color theme="0"/>
        <rFont val="Aptos Display"/>
        <family val="2"/>
        <scheme val="major"/>
      </rPr>
      <t>6. Technology and Innovation</t>
    </r>
    <r>
      <rPr>
        <sz val="14"/>
        <color theme="0"/>
        <rFont val="Aptos Display"/>
        <family val="2"/>
        <scheme val="major"/>
      </rPr>
      <t xml:space="preserve">
Adopt New Technologies: Retailers that succeed are constantly adopting new technologies such as AI, automation, and blockchain to stay ahead. AI-powered tools help with everything from inventory management to customer service automation.
Digital Transformation: Retailers are increasingly embracing digital platforms to enhance both operational efficiency and customer engagement. E-commerce growth, driven by mobile-first strategies and AI-powered personalization, is a key driver of success in modern retail.
</t>
    </r>
    <r>
      <rPr>
        <i/>
        <u/>
        <sz val="14"/>
        <color theme="0"/>
        <rFont val="Aptos Display"/>
        <family val="2"/>
        <scheme val="major"/>
      </rPr>
      <t>7. Sustainability and ESG Initiatives</t>
    </r>
    <r>
      <rPr>
        <sz val="14"/>
        <color theme="0"/>
        <rFont val="Aptos Display"/>
        <family val="2"/>
        <scheme val="major"/>
      </rPr>
      <t xml:space="preserve">
Green Retailing: Emphasizing sustainability, from sourcing ethically to minimizing waste, is now a best practice in retail. Retailers that incorporate ESG (Environmental, Social, and Governance) into their business models are not only building stronger brand loyalty but are also future-proofing their operations.
Energy Efficiency: Many retailers are investing in energy-efficient store designs, using renewable energy sources, and reducing the carbon footprint of their supply chains.
</t>
    </r>
    <r>
      <rPr>
        <i/>
        <u/>
        <sz val="14"/>
        <color theme="0"/>
        <rFont val="Aptos Display"/>
        <family val="2"/>
        <scheme val="major"/>
      </rPr>
      <t>8. Adapt to Market Trends and Customer Behavior</t>
    </r>
    <r>
      <rPr>
        <sz val="14"/>
        <color theme="0"/>
        <rFont val="Aptos Display"/>
        <family val="2"/>
        <scheme val="major"/>
      </rPr>
      <t xml:space="preserve">
Agility in Strategy: The most successful retailers stay ahead by being agile and adaptable to market changes. They continually evaluate consumer trends, local preferences, and economic shifts to make timely adjustments to product lines, marketing strategies, and store formats.
Cultural Relevance: Understanding and aligning with the cultural nuances of the UAE market ensures that product offerings resonate with local consumers. This includes curating products that reflect local tastes, preferences, and values.
</t>
    </r>
    <r>
      <rPr>
        <i/>
        <u/>
        <sz val="14"/>
        <color theme="0"/>
        <rFont val="Aptos Display"/>
        <family val="2"/>
        <scheme val="major"/>
      </rPr>
      <t>9. Talent and Workforce Management</t>
    </r>
    <r>
      <rPr>
        <sz val="14"/>
        <color theme="0"/>
        <rFont val="Aptos Display"/>
        <family val="2"/>
        <scheme val="major"/>
      </rPr>
      <t xml:space="preserve">
Upskilling the Workforce: Retailers that invest in employee training and development see higher productivity and better customer interactions. In fast-changing retail environments, it’s important to continuously train employees on new technologies and customer service strategies.
Employee Engagement: Ensuring high levels of employee engagement, especially in customer-facing roles, directly impacts customer satisfaction and sales. Leaders in retail are proactive about creating positive work environments that drive motivation and performance.
</t>
    </r>
    <r>
      <rPr>
        <i/>
        <u/>
        <sz val="14"/>
        <color theme="0"/>
        <rFont val="Aptos Display"/>
        <family val="2"/>
        <scheme val="major"/>
      </rPr>
      <t>10. Financial Flexibility</t>
    </r>
    <r>
      <rPr>
        <sz val="14"/>
        <color theme="0"/>
        <rFont val="Aptos Display"/>
        <family val="2"/>
        <scheme val="major"/>
      </rPr>
      <t xml:space="preserve">
Effective Cash Flow Management: Successful retailers keep a close eye on working capital by managing DSO, DPO, and inventory turnover. Cash flow forecasting, supported by AI and real-time data, helps maintain liquidity and meet investment needs.
Capital Investment in Growth Areas: Identifying and investing in high-growth sectors such as luxury goods, health, and wellness products or digital retail helps ensure sustained growth in the competitive UAE retail market.
By implementing these best practices, retailers can achieve operational excellence, increase profitability, and remain competitive in a dynamic and evolving market like the UAE. These insights offer a strong foundation for businesses looking to benchmark their performance and identify areas for improvement.</t>
    </r>
  </si>
  <si>
    <t>SWOT</t>
  </si>
  <si>
    <t>Strenghts</t>
  </si>
  <si>
    <t>Strategic Location:The UAE is a central hub between Europe, Asia, and Africa, making it an ideal location for retail distribution and global brands.
High Disposable Income: A large proportion of the population, especially expatriates, has high disposable income, driving demand for luxury goods, fashion, and premium services.
Tourism Industry: The UAE attracts millions of tourists annually, especially Dubai and Abu Dhabi, contributing to strong retail demand, especially in luxury, fashion, and electronics sectors.
Advanced Infrastructure: The UAE has world-class malls, airports, and logistics infrastructure, facilitating easy access to retail outlets and streamlined supply chains.
E-Commerce Growth: Accelerated adoption of e-commerce, fueled by high internet penetration and smartphone usage, has opened up new revenue channels for retailers.
Government Support: Initiatives such as reduced tariffs on goods and services, tax exemptions in free zones, and support for business diversification have strengthened the retail environment.</t>
  </si>
  <si>
    <t>High Operating Costs: Retailers face high rent, operational, and staffing costs, particularly in prime locations such as malls and key urban areas. This affects profitability, especially for small to mid-sized retailers.
Dependency on Imports: The UAE relies heavily on imported goods, making retailers vulnerable to global supply chain disruptions, exchange rate fluctuations, and shipping delays.
Limited Domestic Production: The retail sector in the UAE has limited local manufacturing, which means less control over the supply chain and higher dependence on external markets.
Over-Saturation in Certain Segments: Certain retail sectors, such as luxury fashion and electronics, are highly competitive and over-saturated, leading to price wars and margin pressures.
Customer Loyalty Challenges: High competition and the ease of switching between brands make it difficult to build strong, long-term customer loyalty.</t>
  </si>
  <si>
    <t>Economic Uncertainty: The global economy's uncertain outlook, combined with regional geopolitical tensions, could lead to slower growth in consumer spending or a shift towards more cautious purchasing behavior.
Global Supply Chain Disruptions: The ongoing impact of global supply chain challenges (e.g., delays, cost hikes, and shortages of goods) is a significant threat to retail operations, especially for imported products.
Rising Consumer Expectations: Consumers are increasingly demanding faster delivery times, personalized experiences, and ethical business practices, which can strain retailers without the right infrastructure.
High Competition: The UAE retail sector is highly competitive, both from global players entering the market and established local brands, making differentiation difficult and leading to potential margin squeezes.
Inflation and Currency Fluctuations: Rising inflation and fluctuations in the exchange rate could drive up costs for imports and raw materials, impacting profit margins, especially for price-sensitive segments.
Technological Disruption: Rapid changes in technology (e.g., blockchain, AI, and robotics) may threaten businesses that are slow to adapt or invest in digital transformation, leaving them behind more innovative competitors.</t>
  </si>
  <si>
    <t>Digital Transformation: Growth in e-commerce and m-commerce presents vast opportunities for retailers to expand their reach through online platforms, especially for tech-savvy and younger consumers.
Sustainability and ESG Initiatives: Retailers who adopt sustainable practices, including reducing carbon footprints, offering eco-friendly products, and implementing ESG strategies, can differentiate themselves and appeal to environmentally conscious consumers.
Technology and Innovation: Opportunities abound in AI, big data analytics, and automation to enhance operational efficiency, inventory management, customer experience, and personalized marketing.
New Consumer Segments: Targeting growing consumer segments, such as millennials, Gen Z, and expatriates from emerging markets, with tailored products and digital-first strategies can drive new revenue streams.
Retailtainment: The concept of blending entertainment and retail is gaining traction. Offering experiential shopping, such as interactive displays, events, and pop-up stores, can attract more foot traffic and enhance customer engagement.
Exponential Growth in Tourism: Post-pandemic recovery in tourism, especially with Expo 2020 boosting global visibility, offers a significant opportunity to capture international consumer spending.</t>
  </si>
  <si>
    <t>1. Economic Risks
Global Recession: Economic downturns can significantly reduce consumer spending, particularly on non-essential or luxury goods, impacting overall sales and profitability.
Inflationary Pressures: Rising inflation increases the cost of goods, transportation, and operational expenses, squeezing margins and affecting pricing strategies.
Currency Fluctuations: Retailers in the UAE who rely on imports are exposed to currency exchange risks, particularly when dealing with suppliers in countries with volatile currencies.
2. Supply Chain Disruptions
Logistics and Transportation Delays: Global shipping delays, port congestion, and logistical bottlenecks can lead to stock shortages, longer delivery times, and higher transportation costs.
Dependence on Imports: Heavy reliance on imported goods makes the retail sector vulnerable to international trade disruptions, tariff changes, or political conflicts that affect cross-border supply chains.
Supplier Risk: Retailers face the risk of supplier defaults or operational disruptions, particularly if they lack a diversified supplier base.
3. Technology and Cybersecurity Risks
Cybersecurity Threats: As retailers increasingly move to digital platforms, the risk of data breaches, cyberattacks, and ransomware threats has risen. This can result in significant financial loss and damage to reputation.
Technological Disruption: The rapid pace of technological advancement requires constant adaptation. Retailers risk falling behind if they do not invest in upgrading their e-commerce platforms, customer experience tools, and data analytics capabilities.
System Downtime: A failure in critical systems, such as ERP or point-of-sale systems, can disrupt operations, lead to lost sales, and damage customer trust.
4. Regulatory and Compliance Risks
Changes in Taxation: Retailers face the risk of changes in taxation policies (e.g., VAT increases) or new regulations that could increase operational costs and impact pricing strategies.
Labor Laws and Regulations: Compliance with evolving labor laws, especially regarding wages, working conditions, and employee rights, adds complexity to managing a large workforce.
Environmental and Sustainability Regulations: Growing regulations around environmental sustainability, waste management, and carbon emissions may require retailers to adapt their operations or face penalties.
5. Market and Competitive Risks
Intense Competition: Retailers in the UAE face competition from both local players and international brands. Price wars, customer acquisition costs, and the need for constant innovation place pressure on margins.
Shifts in Consumer Preferences: Rapid changes in consumer behavior, especially post-pandemic, pose a challenge. Brands that fail to keep up with trends such as sustainability, health-conscious products, or e-commerce dominance risk losing market share.
Brand Loyalty Erosion: In a highly competitive landscape, consumers are increasingly willing to switch brands, especially with the rise of comparison tools and price-sensitive shoppers.
6. Operational Risks
Inventory Management Issues: Poor inventory management can lead to overstocking or stockouts, both of which negatively impact sales and increase costs. Real-time visibility and efficient forecasting are critical but challenging.
Workforce Management: High employee turnover, particularly in frontline retail staff, creates operational risks. Staff shortages can lead to poor customer service and operational inefficiencies.
Lease and Rental Costs: High rental costs for prime retail locations can erode profitability, particularly if foot traffic and sales do not justify the overhead.
7. Sustainability and ESG Risks
Environmental Impact: Consumers and regulators are increasingly holding retailers accountable for their environmental footprint. Failure to adopt sustainable practices (e.g., waste reduction, eco-friendly products) can lead to reputational damage.
Social Responsibility: Retailers face growing pressure to improve their Environmental, Social, and Governance (ESG) standards. Issues such as unethical sourcing, poor working conditions in supply chains, and lack of diversity may lead to negative public perception and financial penalties.
8. Consumer Behavior Risks
Evolving Consumer Expectations: Today's consumers expect fast shipping, personalized experiences, and consistent cross-channel service. Retailers that fail to meet these expectations risk losing customers to more agile competitors.
Economic Sensitivity: Retail demand is highly sensitive to changes in disposable income, employment rates, and consumer confidence. During economic downturns, spending on discretionary items tends to decline, posing risks for non-essential retail segments.
9. Health and Safety Risks
Pandemic and Health Crises: The retail industry continues to face risks from global health crises such as COVID-19, which can result in store closures, reduced foot traffic, and disruptions in supply chains.
In-Store Safety: Retailers must ensure a safe in-store environment for both customers and employees. Negligence in health and safety practices (e.g., during pandemics) can lead to legal liabilities and loss of consumer trust.
10. Reputation and Brand Risks
Negative Publicity: Any misstep in customer service, product quality, or ethical practices can result in negative publicity, amplified by social media. In the era of digital transparency, brands are at high risk of reputational damage.
Counterfeiting and Fraud: Retailers face risks from counterfeit products entering the supply chain or fraud from internal/external sources, both of which can damage brand credibility and lead to financial losses.</t>
  </si>
  <si>
    <t>1. Rise of Omnichannel Retailing
Seamless Integration of Online and Offline: Retailers are increasingly blending their online and offline channels to offer a unified customer experience. Omnichannel strategies include click-and-collect services, flexible return policies, and ensuring consistent product availability across platforms.
Mobile Commerce (M-Commerce): Mobile shopping is booming, with consumers increasingly making purchases through smartphones. Retailers are investing in mobile-optimized websites and apps, as well as integrating mobile payment solutions.
2. E-commerce and Digital Acceleration
Continued Growth of E-Commerce: The pandemic significantly accelerated the growth of online shopping, and this trend has remained strong. Retailers are expanding their e-commerce platforms to capture a larger market share and offering faster, more flexible delivery options.
Live Commerce: Live-streaming e-commerce events, where products are showcased and sold in real time, are becoming popular, especially in sectors like fashion and beauty. This trend is picking up as an engaging, personalized shopping experience.
3. Sustainability and Ethical Retailing
Consumer Preference for Sustainable Products: Consumers are increasingly demanding eco-friendly products and brands with ethical sourcing and transparent supply chains. Retailers are responding by offering sustainable product lines, using recyclable packaging, and implementing green store practices.
Circular Economy Models: The focus on sustainability has given rise to second-hand retail, recycling programs, and buy-back schemes, where customers can return used products for recycling or refurbishment.
4. Personalization and Customer-Centric Experiences
AI-Powered Personalization: Retailers are leveraging AI and big data to offer personalized shopping experiences, such as customized product recommendations, personalized marketing messages, and tailored promotions based on individual buying behaviors.
Loyalty Programs: As customer loyalty becomes harder to maintain, retailers are offering data-driven loyalty programs that reward repeat purchases, incentivize referrals, and deliver personalized perks to loyal customers.
5. Growth of Retail Technologies
AI and Automation: From AI-driven chatbots for customer service to automated checkout systems and inventory management powered by machine learning, retail technologies are streamlining operations and improving customer satisfaction.
Robotics and Automation in Warehousing: Many retailers are adopting robotics in warehouses for picking, packing, and inventory management, reducing operational costs and speeding up the supply chain.
6. Shift Toward Experiential Retail
Retailtainment: Retailers are increasingly merging entertainment with shopping, creating immersive experiences in stores to attract customers. From augmented reality (AR) fitting rooms to interactive in-store events, retail is becoming more than just a transactional space—it’s about creating memorable experiences.
Pop-Up Stores: Temporary, experiential stores continue to grow in popularity, allowing retailers to test new markets, showcase limited-edition products, and engage with customers in unique environments.
7. Expanding Role of Social Commerce
Shopping on Social Media: Social commerce, where users can shop directly through social media platforms, is becoming a powerful sales channel. Platforms like Instagram, Facebook, and TikTok are rolling out features that allow consumers to purchase products seamlessly within the app.
Influencer Marketing: Influencers play a critical role in driving product discovery and purchase decisions. Retailers are increasingly collaborating with influencers to promote their brands and create authentic connections with audiences.
8. Changing Consumer Behavior Post-Pandemic
Health and Safety Concerns: Consumers are still prioritizing safety and hygiene in their shopping experiences, with many preferring contactless shopping, curbside pick-up, and other low-contact methods.
Value-Driven Consumption: Economic uncertainty has led to an increased focus on value-driven purchasing, where consumers are more conscious of pricing and seeking out deals, discounts, and promotions.
9. Retail-as-a-Service (RaaS)
Outsourced Retail Operations: Retail-as-a-Service (RaaS) is a growing trend where technology platforms offer turnkey retail solutions to brands. This allows brands to quickly set up online and offline operations without needing to invest heavily in infrastructure.
10. Blockchain and Transparency in Supply Chains
Blockchain for Traceability: Retailers are starting to adopt blockchain technology to enhance transparency and traceability in their supply chains. This is particularly important for consumers concerned with the ethical sourcing of products or verifying product authenticity, especially in luxury goods.
11. The Role of AI in Inventory and Demand Forecasting
Predictive Analytics: Retailers are using AI and machine learning to predict customer demand, optimize inventory levels, and reduce stockouts or overstocking. These tools help create efficient supply chains, reduce waste, and ensure the availability of in-demand products.
Dynamic Pricing: AI is also being leveraged for dynamic pricing strategies, where prices fluctuate in real-time based on demand, competitor pricing, and other factors.
12. Adoption of Sustainable Packaging
Eco-Friendly Packaging: There is a growing push towards sustainable packaging, with retailers moving away from single-use plastics and opting for biodegradable, recyclable, or reusable packaging. This aligns with consumer expectations for more environmentally responsible retail practices.</t>
  </si>
  <si>
    <t>1. Product Mix Optimization
High-Margin Products: Retailers can boost their margins by focusing on selling high-margin products such as private labels, premium goods, or products with lower production costs but higher perceived value.
Diversification: Offering a diverse product range helps capture a broader audience and can protect against seasonal fluctuations or changes in consumer demand. Balancing core items with trending, in-demand products is crucial for maintaining a healthy revenue stream.
2. Pricing Strategies
Dynamic Pricing: Adopting AI-driven dynamic pricing models allows retailers to adjust prices in real-time based on factors like demand, competitor pricing, and inventory levels. This can maximize revenue without eroding margins.
Premium Pricing for Value Add: Retailers that offer superior customer service, exclusivity, or added features (such as sustainable products) can justify premium pricing, thereby enhancing margins.
3. Customer Segmentation and Targeting
Personalized Marketing: Segmenting customers based on demographics, purchasing behavior, and preferences enables retailers to offer tailored promotions and product recommendations, leading to higher conversion rates and customer loyalty.
Loyalty Programs: Implementing robust loyalty programs increases customer retention and drives repeat purchases, which are more profitable than acquiring new customers. These programs can be designed to incentivize spending on higher-margin products.
4. Cost Control and Efficiency
Operational Efficiency: Reducing operational costs through automation, lean supply chains, and optimized store layouts enhances profit margins. Retailers that invest in smart technology (such as AI for inventory management or automation in warehouses) can reduce costs while maintaining service quality.
Sourcing and Procurement: Retailers that negotiate better terms with suppliers or source products more efficiently can significantly improve margins. Optimizing procurement practices, consolidating suppliers, or sourcing locally to reduce shipping costs are common strategies.
5. Inventory Management
Optimized Inventory Levels: Maintaining the right inventory levels is critical for avoiding overstock or stockouts. Efficient inventory management, driven by AI forecasting tools, ensures that products are available when needed, reducing holding costs and maximizing revenue potential.
Just-in-Time Inventory: Some retailers adopt just-in-time inventory management to minimize the costs associated with storing excess inventory. This approach can improve cash flow and profitability by reducing storage costs and markdowns.
6. E-commerce Growth
Digital Channels: A strong e-commerce platform increases reach and drives incremental revenue. Retailers who invest in optimizing their digital presence, user experience, and mobile commerce are better positioned to capture sales from online shoppers.
Omnichannel Synergy: By integrating online and offline channels, retailers can capture customer preferences across touchpoints, increasing conversion rates. Click-and-collect services and easy return policies encourage sales across multiple platforms, boosting revenue.
7. Upselling and Cross-Selling
Bundling Products: Offering product bundles or upselling complementary items increases the average order value (AOV), driving both revenue and margin growth.
AI Recommendations: Retailers that use AI-powered recommendation engines to suggest related products during the customer’s shopping journey can increase conversion rates and generate higher margins by promoting premium or related items.
8. Customer Experience
Enhanced In-Store Experience: Retailers that focus on improving the in-store shopping experience can drive more sales and justify higher prices. Strategies include improving store layouts, offering personalized service, and creating an engaging atmosphere.
Frictionless Shopping: Retailers that simplify the buying process, both online and in-store, through features like one-click checkout, mobile payment options, and efficient customer service, can increase conversion rates and reduce cart abandonment.
9. Marketing and Promotions
Targeted Promotions: Offering targeted, data-driven promotions based on customer segmentation ensures that discounts and special offers generate more sales without eroding margins. Retailers that analyze past promotions can optimize future discounts to avoid over-discounting and maximize profitability.
Seasonal Campaigns: Tapping into seasonal shopping periods (e.g., holidays, back-to-school) with well-timed marketing campaigns can generate spikes in revenue. Optimizing inventory and marketing efforts around these periods ensures high-margin products are promoted.
10. Supplier and Vendor Relationships
Volume Discounts: Retailers can improve their margin by negotiating bulk purchasing agreements or volume discounts with suppliers. This reduces the cost of goods sold (COGS) and increases profitability, especially when those savings are not passed on directly to consumers.
Exclusive Agreements: Establishing exclusive partnerships with vendors or suppliers allows retailers to sell unique products or product lines, often at higher margins.
11. Store Location and Layout
Strategic Locations: Retailers that choose store locations in high-traffic areas or shopping hubs often see higher sales volume. However, this needs to be balanced with rent costs to ensure profitability.
Optimized Store Layouts: Effective store layouts that encourage impulse buys and increase customer dwell time can directly impact revenue and margin by promoting high-margin products in prime locations.
12. Technology and Automation
AI in Decision Making: Retailers leveraging AI for inventory forecasting, demand prediction, and customer behavior analysis can make more informed decisions that drive both revenue and profit margins.
Automation in Operations: Adopting automation, from warehouse management to customer service chatbots, reduces labor costs and improves operational efficiency, positively impacting margins.</t>
  </si>
  <si>
    <t>For the UAE retail sector in 2024, projections indicate strong growth driven by increased consumer spending and robust e-commerce expansion.
Overall Retail Growth: The UAE retail market is expected to grow at a CAGR of over 5% from 2022 to 2027, with the total market size reaching AED 306.6 billion in 2022. This growth is fueled by high consumer confidence and international tourism​.
E-commerce Surge: The UAE's e-commerce market has shown impressive growth, with spending increasing by 15% in 2023 and projected to continue expanding. By 2025, the e-commerce market is expected to reach $8 billion. This growth is largely driven by mobile commerce and consumer preference for online shopping​.
Consumer Spending: Consumer spending rose by 13% in 2023, with notable increases in fashion (31%), general retail (16%), and hypermarkets (3%). This growth is linked to the rise in tourism and economic recovery​.
These trends reflect the UAE's continued momentum in the retail sector, supported by a strong economy, rising tourism, and expanding digital channel</t>
  </si>
  <si>
    <t>January's performance is solid, but COGS needs closer monitoring to protect margins. A focus on cost management and streamlining operational processes will be key for sustaining profitability.</t>
  </si>
  <si>
    <t xml:space="preserve">Summary </t>
  </si>
  <si>
    <t>P&amp;L global</t>
  </si>
  <si>
    <t>February’s performance underscores the importance of cost management. The improved gross margin and profitability should serve as a blueprint moving forward, with attention focused on reversing the revenue decline by expanding product offerings or boosting marketing efforts.</t>
  </si>
  <si>
    <t>March’s results require swift intervention to address the decline in both revenue and profitability. Cost-cutting measures and efforts to boost sales volume should be a top priority moving forward.</t>
  </si>
  <si>
    <t>April shows some signs of recovery, but the results are mixed. The increase in sales volume is positive, but cost management needs to be tighter, especially as margins are still under pressure.</t>
  </si>
  <si>
    <t>The YTD analysis by May reveals significant volatility. While some cost-saving measures are taking effect, the revenue inconsistency has impacted profitability. The focus should shift to stabilizing revenue streams while maintaining the current cost structure to prevent further erosion of EBITDA and net income.</t>
  </si>
  <si>
    <t>By June, the YTD results show a successful recovery, with strong profitability driven by improved cost management. The challenge now is to maintain the cost discipline and continue growing revenue consistently. The first half of the year closes on a strong note, with key lessons learned in cost control and revenue stabilization that should be carried forward.</t>
  </si>
  <si>
    <t>July continues the upward trend in revenue but also shows early signs of margin pressure due to higher operating costs. This could hinder profitability moving forward unless costs are better aligned with revenue growth.</t>
  </si>
  <si>
    <t>The YTD performance through August shows increasing revenue volatility and challenges in aligning costs with revenue. There is an urgent need to better manage operating expenses, particularly personnel costs, while also stabilizing sales volumes and improving pricing strategies</t>
  </si>
  <si>
    <t>By September, the YTD performance shows that better cost control and pricing recovery are starting to stabilize profitability. However, ongoing efforts to boost sales volume and maintain cost discipline will be essential to sustain this positive trend.</t>
  </si>
  <si>
    <t>October’s results suggest a potential downward trend in both revenue and profitability. While the business remains profitable, cost pressures are rising, and revenue stability remains an issue. A focus on controlling COGS and improving pricing strategies is crucial moving forward.</t>
  </si>
  <si>
    <t>By November, the YTD results reveal significant challenges with both pricing and cost control. While sales volume has shown improvement, pricing erosion and rising COGS are compressing margins, leading to near-zero profitability. Immediate action is needed to address both pricing strategies and cost containment.</t>
  </si>
  <si>
    <t>December’s YTD performance reflects a difficult year overall, with significant volatility in both revenue and profitability. The final months highlight persistent pricing challenges, volume fluctuations, and cost pressure. For the upcoming year, the focus must be on stabilizing pricing strategies, enhancing sales volumes, and further reducing operating costs to protect margins and profitability.</t>
  </si>
  <si>
    <t>Global insight</t>
  </si>
  <si>
    <t>Monthly variation</t>
  </si>
  <si>
    <t>Revenue: At $13,746K, revenue is strong, marking a solid start to the year. However, it is crucial to sustain this level in the upcoming months. The focus should be on monitoring market conditions to capitalize on this positive momentum.
	COGS: COGS at $10,563K represents 77% of revenue, leaving a gross margin of 23%. This suggests a need for tighter cost control on production or supply chain management, as margins are on the lower end. Exploring ways to negotiate better supplier terms could enhance gross margins.
	Operating Expenses: Personnel costs are reasonable at $991K, while facility and administrative costs are stable. A good starting point, but there’s room for improvement through optimization and automation of back-office processes.
	EBITDA: Positive at $618K, but still moderate. This is a good foundation for the year, but additional efforts should focus on reducing operational inefficiencies to increase profitability.
	Net Result: The net result of $617K shows healthy profitability, but the close alignment between financial income and costs indicates little operational profit. Leveraging more efficient financial strategies, like lowering interest costs, could boost net income.</t>
  </si>
  <si>
    <t>Revenue: Decreased to $10,798K (-4% from November), marking the lowest revenue since March. Price Effect: Negative impact of -$253.21K, indicating continued pricing challenges. Volume Effect: Negative volume effect of -$228.96K, reflecting lower sales volume at the end of the year.
COGS: COGS dropped slightly to $7,766K, improving the gross margin to 28%, but still below optimal levels.
Operating Expenses: Personnel costs remained stable at $1,033K, with minimal changes to facility and administration expenses.
EBITDA: Modest recovery to $398K, driven by better cost control.
Net Result: Net income of $395K is an improvement but still reflects the challenges of revenue stabilization and pricing.</t>
  </si>
  <si>
    <t>Revenue: A 7% decline in revenue to $12,726K indicates a slowdown. Given the strong start, this might be seasonally influenced, but addressing potential issues early, such as marketing or sales channel optimization, is critical to avoid further declines. Price Effect: Positive impact of $710.68K indicates that pricing strategies were effective in mitigating the revenue drop. Volume Effect: A significant negative volume effect of -$1,729.92K shows that a drop in sales volume was the primary driver of the revenue decline.
COGS: COGS fell to $9,024K, improving the gross margin to 29%, a notable improvement from January. The decrease in COGS signals better cost control, likely from procurement efficiencies or better inventory management.
Operating Expenses: Personnel costs dropped slightly to $939K, suggesting cost-saving measures were implemented. However, a more aggressive approach to reducing overhead in light of declining revenue could be beneficial.
EBITDA: Strong improvement to $1,190K, highlighting the benefits of cost control despite lower revenue.
Net Result: The net result improved to $1,213K, driven by better margins and cost controls. This suggests the organization is capable of maintaining profitability even when top-line revenue falls, though this may not be sustainable if the revenue continues to drop.</t>
  </si>
  <si>
    <t>Revenue: A sharp decline to $10,797K (-15% from February) signals a need for immediate action to understand whether external factors or internal inefficiencies are driving the drop. Price Effect: Negative price effect of -$359.05K, indicating that pricing adjustments might have hurt revenue. Volume Effect: Negative volume effect of -$1,570.76K shows continued pressure on sales volume.
COGS: COGS dropped to $8,409K, which helped maintain gross margins at 22%, though still below the optimal range.
Operating Expenses: Personnel costs increased to $1,007K, which, combined with declining revenue, put additional pressure on margins.
EBITDA: Negative EBITDA of -$226K shows that the cost structure is not aligned with the current revenue level, necessitating a closer look at operational efficiencies.
Net Result: Net loss of -$221K is a clear red flag, and significant changes need to be made to reverse the downward trend.</t>
  </si>
  <si>
    <t>Revenue: A modest recovery to $12,478K (+16% from March) is encouraging but still below January levels, suggesting that market volatility persists. Price Effect: Negative price effect of -$367.86K, indicating that pricing strategies are not yet fully optimized. Volume Effect: Strong positive volume effect of $2,049.60K shows a recovery in sales volume, which drove the revenue growth.
COGS: COGS increased to $9,583K, keeping gross margin at 23%. Margins are still under pressure, which necessitates ongoing cost management.
Operating Expenses: Personnel costs increased to $1,048K, which could point to inefficiencies in workforce management.
EBITDA: Positive EBITDA of $256K signals an improvement, though profitability remains fragile.
Net Result: A net income of $265K shows that profitability is recovering but remains tenuous.</t>
  </si>
  <si>
    <t>Revenue: Slight dip to $11,877K (-5% from April) suggests fluctuating market conditions. It’s important to understand whether this decline is market-driven or internal and address it accordingly. Price Effect: Positive impact of $361.18K, showing that price increases are helping offset some of the revenue decline. Volume Effect: Negative volume effect of -$962.49K, suggesting lower sales volume is driving the revenue drop.
COGS: Margins remain tight with COGS at $9,482K, reducing gross margin to 20%. This further highlights the need for better procurement strategies or cost management in production.
Operating Expenses: A reduction in personnel costs to $900K indicates some level of cost-saving measures, which is a positive response to the revenue decline.
EBITDA: Negative EBITDA of -$81K points to ongoing struggles with profitability. Further cost containment is necessary to avoid deeper losses.
Net Result: Net loss of -$109K is a red flag, as the company is slipping back into unprofitability. This calls for a reassessment of both revenue generation and cost containment strategies.</t>
  </si>
  <si>
    <t>Revenue: Rebound to $12,578K (+6% from May), indicating that corrective actions may be taking effect. The upward trend is promising, but sustaining it will require ongoing marketing and sales efforts. Price Effect: Significant positive impact of $1,276.11K, reflecting successful pricing strategies. Volume Effect: Negative volume effect of -$575.39K, which shows volume still lags behind pricing improvements.
COGS: A sharp drop in COGS to $7,875K significantly boosted gross margins to 37%, the highest of the year. This is a positive sign that cost management strategies are working.
Operating Expenses: Stable personnel costs at $927K and well-controlled facility and admin costs indicate strong operational discipline.
EBITDA: EBITDA surged to $2,199K, reflecting a highly profitable month. This demonstrates the company’s ability to operate efficiently when revenue is aligned with cost controls.
Net Result: Excellent net result of $2,188K, suggesting a highly profitable month and a successful turnaround from earlier losses.</t>
  </si>
  <si>
    <t>Revenue: Increased to $13,118K (+4% from June), indicating continued recovery. Price Effect: Negative impact of -$1,027.25K, showing pricing strategies need review. Volume Effect: Positive impact of $1,567.33K, showing that strong sales volume drove revenue growth.
COGS: Increased to $9,647K, putting pressure on margins, which dropped to 26%.
Operating Expenses: Personnel costs surged to $1,130K, adding pressure to profitability.
EBITDA: Positive at $759K, though lower than the previous month, highlighting margin pressure from higher operating expenses.
Net Result: Net income of $768K, still positive, but profitability is under pressure due to rising costs.</t>
  </si>
  <si>
    <t>Revenue: Declined to $11,067K (-16% from July), reflecting significant volatility. Price Effect: Negative impact of -$709.27K, suggesting that pricing strategies were less effective this month. Volume Effect: Negative impact of -$1,341.89K, indicating a sharp drop in sales volume, which was the main driver behind the revenue decline.
COGS: COGS decreased slightly to $8,940K, but the gross margin fell to 19%, showing that cost reductions were not sufficient to offset the revenue decline.
Operating Expenses: Personnel costs remained high at $1,034K, suggesting that cost controls need to be tightened, especially as revenue drops.
EBITDA: Negative EBITDA of -$516K highlights the challenge of maintaining profitability when revenue falls and operating expenses remain high.
Net Result: Net loss of -$502K shows the company’s financial health is deteriorating as revenue declines and costs stay high.</t>
  </si>
  <si>
    <t>Revenue: Recovered slightly to $11,488K (+4% from August), indicating some stabilization. Price Effect: Positive impact of $691.53K, showing a recovery in pricing strategy. Volume Effect: Negative impact of -$270.68K, suggesting that while pricing improved, sales volume remained low.
COGS: Decreased to $8,198K, resulting in a gross margin of 29%, an improvement from the previous month.
Operating Expenses: Personnel costs stabilized at $927K, which helped improve margins.
EBITDA: Positive EBITDA of $797K marks a return to profitability after August’s losses.
Net Result: Net income of $807K is a strong recovery, driven by better cost management and improved pricing.</t>
  </si>
  <si>
    <t>Revenue: Slight decline to $11,353K (-1% from September), showing continued volatility. Price Effect: Negative impact of -$106.91K, indicating slight downward pressure on prices. Volume Effect: Minimal negative volume impact of -$27.49K, suggesting stable but slightly declining sales volume.
COGS: Increased to $8,357K, pushing the gross margin down to 26%. This is a concern as the margin compression could further impact profitability.
Operating Expenses: Personnel costs increased slightly to $1,071K, adding to the overall cost burden.
EBITDA: Positive but low at $339K, showing that profitability is under strain.
Net Result: Net income of $328K is positive but reflects a weakening financial position.</t>
  </si>
  <si>
    <t>Revenue: Decreased to $11,280K (-0.6% from October), continuing the trend of slight declines.Price Effect: Negative price effect of -$393.92K, indicating further price erosion. Volume Effect: Positive volume effect of $320.47K, showing that sales volume improved, but pricing challenges remain.
COGS: Increased to $8,524K, reducing the gross margin to 24%, continuing the margin pressure seen in previous months.
Operating Expenses: Personnel costs remained stable at $1,066K, and facility and administrative expenses remained well managed.
EBITDA: EBITDA was very low at $100K, indicating continued margin pressure.
Net Result: Net result of $93K shows that profitability has almost eroded entirely.</t>
  </si>
  <si>
    <t xml:space="preserve">   Debit/Credit entries to Debit/Credit accounts</t>
  </si>
  <si>
    <r>
      <rPr>
        <b/>
        <u/>
        <sz val="11"/>
        <color theme="0"/>
        <rFont val="Aptos Narrow"/>
        <family val="2"/>
        <scheme val="minor"/>
      </rPr>
      <t>1.	Highlight Key Trends:</t>
    </r>
    <r>
      <rPr>
        <sz val="11"/>
        <color theme="0"/>
        <rFont val="Aptos Narrow"/>
        <family val="2"/>
        <scheme val="minor"/>
      </rPr>
      <t xml:space="preserve">
Revenue Trends: Is the revenue increasing or decreasing compared to the prior period? Identify any significant shifts.
Cost of Goods Sold (COGS):Compare COGS with revenue growth. If COGS is increasing faster than revenue, this may indicate margin pressure.
Operating Expenses:Examine if operating expenses are growing in line with revenue or disproportionately affecting profitability.
Profit Margins: Analyze whether Gross Profit, Operating Margin, and Net Profit Margin are improving or declining.
Net Income: Highlight any major shifts in net income and its drivers, such as increased operating expenses or higher taxes.
</t>
    </r>
    <r>
      <rPr>
        <b/>
        <u/>
        <sz val="11"/>
        <color theme="0"/>
        <rFont val="Aptos Narrow"/>
        <family val="2"/>
        <scheme val="minor"/>
      </rPr>
      <t>2.	Summarize Financial Health:</t>
    </r>
    <r>
      <rPr>
        <sz val="11"/>
        <color theme="0"/>
        <rFont val="Aptos Narrow"/>
        <family val="2"/>
        <scheme val="minor"/>
      </rPr>
      <t xml:space="preserve">
Provide a summary of the overall P&amp;L health by focusing on:
o	Revenue growth or decline.
o	Cost control and margin protection (i.e., gross margin stability).
o	Profitability indicators (operating and net income).
o	Any red flags in expense management or significant changes in profitability.
</t>
    </r>
    <r>
      <rPr>
        <b/>
        <u/>
        <sz val="11"/>
        <color theme="0"/>
        <rFont val="Aptos Narrow"/>
        <family val="2"/>
        <scheme val="minor"/>
      </rPr>
      <t>3.	Basic version recommendations:</t>
    </r>
    <r>
      <rPr>
        <sz val="11"/>
        <color theme="0"/>
        <rFont val="Aptos Narrow"/>
        <family val="2"/>
        <scheme val="minor"/>
      </rPr>
      <t xml:space="preserve">
Provide actionable insights based on the trends:
o	If Revenue is down, suggest reviewing sales performance or expanding product/service offerings.
o	If COGS is increasing too quickly, recommend revisiting supplier agreements or optimizing production efficiency.
o	If Operating Expenses are rising disproportionately, suggest focusing on cost containment strategies.
o	Emphasize profit margin improvement by focusing on better cost management and revenue optimization strategies.
</t>
    </r>
    <r>
      <rPr>
        <b/>
        <u/>
        <sz val="11"/>
        <color theme="0"/>
        <rFont val="Aptos Narrow"/>
        <family val="2"/>
        <scheme val="minor"/>
      </rPr>
      <t>4. Report Formatting:</t>
    </r>
    <r>
      <rPr>
        <sz val="11"/>
        <color theme="0"/>
        <rFont val="Aptos Narrow"/>
        <family val="2"/>
        <scheme val="minor"/>
      </rPr>
      <t xml:space="preserve">
•	Output the analysis in a structured report format that includes:
o	Key P&amp;L metrics (Revenue, COGS, Operating Income, Net Income).
o	Changes in each metric (current vs. prior period).
o	Key profit margins (Gross, Operating, and Net Margin).
o	A short summary of financial performance and key recommendations.</t>
    </r>
  </si>
  <si>
    <t>Revenue Growth Pressure: While EBITDA has improved, profitability is still negative. The company needs to accelerate revenue generation strategies to drive sustainable growth. Initiating more aggressive sales, possibly offering promotions to attract new clients, and focusing on client retention strategies will be essential.
Working Capital Mismanagement: The major concern is the significant increase in accounts receivable, which has put tremendous pressure on cash flow from operations. There needs to be a heightened focus on tightening credit terms and speeding up collections. Simultaneously, the rising DIO (though reduced slightly in November) indicates that inventory management must be more agile and in line with sales demand to prevent future cash blockages.
Supplier and Vendor Terms: The sharp decline in accounts payable variation indicates that the company is paying off its suppliers too quickly, which doesn’t align with its inflow timing. To prevent further cash depletion, the company should renegotiate supplier terms to allow for extended payment periods that better align with incoming cash flows.
Debt Strategy: While cash flow from financing has improved, this suggests a short-term reliance on external debt, which could lead to higher interest costs as shown in the financial cost increase. Reassessing the company’s capital structure and limiting unnecessary financial costs will be critical to maintaining long-term liquidity.
Cash Flow Stabilization: The company should prioritize stabilizing its operating cash flow by improving receivables collection, slowing down payables, and optimizing inventory levels. These changes will not only stabilize monthly cash flows but also reduce reliance on external financing.</t>
  </si>
  <si>
    <t>Profit and loss statement YTD</t>
  </si>
  <si>
    <t>AIFINA GENERATIVE AI</t>
  </si>
  <si>
    <r>
      <t xml:space="preserve">Your biggest client in Q1, based on total sales revenue, was </t>
    </r>
    <r>
      <rPr>
        <b/>
        <sz val="11"/>
        <color theme="1"/>
        <rFont val="Aptos Narrow"/>
        <family val="2"/>
        <scheme val="minor"/>
      </rPr>
      <t>Client 1</t>
    </r>
    <r>
      <rPr>
        <sz val="11"/>
        <color theme="1"/>
        <rFont val="Aptos Narrow"/>
        <family val="2"/>
        <scheme val="minor"/>
      </rPr>
      <t xml:space="preserve"> with a total revenue of </t>
    </r>
    <r>
      <rPr>
        <b/>
        <sz val="11"/>
        <color theme="1"/>
        <rFont val="Aptos Narrow"/>
        <family val="2"/>
        <scheme val="minor"/>
      </rPr>
      <t>21,367.82 K$</t>
    </r>
    <r>
      <rPr>
        <sz val="11"/>
        <color theme="1"/>
        <rFont val="Aptos Narrow"/>
        <family val="2"/>
        <scheme val="minor"/>
      </rPr>
      <t>.</t>
    </r>
  </si>
  <si>
    <r>
      <t xml:space="preserve">The working capital (accounts receivable) for </t>
    </r>
    <r>
      <rPr>
        <b/>
        <sz val="11"/>
        <color theme="1"/>
        <rFont val="Aptos Narrow"/>
        <family val="2"/>
        <scheme val="minor"/>
      </rPr>
      <t>Client 1</t>
    </r>
    <r>
      <rPr>
        <sz val="11"/>
        <color theme="1"/>
        <rFont val="Aptos Narrow"/>
        <family val="2"/>
        <scheme val="minor"/>
      </rPr>
      <t xml:space="preserve"> at the end of Q1 is:</t>
    </r>
  </si>
  <si>
    <r>
      <t>January</t>
    </r>
    <r>
      <rPr>
        <sz val="11"/>
        <color theme="1"/>
        <rFont val="Aptos Narrow"/>
        <family val="2"/>
        <scheme val="minor"/>
      </rPr>
      <t>: 4,248.90 K$</t>
    </r>
  </si>
  <si>
    <r>
      <t>February</t>
    </r>
    <r>
      <rPr>
        <sz val="11"/>
        <color theme="1"/>
        <rFont val="Aptos Narrow"/>
        <family val="2"/>
        <scheme val="minor"/>
      </rPr>
      <t>: 6,673.17 K$</t>
    </r>
  </si>
  <si>
    <r>
      <t>March</t>
    </r>
    <r>
      <rPr>
        <sz val="11"/>
        <color theme="1"/>
        <rFont val="Aptos Narrow"/>
        <family val="2"/>
        <scheme val="minor"/>
      </rPr>
      <t>: 10,445.75 K$</t>
    </r>
  </si>
  <si>
    <r>
      <t xml:space="preserve">So, the working capital for </t>
    </r>
    <r>
      <rPr>
        <b/>
        <sz val="11"/>
        <color theme="1"/>
        <rFont val="Aptos Narrow"/>
        <family val="2"/>
        <scheme val="minor"/>
      </rPr>
      <t>Client 1</t>
    </r>
    <r>
      <rPr>
        <sz val="11"/>
        <color theme="1"/>
        <rFont val="Aptos Narrow"/>
        <family val="2"/>
        <scheme val="minor"/>
      </rPr>
      <t xml:space="preserve"> in March is </t>
    </r>
    <r>
      <rPr>
        <b/>
        <sz val="11"/>
        <color theme="1"/>
        <rFont val="Aptos Narrow"/>
        <family val="2"/>
        <scheme val="minor"/>
      </rPr>
      <t>10,445.75 K$</t>
    </r>
    <r>
      <rPr>
        <sz val="11"/>
        <color theme="1"/>
        <rFont val="Aptos Narrow"/>
        <family val="2"/>
        <scheme val="minor"/>
      </rPr>
      <t>.</t>
    </r>
  </si>
  <si>
    <r>
      <t xml:space="preserve">The Days Sales Outstanding (DSO) for </t>
    </r>
    <r>
      <rPr>
        <b/>
        <sz val="11"/>
        <color theme="1"/>
        <rFont val="Aptos Narrow"/>
        <family val="2"/>
        <scheme val="minor"/>
      </rPr>
      <t>Client 1</t>
    </r>
    <r>
      <rPr>
        <sz val="11"/>
        <color theme="1"/>
        <rFont val="Aptos Narrow"/>
        <family val="2"/>
        <scheme val="minor"/>
      </rPr>
      <t xml:space="preserve"> during Q1 is as follows:</t>
    </r>
  </si>
  <si>
    <r>
      <t>January</t>
    </r>
    <r>
      <rPr>
        <sz val="11"/>
        <color theme="1"/>
        <rFont val="Aptos Narrow"/>
        <family val="2"/>
        <scheme val="minor"/>
      </rPr>
      <t>: 30 days</t>
    </r>
  </si>
  <si>
    <r>
      <t>February</t>
    </r>
    <r>
      <rPr>
        <sz val="11"/>
        <color theme="1"/>
        <rFont val="Aptos Narrow"/>
        <family val="2"/>
        <scheme val="minor"/>
      </rPr>
      <t>: 60 days</t>
    </r>
  </si>
  <si>
    <r>
      <t>March</t>
    </r>
    <r>
      <rPr>
        <sz val="11"/>
        <color theme="1"/>
        <rFont val="Aptos Narrow"/>
        <family val="2"/>
        <scheme val="minor"/>
      </rPr>
      <t>: 90 days</t>
    </r>
  </si>
  <si>
    <r>
      <t xml:space="preserve">So, the DSO for </t>
    </r>
    <r>
      <rPr>
        <b/>
        <sz val="11"/>
        <color theme="1"/>
        <rFont val="Aptos Narrow"/>
        <family val="2"/>
        <scheme val="minor"/>
      </rPr>
      <t>Client 1</t>
    </r>
    <r>
      <rPr>
        <sz val="11"/>
        <color theme="1"/>
        <rFont val="Aptos Narrow"/>
        <family val="2"/>
        <scheme val="minor"/>
      </rPr>
      <t xml:space="preserve"> increased throughout Q1, reaching 90 days in March.</t>
    </r>
  </si>
  <si>
    <r>
      <t xml:space="preserve">The Days Sales Outstanding (DSO) for </t>
    </r>
    <r>
      <rPr>
        <b/>
        <sz val="11"/>
        <color theme="1"/>
        <rFont val="Aptos Narrow"/>
        <family val="2"/>
        <scheme val="minor"/>
      </rPr>
      <t>Client 1</t>
    </r>
    <r>
      <rPr>
        <sz val="11"/>
        <color theme="1"/>
        <rFont val="Aptos Narrow"/>
        <family val="2"/>
        <scheme val="minor"/>
      </rPr>
      <t xml:space="preserve"> in Q4 is as follows:</t>
    </r>
  </si>
  <si>
    <r>
      <t>October</t>
    </r>
    <r>
      <rPr>
        <sz val="11"/>
        <color theme="1"/>
        <rFont val="Aptos Narrow"/>
        <family val="2"/>
        <scheme val="minor"/>
      </rPr>
      <t>: 90 days</t>
    </r>
  </si>
  <si>
    <r>
      <t>November</t>
    </r>
    <r>
      <rPr>
        <sz val="11"/>
        <color theme="1"/>
        <rFont val="Aptos Narrow"/>
        <family val="2"/>
        <scheme val="minor"/>
      </rPr>
      <t>: 38 days</t>
    </r>
  </si>
  <si>
    <r>
      <t>December</t>
    </r>
    <r>
      <rPr>
        <sz val="11"/>
        <color theme="1"/>
        <rFont val="Aptos Narrow"/>
        <family val="2"/>
        <scheme val="minor"/>
      </rPr>
      <t>: 61 days</t>
    </r>
  </si>
  <si>
    <t>The DSO fluctuated in Q4, decreasing significantly in November and then increasing slightly in December.</t>
  </si>
  <si>
    <t>Can you create a table with the three best client in terms of DSO in Q3?</t>
  </si>
  <si>
    <t>Here is a table showing the three best clients in terms of DSO for Q3 (July to September):</t>
  </si>
  <si>
    <t>July DSO (days)</t>
  </si>
  <si>
    <t>August DSO (days)</t>
  </si>
  <si>
    <t>September DSO (days)</t>
  </si>
  <si>
    <r>
      <t xml:space="preserve">These clients had the lowest DSO figures over the Q3 period, with </t>
    </r>
    <r>
      <rPr>
        <b/>
        <sz val="11"/>
        <color theme="1"/>
        <rFont val="Aptos Narrow"/>
        <family val="2"/>
        <scheme val="minor"/>
      </rPr>
      <t>Client 3</t>
    </r>
    <r>
      <rPr>
        <sz val="11"/>
        <color theme="1"/>
        <rFont val="Aptos Narrow"/>
        <family val="2"/>
        <scheme val="minor"/>
      </rPr>
      <t xml:space="preserve"> having the best DSO in September at 13 days.</t>
    </r>
  </si>
  <si>
    <t>What's the working capital of this client?</t>
  </si>
  <si>
    <t>Who was my biggest client in Q1?</t>
  </si>
  <si>
    <t>What was the DSO for this client?</t>
  </si>
  <si>
    <t>Can you give me the DSO of this same client in Q4?</t>
  </si>
  <si>
    <t>Alerts</t>
  </si>
  <si>
    <t>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</si>
</sst>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 &quot;€&quot;_-;\-* #,##0.00\ &quot;€&quot;_-;_-* &quot;-&quot;??\ &quot;€&quot;_-;_-@_-"/>
    <numFmt numFmtId="165" formatCode="_-* #,##0.00_-;\-* #,##0.00_-;_-* &quot;-&quot;??_-;_-@_-"/>
    <numFmt numFmtId="166" formatCode="_-* #,##0.00\ [$€-40C]_-;\-* #,##0.00\ [$€-40C]_-;_-* &quot;-&quot;??\ [$€-40C]_-;_-@_-"/>
    <numFmt numFmtId="167" formatCode="_-[$$-409]* #,##0.00_ ;_-[$$-409]* \-#,##0.00\ ;_-[$$-409]* &quot;-&quot;??_ ;_-@_ "/>
    <numFmt numFmtId="168" formatCode="_-[$$-409]* #,##0_ ;_-[$$-409]* \-#,##0\ ;_-[$$-409]* &quot;-&quot;??_ ;_-@_ "/>
    <numFmt numFmtId="169" formatCode="#,##0.00_ ;\-#,##0.00\ "/>
    <numFmt numFmtId="170" formatCode="#,##0.00,&quot; K$&quot;"/>
    <numFmt numFmtId="171" formatCode="#,##0,&quot; K$&quot;"/>
  </numFmts>
  <fonts count="125">
    <font>
      <sz val="11"/>
      <color theme="1"/>
      <name val="Aptos Narrow"/>
      <family val="2"/>
      <scheme val="minor"/>
    </font>
    <font>
      <sz val="11"/>
      <color theme="1"/>
      <name val="Aptos Narrow"/>
      <family val="2"/>
      <scheme val="minor"/>
    </font>
    <font>
      <b/>
      <sz val="11"/>
      <color theme="0"/>
      <name val="Aptos Narrow"/>
      <family val="2"/>
      <scheme val="minor"/>
    </font>
    <font>
      <sz val="11"/>
      <color rgb="FFFF0000"/>
      <name val="Aptos Narrow"/>
      <family val="2"/>
      <scheme val="minor"/>
    </font>
    <font>
      <b/>
      <sz val="11"/>
      <color theme="1"/>
      <name val="Aptos Narrow"/>
      <family val="2"/>
      <scheme val="minor"/>
    </font>
    <font>
      <i/>
      <sz val="8"/>
      <color rgb="FFFF0000"/>
      <name val="Aptos Narrow"/>
      <family val="2"/>
      <scheme val="minor"/>
    </font>
    <font>
      <sz val="8"/>
      <name val="Aptos Narrow"/>
      <family val="2"/>
      <scheme val="minor"/>
    </font>
    <font>
      <i/>
      <sz val="9"/>
      <color rgb="FFFF0000"/>
      <name val="Aptos Narrow"/>
      <family val="2"/>
      <scheme val="minor"/>
    </font>
    <font>
      <sz val="11"/>
      <name val="Aptos Narrow"/>
      <family val="2"/>
      <scheme val="minor"/>
    </font>
    <font>
      <i/>
      <sz val="9"/>
      <name val="Aptos Narrow"/>
      <family val="2"/>
      <scheme val="minor"/>
    </font>
    <font>
      <b/>
      <sz val="14"/>
      <color theme="1"/>
      <name val="Aptos Narrow"/>
      <family val="2"/>
      <scheme val="minor"/>
    </font>
    <font>
      <b/>
      <sz val="14"/>
      <color theme="0"/>
      <name val="Aptos Narrow"/>
      <family val="2"/>
      <scheme val="minor"/>
    </font>
    <font>
      <sz val="11"/>
      <color theme="1"/>
      <name val="Aptos Display"/>
      <family val="2"/>
      <scheme val="major"/>
    </font>
    <font>
      <sz val="12"/>
      <color theme="1"/>
      <name val="Aptos Display"/>
      <family val="2"/>
      <scheme val="major"/>
    </font>
    <font>
      <b/>
      <sz val="22"/>
      <color theme="1"/>
      <name val="Aptos Display"/>
      <family val="2"/>
      <scheme val="major"/>
    </font>
    <font>
      <sz val="12"/>
      <color theme="1"/>
      <name val="Aptos Narrow"/>
      <family val="2"/>
      <scheme val="minor"/>
    </font>
    <font>
      <b/>
      <sz val="11"/>
      <color theme="1"/>
      <name val="Aptos Display"/>
      <family val="2"/>
      <scheme val="major"/>
    </font>
    <font>
      <b/>
      <sz val="11"/>
      <color theme="0" tint="-0.499984740745262"/>
      <name val="Aptos Narrow"/>
      <family val="2"/>
      <scheme val="minor"/>
    </font>
    <font>
      <sz val="9"/>
      <color theme="1"/>
      <name val="Aptos Display"/>
      <family val="2"/>
      <scheme val="major"/>
    </font>
    <font>
      <b/>
      <sz val="14"/>
      <color theme="0" tint="-0.499984740745262"/>
      <name val="Aptos Narrow"/>
      <family val="2"/>
      <scheme val="minor"/>
    </font>
    <font>
      <b/>
      <sz val="9"/>
      <color theme="1"/>
      <name val="Aptos Display"/>
      <family val="2"/>
      <scheme val="major"/>
    </font>
    <font>
      <b/>
      <sz val="12"/>
      <color theme="1"/>
      <name val="Aptos Display"/>
      <family val="2"/>
      <scheme val="major"/>
    </font>
    <font>
      <i/>
      <sz val="10"/>
      <color theme="0" tint="-0.499984740745262"/>
      <name val="Aptos Narrow"/>
      <family val="2"/>
      <scheme val="minor"/>
    </font>
    <font>
      <u/>
      <sz val="11"/>
      <color theme="10"/>
      <name val="Aptos Narrow"/>
      <family val="2"/>
      <scheme val="minor"/>
    </font>
    <font>
      <i/>
      <sz val="12"/>
      <color theme="1"/>
      <name val="Aptos Display"/>
      <family val="2"/>
      <scheme val="major"/>
    </font>
    <font>
      <i/>
      <sz val="11"/>
      <color theme="0" tint="-0.14999847407452621"/>
      <name val="Aptos Display"/>
      <family val="2"/>
      <scheme val="major"/>
    </font>
    <font>
      <i/>
      <sz val="12"/>
      <color theme="0" tint="-0.14999847407452621"/>
      <name val="Aptos Display"/>
      <family val="2"/>
      <scheme val="major"/>
    </font>
    <font>
      <i/>
      <sz val="11"/>
      <color theme="0" tint="-0.14999847407452621"/>
      <name val="Aptos Narrow"/>
      <family val="2"/>
      <scheme val="minor"/>
    </font>
    <font>
      <b/>
      <i/>
      <sz val="14"/>
      <color theme="0" tint="-0.14999847407452621"/>
      <name val="Aptos Narrow"/>
      <family val="2"/>
      <scheme val="minor"/>
    </font>
    <font>
      <sz val="14"/>
      <color theme="1"/>
      <name val="Aptos Narrow"/>
      <family val="2"/>
      <scheme val="minor"/>
    </font>
    <font>
      <sz val="14"/>
      <color theme="1"/>
      <name val="Aptos Display"/>
      <family val="2"/>
      <scheme val="major"/>
    </font>
    <font>
      <b/>
      <sz val="16"/>
      <color theme="1"/>
      <name val="Aptos Narrow"/>
      <family val="2"/>
      <scheme val="minor"/>
    </font>
    <font>
      <b/>
      <sz val="16"/>
      <color theme="1"/>
      <name val="Aptos Display"/>
      <family val="2"/>
      <scheme val="major"/>
    </font>
    <font>
      <b/>
      <sz val="26"/>
      <color theme="0"/>
      <name val="Aptos Display"/>
      <family val="2"/>
      <scheme val="major"/>
    </font>
    <font>
      <b/>
      <sz val="11"/>
      <name val="Aptos Narrow"/>
      <family val="2"/>
      <scheme val="minor"/>
    </font>
    <font>
      <b/>
      <sz val="12"/>
      <name val="Aptos Display"/>
      <family val="2"/>
      <scheme val="major"/>
    </font>
    <font>
      <sz val="12"/>
      <name val="Aptos Display"/>
      <family val="2"/>
      <scheme val="major"/>
    </font>
    <font>
      <sz val="12"/>
      <color theme="0" tint="-0.499984740745262"/>
      <name val="Aptos Narrow"/>
      <family val="2"/>
      <scheme val="minor"/>
    </font>
    <font>
      <sz val="12"/>
      <name val="Aptos Narrow"/>
      <family val="2"/>
      <scheme val="minor"/>
    </font>
    <font>
      <sz val="11"/>
      <name val="Aptos Display"/>
      <family val="2"/>
      <scheme val="major"/>
    </font>
    <font>
      <b/>
      <sz val="16"/>
      <name val="Aptos Narrow"/>
      <family val="2"/>
      <scheme val="minor"/>
    </font>
    <font>
      <b/>
      <sz val="26"/>
      <name val="Aptos Display"/>
      <family val="2"/>
      <scheme val="major"/>
    </font>
    <font>
      <sz val="14"/>
      <name val="Aptos Display"/>
      <family val="2"/>
      <scheme val="major"/>
    </font>
    <font>
      <sz val="14"/>
      <name val="Aptos Narrow"/>
      <family val="2"/>
      <scheme val="minor"/>
    </font>
    <font>
      <b/>
      <sz val="12"/>
      <name val="Aptos Narrow"/>
      <family val="2"/>
      <scheme val="minor"/>
    </font>
    <font>
      <b/>
      <sz val="14"/>
      <color theme="1"/>
      <name val="Aptos Display"/>
      <family val="2"/>
      <scheme val="major"/>
    </font>
    <font>
      <b/>
      <sz val="20"/>
      <name val="Aptos Display"/>
      <family val="2"/>
      <scheme val="major"/>
    </font>
    <font>
      <b/>
      <sz val="14"/>
      <name val="Aptos Display"/>
      <family val="2"/>
      <scheme val="major"/>
    </font>
    <font>
      <b/>
      <sz val="11"/>
      <name val="Aptos Display"/>
      <family val="2"/>
      <scheme val="major"/>
    </font>
    <font>
      <b/>
      <sz val="8"/>
      <name val="Aptos Display"/>
      <family val="2"/>
      <scheme val="major"/>
    </font>
    <font>
      <b/>
      <i/>
      <sz val="12"/>
      <color theme="0" tint="-0.14999847407452621"/>
      <name val="Aptos Display"/>
      <family val="2"/>
      <scheme val="major"/>
    </font>
    <font>
      <b/>
      <i/>
      <sz val="18"/>
      <name val="Aptos Display"/>
      <family val="2"/>
      <scheme val="major"/>
    </font>
    <font>
      <i/>
      <sz val="14"/>
      <name val="Aptos Display"/>
      <family val="2"/>
      <scheme val="major"/>
    </font>
    <font>
      <b/>
      <i/>
      <sz val="14"/>
      <color theme="1"/>
      <name val="Aptos Display"/>
      <family val="2"/>
      <scheme val="major"/>
    </font>
    <font>
      <b/>
      <sz val="14"/>
      <name val="Aptos Narrow"/>
      <family val="2"/>
      <scheme val="minor"/>
    </font>
    <font>
      <i/>
      <sz val="14"/>
      <color theme="1"/>
      <name val="Aptos Narrow"/>
      <family val="2"/>
      <scheme val="minor"/>
    </font>
    <font>
      <i/>
      <sz val="12"/>
      <color theme="1"/>
      <name val="Aptos Narrow"/>
      <family val="2"/>
      <scheme val="minor"/>
    </font>
    <font>
      <i/>
      <sz val="9"/>
      <color theme="1"/>
      <name val="Aptos Display"/>
      <family val="2"/>
      <scheme val="major"/>
    </font>
    <font>
      <i/>
      <sz val="8"/>
      <color theme="1"/>
      <name val="Aptos Display"/>
      <family val="2"/>
      <scheme val="major"/>
    </font>
    <font>
      <u/>
      <sz val="11"/>
      <color theme="1"/>
      <name val="Aptos Display"/>
      <family val="2"/>
      <scheme val="major"/>
    </font>
    <font>
      <b/>
      <sz val="14"/>
      <color theme="3" tint="9.9978637043366805E-2"/>
      <name val="Aptos Display"/>
      <family val="2"/>
      <scheme val="major"/>
    </font>
    <font>
      <b/>
      <sz val="20"/>
      <color theme="3" tint="9.9978637043366805E-2"/>
      <name val="Aptos Display"/>
      <family val="2"/>
      <scheme val="major"/>
    </font>
    <font>
      <b/>
      <sz val="16"/>
      <color theme="3" tint="9.9978637043366805E-2"/>
      <name val="Aptos Narrow"/>
      <family val="2"/>
      <scheme val="minor"/>
    </font>
    <font>
      <sz val="11"/>
      <color theme="3" tint="9.9978637043366805E-2"/>
      <name val="Aptos Narrow"/>
      <family val="2"/>
      <scheme val="minor"/>
    </font>
    <font>
      <b/>
      <sz val="12"/>
      <color theme="3" tint="9.9978637043366805E-2"/>
      <name val="Aptos Display"/>
      <family val="2"/>
      <scheme val="major"/>
    </font>
    <font>
      <i/>
      <sz val="9"/>
      <color theme="1"/>
      <name val="Aptos Narrow"/>
      <family val="2"/>
      <scheme val="minor"/>
    </font>
    <font>
      <i/>
      <sz val="9"/>
      <color rgb="FFFF0000"/>
      <name val="Aptos Display"/>
      <family val="2"/>
      <scheme val="major"/>
    </font>
    <font>
      <u/>
      <sz val="11"/>
      <name val="Aptos Display"/>
      <family val="2"/>
      <scheme val="major"/>
    </font>
    <font>
      <i/>
      <u/>
      <sz val="11"/>
      <color theme="4"/>
      <name val="Aptos Display"/>
      <family val="2"/>
      <scheme val="major"/>
    </font>
    <font>
      <sz val="8"/>
      <name val="Aptos Display"/>
      <family val="2"/>
      <scheme val="major"/>
    </font>
    <font>
      <b/>
      <sz val="9"/>
      <color theme="3" tint="9.9978637043366805E-2"/>
      <name val="Aptos Narrow"/>
      <family val="2"/>
      <scheme val="minor"/>
    </font>
    <font>
      <b/>
      <sz val="18"/>
      <color theme="4"/>
      <name val="Aptos Display"/>
      <family val="2"/>
      <scheme val="major"/>
    </font>
    <font>
      <b/>
      <u/>
      <sz val="11"/>
      <color theme="10"/>
      <name val="Aptos Narrow"/>
      <family val="2"/>
      <scheme val="minor"/>
    </font>
    <font>
      <i/>
      <sz val="11"/>
      <color theme="1"/>
      <name val="Aptos Narrow"/>
      <family val="2"/>
      <scheme val="minor"/>
    </font>
    <font>
      <u/>
      <sz val="11"/>
      <color theme="1"/>
      <name val="Aptos Narrow"/>
      <family val="2"/>
      <scheme val="minor"/>
    </font>
    <font>
      <b/>
      <i/>
      <sz val="14"/>
      <name val="Aptos Display"/>
      <family val="2"/>
      <scheme val="major"/>
    </font>
    <font>
      <b/>
      <sz val="10"/>
      <name val="Aptos Display"/>
      <family val="2"/>
      <scheme val="major"/>
    </font>
    <font>
      <sz val="9"/>
      <color theme="1"/>
      <name val="Aptos Narrow"/>
      <family val="2"/>
      <scheme val="minor"/>
    </font>
    <font>
      <i/>
      <sz val="9"/>
      <color theme="0" tint="-0.14999847407452621"/>
      <name val="Aptos Narrow"/>
      <family val="2"/>
      <scheme val="minor"/>
    </font>
    <font>
      <b/>
      <i/>
      <sz val="14"/>
      <color theme="3" tint="0.499984740745262"/>
      <name val="Aptos Display"/>
      <family val="2"/>
      <scheme val="major"/>
    </font>
    <font>
      <sz val="13.5"/>
      <name val="Aptos Display"/>
      <family val="2"/>
      <scheme val="major"/>
    </font>
    <font>
      <b/>
      <u/>
      <sz val="14"/>
      <color theme="3" tint="9.9978637043366805E-2"/>
      <name val="Aptos Display"/>
      <family val="2"/>
      <scheme val="major"/>
    </font>
    <font>
      <b/>
      <sz val="11"/>
      <color theme="3" tint="0.499984740745262"/>
      <name val="Aptos Narrow"/>
      <family val="2"/>
      <scheme val="minor"/>
    </font>
    <font>
      <sz val="14"/>
      <color theme="0"/>
      <name val="Aptos Display"/>
      <family val="2"/>
      <scheme val="major"/>
    </font>
    <font>
      <u/>
      <sz val="12"/>
      <color theme="1"/>
      <name val="Aptos Display"/>
      <family val="2"/>
      <scheme val="major"/>
    </font>
    <font>
      <u/>
      <sz val="12"/>
      <name val="Aptos Display"/>
      <family val="2"/>
      <scheme val="major"/>
    </font>
    <font>
      <b/>
      <u/>
      <sz val="12"/>
      <color theme="3" tint="9.9978637043366805E-2"/>
      <name val="Aptos Display"/>
      <family val="2"/>
      <scheme val="major"/>
    </font>
    <font>
      <u/>
      <sz val="12"/>
      <color theme="1"/>
      <name val="Aptos Narrow"/>
      <family val="2"/>
      <scheme val="minor"/>
    </font>
    <font>
      <u/>
      <sz val="11"/>
      <name val="Aptos Narrow"/>
      <family val="2"/>
      <scheme val="minor"/>
    </font>
    <font>
      <b/>
      <u/>
      <sz val="11"/>
      <color theme="4"/>
      <name val="Aptos Narrow"/>
      <family val="2"/>
      <scheme val="minor"/>
    </font>
    <font>
      <sz val="11"/>
      <color theme="0"/>
      <name val="Aptos Narrow"/>
      <family val="2"/>
      <scheme val="minor"/>
    </font>
    <font>
      <sz val="10"/>
      <color theme="1"/>
      <name val="Aptos Narrow"/>
      <family val="2"/>
      <scheme val="minor"/>
    </font>
    <font>
      <b/>
      <sz val="10"/>
      <color theme="3" tint="9.9978637043366805E-2"/>
      <name val="Aptos Display"/>
      <family val="2"/>
      <scheme val="major"/>
    </font>
    <font>
      <sz val="10"/>
      <color theme="1"/>
      <name val="Aptos Display"/>
      <family val="2"/>
      <scheme val="major"/>
    </font>
    <font>
      <sz val="10"/>
      <color theme="0"/>
      <name val="Aptos Display"/>
      <family val="2"/>
      <scheme val="major"/>
    </font>
    <font>
      <sz val="11"/>
      <color theme="0"/>
      <name val="Aptos Display"/>
      <family val="2"/>
      <scheme val="major"/>
    </font>
    <font>
      <i/>
      <u/>
      <sz val="14"/>
      <color theme="0"/>
      <name val="Aptos Display"/>
      <family val="2"/>
      <scheme val="major"/>
    </font>
    <font>
      <b/>
      <i/>
      <u/>
      <sz val="11"/>
      <color theme="0" tint="-0.499984740745262"/>
      <name val="Aptos Narrow"/>
      <family val="2"/>
      <scheme val="minor"/>
    </font>
    <font>
      <sz val="12"/>
      <color theme="0"/>
      <name val="Aptos Display"/>
      <family val="2"/>
      <scheme val="major"/>
    </font>
    <font>
      <u/>
      <sz val="12"/>
      <color theme="0"/>
      <name val="Aptos Display"/>
      <family val="2"/>
      <scheme val="major"/>
    </font>
    <font>
      <b/>
      <sz val="12"/>
      <color theme="1"/>
      <name val="Aptos Narrow"/>
      <family val="2"/>
      <scheme val="minor"/>
    </font>
    <font>
      <b/>
      <sz val="20"/>
      <color theme="3"/>
      <name val="Aptos Display"/>
      <family val="2"/>
      <scheme val="major"/>
    </font>
    <font>
      <b/>
      <sz val="9"/>
      <color theme="1"/>
      <name val="Aptos Narrow"/>
      <family val="2"/>
      <scheme val="minor"/>
    </font>
    <font>
      <sz val="20"/>
      <color theme="0"/>
      <name val="Aptos Narrow"/>
      <family val="2"/>
      <scheme val="minor"/>
    </font>
    <font>
      <b/>
      <sz val="14"/>
      <color theme="0"/>
      <name val="Aptos Display"/>
      <family val="2"/>
      <scheme val="major"/>
    </font>
    <font>
      <b/>
      <i/>
      <sz val="14"/>
      <color theme="0"/>
      <name val="Aptos Display"/>
      <family val="2"/>
      <scheme val="major"/>
    </font>
    <font>
      <b/>
      <sz val="16"/>
      <color theme="0"/>
      <name val="Aptos Narrow"/>
      <family val="2"/>
      <scheme val="minor"/>
    </font>
    <font>
      <b/>
      <sz val="14"/>
      <color rgb="FF122D4D"/>
      <name val="Aptos Display"/>
      <family val="2"/>
      <scheme val="major"/>
    </font>
    <font>
      <b/>
      <u/>
      <sz val="11"/>
      <color theme="0"/>
      <name val="Aptos Narrow"/>
      <family val="2"/>
      <scheme val="minor"/>
    </font>
    <font>
      <sz val="11"/>
      <name val="Mulish"/>
    </font>
    <font>
      <b/>
      <i/>
      <sz val="14"/>
      <color rgb="FF122D4D"/>
      <name val="Aptos Display"/>
      <family val="2"/>
      <scheme val="major"/>
    </font>
    <font>
      <b/>
      <sz val="18"/>
      <name val="Aptos Narrow"/>
      <family val="2"/>
      <scheme val="minor"/>
    </font>
    <font>
      <b/>
      <sz val="18"/>
      <color theme="0"/>
      <name val="Aptos Display"/>
      <family val="2"/>
      <scheme val="major"/>
    </font>
    <font>
      <b/>
      <sz val="11"/>
      <color rgb="FF426FA1"/>
      <name val="Aptos Narrow"/>
      <family val="2"/>
      <scheme val="minor"/>
    </font>
    <font>
      <sz val="11"/>
      <color rgb="FF426FA1"/>
      <name val="Aptos Narrow"/>
      <family val="2"/>
      <scheme val="minor"/>
    </font>
    <font>
      <b/>
      <sz val="14"/>
      <color rgb="FF426FA1"/>
      <name val="Aptos Narrow"/>
      <family val="2"/>
      <scheme val="minor"/>
    </font>
    <font>
      <b/>
      <sz val="14"/>
      <color rgb="FF426FA1"/>
      <name val="Aptos Display"/>
      <family val="2"/>
      <scheme val="major"/>
    </font>
    <font>
      <u/>
      <sz val="11"/>
      <color rgb="FFFF0000"/>
      <name val="Aptos Narrow"/>
      <family val="2"/>
      <scheme val="minor"/>
    </font>
    <font>
      <sz val="8"/>
      <color rgb="FFFF0000"/>
      <name val="Aptos Display"/>
      <family val="2"/>
      <scheme val="major"/>
    </font>
    <font>
      <b/>
      <u/>
      <sz val="14"/>
      <color rgb="FFFF0000"/>
      <name val="Aptos Display"/>
      <family val="2"/>
      <scheme val="major"/>
    </font>
    <font>
      <sz val="11"/>
      <color rgb="FFFF0000"/>
      <name val="Aptos Display"/>
      <family val="2"/>
      <scheme val="major"/>
    </font>
    <font>
      <sz val="11"/>
      <color rgb="FF122D4D"/>
      <name val="Aptos Narrow"/>
      <family val="2"/>
      <scheme val="minor"/>
    </font>
    <font>
      <b/>
      <sz val="11"/>
      <color rgb="FF122D4D"/>
      <name val="Aptos Narrow"/>
      <family val="2"/>
      <scheme val="minor"/>
    </font>
    <font>
      <sz val="12"/>
      <color rgb="FF122D4D"/>
      <name val="Aptos Display"/>
      <family val="2"/>
      <scheme val="major"/>
    </font>
    <font>
      <b/>
      <sz val="12"/>
      <color rgb="FF122D4D"/>
      <name val="Aptos Display"/>
      <family val="2"/>
      <scheme val="major"/>
    </font>
  </fonts>
  <fills count="14">
    <fill>
      <patternFill patternType="none"/>
    </fill>
    <fill>
      <patternFill patternType="gray125"/>
    </fill>
    <fill>
      <patternFill patternType="solid">
        <fgColor theme="3" tint="9.9978637043366805E-2"/>
        <bgColor indexed="64"/>
      </patternFill>
    </fill>
    <fill>
      <patternFill patternType="solid">
        <fgColor theme="3" tint="0.89999084444715716"/>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0"/>
        <bgColor indexed="64"/>
      </patternFill>
    </fill>
    <fill>
      <patternFill patternType="solid">
        <fgColor theme="4" tint="0.79998168889431442"/>
        <bgColor indexed="64"/>
      </patternFill>
    </fill>
    <fill>
      <patternFill patternType="solid">
        <fgColor theme="4"/>
        <bgColor indexed="64"/>
      </patternFill>
    </fill>
    <fill>
      <patternFill patternType="solid">
        <fgColor theme="0" tint="-4.9989318521683403E-2"/>
        <bgColor indexed="64"/>
      </patternFill>
    </fill>
    <fill>
      <patternFill patternType="solid">
        <fgColor rgb="FF122D4D"/>
        <bgColor indexed="64"/>
      </patternFill>
    </fill>
    <fill>
      <patternFill patternType="solid">
        <fgColor rgb="FF62ACC6"/>
        <bgColor indexed="64"/>
      </patternFill>
    </fill>
    <fill>
      <patternFill patternType="solid">
        <fgColor rgb="FF426FA1"/>
        <bgColor indexed="64"/>
      </patternFill>
    </fill>
  </fills>
  <borders count="59">
    <border>
      <left/>
      <right/>
      <top/>
      <bottom/>
      <diagonal/>
    </border>
    <border>
      <left style="medium">
        <color indexed="64"/>
      </left>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bottom style="thin">
        <color rgb="FF0070C0"/>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theme="3" tint="0.499984740745262"/>
      </bottom>
      <diagonal/>
    </border>
    <border>
      <left/>
      <right/>
      <top/>
      <bottom style="medium">
        <color theme="3" tint="0.89999084444715716"/>
      </bottom>
      <diagonal/>
    </border>
    <border>
      <left/>
      <right/>
      <top style="medium">
        <color theme="3" tint="0.89999084444715716"/>
      </top>
      <bottom style="medium">
        <color theme="3" tint="0.89999084444715716"/>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right/>
      <top style="medium">
        <color theme="0"/>
      </top>
      <bottom/>
      <diagonal/>
    </border>
    <border>
      <left style="thin">
        <color rgb="FF426FA1"/>
      </left>
      <right/>
      <top/>
      <bottom style="thin">
        <color rgb="FF0070C0"/>
      </bottom>
      <diagonal/>
    </border>
    <border>
      <left style="thin">
        <color rgb="FF426FA1"/>
      </left>
      <right/>
      <top/>
      <bottom/>
      <diagonal/>
    </border>
    <border>
      <left/>
      <right/>
      <top/>
      <bottom style="medium">
        <color theme="0"/>
      </bottom>
      <diagonal/>
    </border>
    <border>
      <left style="medium">
        <color theme="0"/>
      </left>
      <right/>
      <top/>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cellStyleXfs>
  <cellXfs count="831">
    <xf numFmtId="0" fontId="0" fillId="0" borderId="0" xfId="0"/>
    <xf numFmtId="0" fontId="4" fillId="0" borderId="0" xfId="0" applyFont="1"/>
    <xf numFmtId="0" fontId="0" fillId="0" borderId="0" xfId="0" applyAlignment="1">
      <alignment horizontal="center" vertical="center"/>
    </xf>
    <xf numFmtId="164" fontId="2" fillId="2" borderId="0" xfId="1" applyFont="1" applyFill="1"/>
    <xf numFmtId="0" fontId="2" fillId="2" borderId="0" xfId="0" applyFont="1" applyFill="1"/>
    <xf numFmtId="0" fontId="4" fillId="3" borderId="0" xfId="0" applyFont="1" applyFill="1"/>
    <xf numFmtId="14" fontId="4" fillId="3" borderId="0" xfId="0" applyNumberFormat="1" applyFont="1" applyFill="1" applyAlignment="1">
      <alignment horizontal="center" vertical="center"/>
    </xf>
    <xf numFmtId="0" fontId="0" fillId="3" borderId="0" xfId="0" applyFill="1"/>
    <xf numFmtId="2" fontId="0" fillId="0" borderId="6" xfId="0" applyNumberFormat="1" applyBorder="1"/>
    <xf numFmtId="0" fontId="0" fillId="0" borderId="6" xfId="0" applyBorder="1"/>
    <xf numFmtId="0" fontId="0" fillId="0" borderId="9" xfId="0" applyBorder="1" applyAlignment="1">
      <alignment horizontal="center" vertical="center"/>
    </xf>
    <xf numFmtId="0" fontId="0" fillId="0" borderId="3" xfId="0" applyBorder="1" applyAlignment="1">
      <alignment horizontal="center" vertical="center"/>
    </xf>
    <xf numFmtId="0" fontId="0" fillId="0" borderId="12" xfId="0" applyBorder="1" applyAlignment="1">
      <alignment horizontal="center" vertical="center"/>
    </xf>
    <xf numFmtId="0" fontId="0" fillId="0" borderId="2" xfId="0" applyBorder="1" applyAlignment="1">
      <alignment horizontal="center" vertical="center"/>
    </xf>
    <xf numFmtId="0" fontId="0" fillId="0" borderId="10"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xf>
    <xf numFmtId="0" fontId="3" fillId="0" borderId="0" xfId="0" applyFont="1" applyAlignment="1">
      <alignment horizontal="center" vertical="center"/>
    </xf>
    <xf numFmtId="0" fontId="0" fillId="0" borderId="11" xfId="0" applyBorder="1" applyAlignment="1">
      <alignment horizontal="center" vertical="center"/>
    </xf>
    <xf numFmtId="0" fontId="0" fillId="0" borderId="7"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4" fillId="0" borderId="3" xfId="0" applyFont="1" applyBorder="1" applyAlignment="1">
      <alignment horizontal="center" vertical="center"/>
    </xf>
    <xf numFmtId="0" fontId="4" fillId="0" borderId="12" xfId="0" applyFont="1" applyBorder="1" applyAlignment="1">
      <alignment horizontal="center" vertical="center"/>
    </xf>
    <xf numFmtId="0" fontId="4" fillId="0" borderId="2" xfId="0" applyFont="1" applyBorder="1" applyAlignment="1">
      <alignment horizontal="center" vertical="center"/>
    </xf>
    <xf numFmtId="2" fontId="0" fillId="0" borderId="0" xfId="0" applyNumberFormat="1" applyAlignment="1">
      <alignment horizontal="left"/>
    </xf>
    <xf numFmtId="14" fontId="0" fillId="0" borderId="0" xfId="0" applyNumberFormat="1"/>
    <xf numFmtId="164" fontId="0" fillId="0" borderId="0" xfId="1" applyFont="1"/>
    <xf numFmtId="164" fontId="0" fillId="0" borderId="0" xfId="0" applyNumberFormat="1"/>
    <xf numFmtId="0" fontId="0" fillId="0" borderId="0" xfId="0" applyAlignment="1">
      <alignment horizontal="center"/>
    </xf>
    <xf numFmtId="2" fontId="4" fillId="0" borderId="0" xfId="0" applyNumberFormat="1" applyFont="1" applyAlignment="1">
      <alignment horizontal="center"/>
    </xf>
    <xf numFmtId="164" fontId="0" fillId="0" borderId="0" xfId="1" applyFont="1" applyAlignment="1">
      <alignment horizontal="center"/>
    </xf>
    <xf numFmtId="3" fontId="0" fillId="0" borderId="0" xfId="1" applyNumberFormat="1" applyFont="1" applyAlignment="1">
      <alignment horizontal="center"/>
    </xf>
    <xf numFmtId="3" fontId="0" fillId="0" borderId="0" xfId="0" applyNumberFormat="1" applyAlignment="1">
      <alignment horizontal="center"/>
    </xf>
    <xf numFmtId="3" fontId="0" fillId="0" borderId="0" xfId="0" applyNumberFormat="1"/>
    <xf numFmtId="0" fontId="4" fillId="0" borderId="8" xfId="0" applyFont="1" applyBorder="1" applyAlignment="1">
      <alignment horizontal="center" vertical="center"/>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2" xfId="0" applyFont="1" applyBorder="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center"/>
    </xf>
    <xf numFmtId="14" fontId="4" fillId="0" borderId="0" xfId="0" applyNumberFormat="1" applyFont="1" applyAlignment="1">
      <alignment horizontal="center"/>
    </xf>
    <xf numFmtId="14" fontId="4" fillId="0" borderId="0" xfId="0" applyNumberFormat="1" applyFont="1"/>
    <xf numFmtId="167" fontId="0" fillId="0" borderId="0" xfId="0" applyNumberFormat="1"/>
    <xf numFmtId="0" fontId="5" fillId="0" borderId="0" xfId="0" applyFont="1"/>
    <xf numFmtId="167" fontId="5" fillId="0" borderId="0" xfId="0" applyNumberFormat="1" applyFont="1"/>
    <xf numFmtId="164" fontId="5" fillId="0" borderId="0" xfId="0" applyNumberFormat="1" applyFont="1"/>
    <xf numFmtId="168" fontId="5" fillId="0" borderId="0" xfId="0" applyNumberFormat="1" applyFont="1"/>
    <xf numFmtId="2" fontId="0" fillId="0" borderId="0" xfId="0" applyNumberFormat="1"/>
    <xf numFmtId="0" fontId="0" fillId="0" borderId="0" xfId="0" applyAlignment="1">
      <alignment vertical="center"/>
    </xf>
    <xf numFmtId="14" fontId="0" fillId="0" borderId="13" xfId="0" applyNumberFormat="1" applyBorder="1" applyAlignment="1">
      <alignment horizontal="center"/>
    </xf>
    <xf numFmtId="2" fontId="0" fillId="0" borderId="13" xfId="0" applyNumberFormat="1" applyBorder="1"/>
    <xf numFmtId="166" fontId="0" fillId="0" borderId="13" xfId="0" applyNumberFormat="1" applyBorder="1"/>
    <xf numFmtId="166" fontId="3" fillId="0" borderId="13" xfId="0" applyNumberFormat="1" applyFont="1" applyBorder="1"/>
    <xf numFmtId="2" fontId="0" fillId="0" borderId="1" xfId="0" applyNumberFormat="1" applyBorder="1"/>
    <xf numFmtId="0" fontId="0" fillId="0" borderId="4" xfId="0" applyBorder="1"/>
    <xf numFmtId="2" fontId="0" fillId="0" borderId="5" xfId="0" applyNumberFormat="1" applyBorder="1"/>
    <xf numFmtId="0" fontId="0" fillId="0" borderId="7" xfId="0" applyBorder="1"/>
    <xf numFmtId="0" fontId="4" fillId="0" borderId="14" xfId="0" applyFont="1" applyBorder="1" applyAlignment="1">
      <alignment vertical="center"/>
    </xf>
    <xf numFmtId="0" fontId="4" fillId="0" borderId="15" xfId="0" applyFont="1" applyBorder="1" applyAlignment="1">
      <alignment vertical="center"/>
    </xf>
    <xf numFmtId="0" fontId="4" fillId="0" borderId="14"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6" xfId="0" applyFont="1" applyBorder="1" applyAlignment="1">
      <alignment horizontal="center" vertical="center" wrapText="1"/>
    </xf>
    <xf numFmtId="167" fontId="0" fillId="0" borderId="4" xfId="0" applyNumberFormat="1" applyBorder="1"/>
    <xf numFmtId="167" fontId="0" fillId="0" borderId="6" xfId="0" applyNumberFormat="1" applyBorder="1"/>
    <xf numFmtId="167" fontId="0" fillId="0" borderId="7" xfId="0" applyNumberFormat="1" applyBorder="1"/>
    <xf numFmtId="14" fontId="0" fillId="0" borderId="4" xfId="0" applyNumberFormat="1" applyBorder="1"/>
    <xf numFmtId="14" fontId="0" fillId="0" borderId="6" xfId="0" applyNumberFormat="1" applyBorder="1"/>
    <xf numFmtId="14" fontId="0" fillId="0" borderId="7" xfId="0" applyNumberFormat="1" applyBorder="1"/>
    <xf numFmtId="14" fontId="0" fillId="0" borderId="2" xfId="0" applyNumberFormat="1" applyBorder="1"/>
    <xf numFmtId="14" fontId="0" fillId="0" borderId="3" xfId="0" applyNumberFormat="1" applyBorder="1"/>
    <xf numFmtId="164" fontId="0" fillId="0" borderId="0" xfId="1" applyFont="1" applyBorder="1"/>
    <xf numFmtId="2" fontId="0" fillId="0" borderId="12" xfId="0" applyNumberFormat="1" applyBorder="1"/>
    <xf numFmtId="164" fontId="0" fillId="0" borderId="2" xfId="1" applyFont="1" applyBorder="1"/>
    <xf numFmtId="164" fontId="0" fillId="0" borderId="6" xfId="1" applyFont="1" applyBorder="1"/>
    <xf numFmtId="164" fontId="0" fillId="0" borderId="4" xfId="0" applyNumberFormat="1" applyBorder="1"/>
    <xf numFmtId="0" fontId="4" fillId="0" borderId="8" xfId="0" applyFont="1" applyBorder="1" applyAlignment="1">
      <alignment vertical="center"/>
    </xf>
    <xf numFmtId="2" fontId="0" fillId="0" borderId="10" xfId="0" applyNumberFormat="1" applyBorder="1"/>
    <xf numFmtId="2" fontId="0" fillId="0" borderId="11" xfId="0" applyNumberFormat="1" applyBorder="1"/>
    <xf numFmtId="2" fontId="0" fillId="0" borderId="9" xfId="0" applyNumberFormat="1" applyBorder="1"/>
    <xf numFmtId="167" fontId="0" fillId="0" borderId="0" xfId="1" applyNumberFormat="1" applyFont="1"/>
    <xf numFmtId="0" fontId="0" fillId="4" borderId="0" xfId="0" applyFill="1"/>
    <xf numFmtId="0" fontId="0" fillId="0" borderId="0" xfId="0" pivotButton="1"/>
    <xf numFmtId="0" fontId="0" fillId="0" borderId="0" xfId="0" applyAlignment="1">
      <alignment horizontal="left"/>
    </xf>
    <xf numFmtId="14" fontId="0" fillId="0" borderId="0" xfId="0" applyNumberFormat="1" applyAlignment="1">
      <alignment horizontal="left" indent="1"/>
    </xf>
    <xf numFmtId="14" fontId="0" fillId="0" borderId="0" xfId="0" applyNumberFormat="1" applyAlignment="1">
      <alignment horizontal="center"/>
    </xf>
    <xf numFmtId="167" fontId="0" fillId="0" borderId="0" xfId="0" applyNumberFormat="1" applyAlignment="1">
      <alignment horizontal="center"/>
    </xf>
    <xf numFmtId="167" fontId="0" fillId="0" borderId="0" xfId="1" applyNumberFormat="1" applyFont="1" applyFill="1" applyAlignment="1">
      <alignment horizontal="center"/>
    </xf>
    <xf numFmtId="0" fontId="3" fillId="0" borderId="0" xfId="0" applyFont="1" applyAlignment="1">
      <alignment horizontal="center"/>
    </xf>
    <xf numFmtId="167" fontId="4" fillId="0" borderId="0" xfId="0" applyNumberFormat="1" applyFont="1" applyAlignment="1">
      <alignment horizontal="center"/>
    </xf>
    <xf numFmtId="167" fontId="4" fillId="0" borderId="0" xfId="1" applyNumberFormat="1" applyFont="1" applyFill="1" applyAlignment="1">
      <alignment horizontal="center"/>
    </xf>
    <xf numFmtId="167" fontId="3" fillId="0" borderId="0" xfId="0" applyNumberFormat="1" applyFont="1" applyAlignment="1">
      <alignment horizontal="center"/>
    </xf>
    <xf numFmtId="2" fontId="0" fillId="0" borderId="0" xfId="0" applyNumberFormat="1" applyAlignment="1">
      <alignment horizontal="center"/>
    </xf>
    <xf numFmtId="14" fontId="0" fillId="0" borderId="0" xfId="1" applyNumberFormat="1" applyFont="1" applyFill="1" applyAlignment="1">
      <alignment horizontal="center"/>
    </xf>
    <xf numFmtId="0" fontId="5" fillId="0" borderId="0" xfId="0" applyFont="1" applyAlignment="1">
      <alignment horizontal="center"/>
    </xf>
    <xf numFmtId="14" fontId="5" fillId="0" borderId="0" xfId="0" applyNumberFormat="1" applyFont="1"/>
    <xf numFmtId="164" fontId="5" fillId="0" borderId="0" xfId="1" applyFont="1"/>
    <xf numFmtId="167" fontId="7" fillId="0" borderId="0" xfId="1" applyNumberFormat="1" applyFont="1"/>
    <xf numFmtId="14" fontId="8" fillId="0" borderId="0" xfId="0" applyNumberFormat="1" applyFont="1"/>
    <xf numFmtId="164" fontId="8" fillId="0" borderId="0" xfId="0" applyNumberFormat="1" applyFont="1"/>
    <xf numFmtId="0" fontId="9" fillId="0" borderId="0" xfId="0" applyFont="1"/>
    <xf numFmtId="167" fontId="9" fillId="0" borderId="0" xfId="1" applyNumberFormat="1" applyFont="1"/>
    <xf numFmtId="167" fontId="9" fillId="0" borderId="0" xfId="0" applyNumberFormat="1" applyFont="1"/>
    <xf numFmtId="14" fontId="4" fillId="3" borderId="0" xfId="0" applyNumberFormat="1" applyFont="1" applyFill="1" applyAlignment="1">
      <alignment horizontal="center"/>
    </xf>
    <xf numFmtId="0" fontId="4" fillId="3" borderId="0" xfId="0" applyFont="1" applyFill="1" applyAlignment="1">
      <alignment horizontal="center"/>
    </xf>
    <xf numFmtId="169" fontId="0" fillId="0" borderId="0" xfId="0" applyNumberFormat="1" applyAlignment="1">
      <alignment horizontal="center"/>
    </xf>
    <xf numFmtId="0" fontId="0" fillId="0" borderId="0" xfId="1" applyNumberFormat="1" applyFont="1" applyFill="1" applyAlignment="1">
      <alignment horizontal="center"/>
    </xf>
    <xf numFmtId="14" fontId="9" fillId="0" borderId="0" xfId="0" applyNumberFormat="1" applyFont="1"/>
    <xf numFmtId="167" fontId="9" fillId="4" borderId="0" xfId="0" applyNumberFormat="1" applyFont="1" applyFill="1"/>
    <xf numFmtId="167" fontId="0" fillId="0" borderId="0" xfId="0" pivotButton="1" applyNumberFormat="1"/>
    <xf numFmtId="167" fontId="0" fillId="0" borderId="0" xfId="0" applyNumberFormat="1" applyAlignment="1">
      <alignment horizontal="left"/>
    </xf>
    <xf numFmtId="167" fontId="0" fillId="4" borderId="0" xfId="0" applyNumberFormat="1" applyFill="1"/>
    <xf numFmtId="167" fontId="4" fillId="6" borderId="0" xfId="0" applyNumberFormat="1" applyFont="1" applyFill="1"/>
    <xf numFmtId="0" fontId="0" fillId="7" borderId="0" xfId="0" applyFill="1"/>
    <xf numFmtId="0" fontId="0" fillId="2" borderId="0" xfId="0" applyFill="1"/>
    <xf numFmtId="0" fontId="11" fillId="2" borderId="17" xfId="0" applyFont="1" applyFill="1" applyBorder="1"/>
    <xf numFmtId="0" fontId="11" fillId="2" borderId="0" xfId="0" applyFont="1" applyFill="1"/>
    <xf numFmtId="0" fontId="12" fillId="7" borderId="0" xfId="0" applyFont="1" applyFill="1"/>
    <xf numFmtId="0" fontId="13" fillId="7" borderId="0" xfId="0" applyFont="1" applyFill="1"/>
    <xf numFmtId="0" fontId="14" fillId="7" borderId="0" xfId="0" applyFont="1" applyFill="1"/>
    <xf numFmtId="0" fontId="4" fillId="7" borderId="0" xfId="0" applyFont="1" applyFill="1" applyAlignment="1">
      <alignment horizontal="center" vertical="center"/>
    </xf>
    <xf numFmtId="164" fontId="0" fillId="7" borderId="0" xfId="1" applyFont="1" applyFill="1"/>
    <xf numFmtId="164" fontId="0" fillId="7" borderId="0" xfId="0" applyNumberFormat="1" applyFill="1"/>
    <xf numFmtId="167" fontId="13" fillId="7" borderId="0" xfId="0" applyNumberFormat="1" applyFont="1" applyFill="1"/>
    <xf numFmtId="167" fontId="15" fillId="7" borderId="0" xfId="0" applyNumberFormat="1" applyFont="1" applyFill="1"/>
    <xf numFmtId="0" fontId="13" fillId="3" borderId="0" xfId="0" applyFont="1" applyFill="1"/>
    <xf numFmtId="167" fontId="13" fillId="3" borderId="0" xfId="0" applyNumberFormat="1" applyFont="1" applyFill="1"/>
    <xf numFmtId="167" fontId="13" fillId="3" borderId="0" xfId="1" applyNumberFormat="1" applyFont="1" applyFill="1"/>
    <xf numFmtId="0" fontId="4" fillId="7" borderId="0" xfId="0" applyFont="1" applyFill="1"/>
    <xf numFmtId="0" fontId="16" fillId="7" borderId="0" xfId="0" applyFont="1" applyFill="1" applyAlignment="1">
      <alignment horizontal="right"/>
    </xf>
    <xf numFmtId="0" fontId="17" fillId="7" borderId="0" xfId="0" applyFont="1" applyFill="1" applyAlignment="1">
      <alignment horizontal="right"/>
    </xf>
    <xf numFmtId="0" fontId="17" fillId="7" borderId="0" xfId="0" applyFont="1" applyFill="1"/>
    <xf numFmtId="167" fontId="13" fillId="7" borderId="0" xfId="1" applyNumberFormat="1" applyFont="1" applyFill="1"/>
    <xf numFmtId="167" fontId="0" fillId="7" borderId="0" xfId="0" applyNumberFormat="1" applyFill="1"/>
    <xf numFmtId="9" fontId="0" fillId="7" borderId="0" xfId="2" applyFont="1" applyFill="1"/>
    <xf numFmtId="9" fontId="13" fillId="3" borderId="0" xfId="2" applyFont="1" applyFill="1"/>
    <xf numFmtId="167" fontId="4" fillId="7" borderId="0" xfId="0" applyNumberFormat="1" applyFont="1" applyFill="1"/>
    <xf numFmtId="167" fontId="4" fillId="3" borderId="0" xfId="1" applyNumberFormat="1" applyFont="1" applyFill="1" applyBorder="1"/>
    <xf numFmtId="167" fontId="0" fillId="0" borderId="0" xfId="0" applyNumberFormat="1" applyAlignment="1">
      <alignment horizontal="center" vertical="center"/>
    </xf>
    <xf numFmtId="167" fontId="2" fillId="2" borderId="0" xfId="1" applyNumberFormat="1" applyFont="1" applyFill="1" applyAlignment="1">
      <alignment horizontal="center" vertical="center"/>
    </xf>
    <xf numFmtId="167" fontId="2" fillId="2" borderId="0" xfId="0" applyNumberFormat="1" applyFont="1" applyFill="1" applyAlignment="1">
      <alignment horizontal="center" vertical="center"/>
    </xf>
    <xf numFmtId="167" fontId="3" fillId="0" borderId="0" xfId="1" applyNumberFormat="1" applyFont="1"/>
    <xf numFmtId="0" fontId="19" fillId="0" borderId="17" xfId="0" applyFont="1" applyBorder="1"/>
    <xf numFmtId="9" fontId="0" fillId="0" borderId="0" xfId="2" applyFont="1"/>
    <xf numFmtId="2" fontId="4" fillId="0" borderId="13" xfId="0" applyNumberFormat="1" applyFont="1" applyBorder="1"/>
    <xf numFmtId="9" fontId="4" fillId="0" borderId="0" xfId="2" applyFont="1"/>
    <xf numFmtId="0" fontId="4" fillId="7" borderId="0" xfId="0" applyFont="1" applyFill="1" applyAlignment="1">
      <alignment horizontal="center"/>
    </xf>
    <xf numFmtId="9" fontId="20" fillId="7" borderId="0" xfId="2" applyFont="1" applyFill="1" applyAlignment="1">
      <alignment vertical="center"/>
    </xf>
    <xf numFmtId="9" fontId="20" fillId="5" borderId="0" xfId="2" applyFont="1" applyFill="1" applyAlignment="1">
      <alignment vertical="center"/>
    </xf>
    <xf numFmtId="0" fontId="10" fillId="5" borderId="17" xfId="0" applyFont="1" applyFill="1" applyBorder="1"/>
    <xf numFmtId="0" fontId="21" fillId="8" borderId="0" xfId="0" applyFont="1" applyFill="1"/>
    <xf numFmtId="167" fontId="21" fillId="8" borderId="0" xfId="0" applyNumberFormat="1" applyFont="1" applyFill="1"/>
    <xf numFmtId="0" fontId="13" fillId="7" borderId="0" xfId="0" applyFont="1" applyFill="1" applyAlignment="1">
      <alignment horizontal="left"/>
    </xf>
    <xf numFmtId="167" fontId="13" fillId="7" borderId="0" xfId="0" applyNumberFormat="1" applyFont="1" applyFill="1" applyAlignment="1">
      <alignment horizontal="left"/>
    </xf>
    <xf numFmtId="9" fontId="18" fillId="7" borderId="0" xfId="2" applyFont="1" applyFill="1" applyAlignment="1">
      <alignment horizontal="center" vertical="top"/>
    </xf>
    <xf numFmtId="0" fontId="18" fillId="7" borderId="0" xfId="0" applyFont="1" applyFill="1" applyAlignment="1">
      <alignment horizontal="left" vertical="top"/>
    </xf>
    <xf numFmtId="167" fontId="0" fillId="7" borderId="0" xfId="1" applyNumberFormat="1" applyFont="1" applyFill="1"/>
    <xf numFmtId="1" fontId="4" fillId="0" borderId="0" xfId="0" applyNumberFormat="1" applyFont="1"/>
    <xf numFmtId="167" fontId="4" fillId="0" borderId="0" xfId="0" applyNumberFormat="1" applyFont="1"/>
    <xf numFmtId="0" fontId="0" fillId="4" borderId="0" xfId="0" applyFill="1" applyAlignment="1">
      <alignment horizontal="left"/>
    </xf>
    <xf numFmtId="1" fontId="21" fillId="3" borderId="0" xfId="0" applyNumberFormat="1" applyFont="1" applyFill="1" applyAlignment="1">
      <alignment horizontal="center"/>
    </xf>
    <xf numFmtId="0" fontId="22" fillId="7" borderId="0" xfId="0" applyFont="1" applyFill="1" applyAlignment="1">
      <alignment horizontal="center" vertical="center"/>
    </xf>
    <xf numFmtId="164" fontId="0" fillId="4" borderId="0" xfId="1" applyFont="1" applyFill="1"/>
    <xf numFmtId="14" fontId="0" fillId="0" borderId="0" xfId="0" applyNumberFormat="1" applyAlignment="1">
      <alignment horizontal="left"/>
    </xf>
    <xf numFmtId="0" fontId="13" fillId="7" borderId="12" xfId="0" applyFont="1" applyFill="1" applyBorder="1"/>
    <xf numFmtId="167" fontId="13" fillId="7" borderId="2" xfId="0" applyNumberFormat="1" applyFont="1" applyFill="1" applyBorder="1"/>
    <xf numFmtId="167" fontId="13" fillId="7" borderId="3" xfId="0" applyNumberFormat="1" applyFont="1" applyFill="1" applyBorder="1"/>
    <xf numFmtId="167" fontId="13" fillId="7" borderId="4" xfId="0" applyNumberFormat="1" applyFont="1" applyFill="1" applyBorder="1"/>
    <xf numFmtId="0" fontId="12" fillId="7" borderId="1" xfId="0" applyFont="1" applyFill="1" applyBorder="1"/>
    <xf numFmtId="9" fontId="0" fillId="7" borderId="0" xfId="2" applyFont="1" applyFill="1" applyBorder="1"/>
    <xf numFmtId="1" fontId="21" fillId="3" borderId="4" xfId="0" applyNumberFormat="1" applyFont="1" applyFill="1" applyBorder="1" applyAlignment="1">
      <alignment horizontal="center"/>
    </xf>
    <xf numFmtId="0" fontId="12" fillId="7" borderId="5" xfId="0" applyFont="1" applyFill="1" applyBorder="1"/>
    <xf numFmtId="1" fontId="21" fillId="3" borderId="6" xfId="0" applyNumberFormat="1" applyFont="1" applyFill="1" applyBorder="1" applyAlignment="1">
      <alignment horizontal="center"/>
    </xf>
    <xf numFmtId="1" fontId="21" fillId="3" borderId="7" xfId="0" applyNumberFormat="1" applyFont="1" applyFill="1" applyBorder="1" applyAlignment="1">
      <alignment horizontal="center"/>
    </xf>
    <xf numFmtId="0" fontId="13" fillId="7" borderId="5" xfId="0" applyFont="1" applyFill="1" applyBorder="1"/>
    <xf numFmtId="167" fontId="13" fillId="7" borderId="6" xfId="0" applyNumberFormat="1" applyFont="1" applyFill="1" applyBorder="1"/>
    <xf numFmtId="167" fontId="13" fillId="7" borderId="7" xfId="0" applyNumberFormat="1" applyFont="1" applyFill="1" applyBorder="1"/>
    <xf numFmtId="0" fontId="12" fillId="7" borderId="12" xfId="0" applyFont="1" applyFill="1" applyBorder="1"/>
    <xf numFmtId="0" fontId="21" fillId="3" borderId="12" xfId="0" applyFont="1" applyFill="1" applyBorder="1"/>
    <xf numFmtId="1" fontId="21" fillId="3" borderId="2" xfId="0" applyNumberFormat="1" applyFont="1" applyFill="1" applyBorder="1" applyAlignment="1">
      <alignment horizontal="center"/>
    </xf>
    <xf numFmtId="1" fontId="21" fillId="3" borderId="3" xfId="0" applyNumberFormat="1" applyFont="1" applyFill="1" applyBorder="1" applyAlignment="1">
      <alignment horizontal="center"/>
    </xf>
    <xf numFmtId="0" fontId="21" fillId="3" borderId="1" xfId="0" applyFont="1" applyFill="1" applyBorder="1"/>
    <xf numFmtId="1" fontId="21" fillId="3" borderId="12" xfId="0" applyNumberFormat="1" applyFont="1" applyFill="1" applyBorder="1" applyAlignment="1">
      <alignment horizontal="center"/>
    </xf>
    <xf numFmtId="1" fontId="21" fillId="3" borderId="1" xfId="0" applyNumberFormat="1" applyFont="1" applyFill="1" applyBorder="1" applyAlignment="1">
      <alignment horizontal="center"/>
    </xf>
    <xf numFmtId="0" fontId="21" fillId="3" borderId="14" xfId="0" applyFont="1" applyFill="1" applyBorder="1"/>
    <xf numFmtId="1" fontId="21" fillId="3" borderId="14" xfId="0" applyNumberFormat="1" applyFont="1" applyFill="1" applyBorder="1" applyAlignment="1">
      <alignment horizontal="center"/>
    </xf>
    <xf numFmtId="1" fontId="21" fillId="3" borderId="15" xfId="0" applyNumberFormat="1" applyFont="1" applyFill="1" applyBorder="1" applyAlignment="1">
      <alignment horizontal="center"/>
    </xf>
    <xf numFmtId="1" fontId="21" fillId="3" borderId="16" xfId="0" applyNumberFormat="1" applyFont="1" applyFill="1" applyBorder="1" applyAlignment="1">
      <alignment horizontal="center"/>
    </xf>
    <xf numFmtId="167" fontId="13" fillId="7" borderId="12" xfId="0" applyNumberFormat="1" applyFont="1" applyFill="1" applyBorder="1"/>
    <xf numFmtId="167" fontId="13" fillId="7" borderId="5" xfId="0" applyNumberFormat="1" applyFont="1" applyFill="1" applyBorder="1"/>
    <xf numFmtId="167" fontId="13" fillId="7" borderId="1" xfId="0" applyNumberFormat="1" applyFont="1" applyFill="1" applyBorder="1"/>
    <xf numFmtId="167" fontId="4" fillId="3" borderId="0" xfId="0" applyNumberFormat="1" applyFont="1" applyFill="1" applyAlignment="1">
      <alignment horizontal="left"/>
    </xf>
    <xf numFmtId="1" fontId="21" fillId="3" borderId="9" xfId="0" applyNumberFormat="1" applyFont="1" applyFill="1" applyBorder="1" applyAlignment="1">
      <alignment horizontal="center"/>
    </xf>
    <xf numFmtId="1" fontId="21" fillId="3" borderId="10" xfId="0" applyNumberFormat="1" applyFont="1" applyFill="1" applyBorder="1" applyAlignment="1">
      <alignment horizontal="center"/>
    </xf>
    <xf numFmtId="1" fontId="21" fillId="3" borderId="11" xfId="0" applyNumberFormat="1" applyFont="1" applyFill="1" applyBorder="1" applyAlignment="1">
      <alignment horizontal="center"/>
    </xf>
    <xf numFmtId="1" fontId="23" fillId="3" borderId="0" xfId="3" applyNumberFormat="1" applyFill="1" applyAlignment="1">
      <alignment horizontal="center"/>
    </xf>
    <xf numFmtId="1" fontId="0" fillId="7" borderId="0" xfId="0" applyNumberFormat="1" applyFill="1"/>
    <xf numFmtId="0" fontId="25" fillId="7" borderId="0" xfId="0" applyFont="1" applyFill="1"/>
    <xf numFmtId="167" fontId="26" fillId="7" borderId="0" xfId="0" applyNumberFormat="1" applyFont="1" applyFill="1"/>
    <xf numFmtId="0" fontId="27" fillId="2" borderId="0" xfId="0" applyFont="1" applyFill="1"/>
    <xf numFmtId="0" fontId="28" fillId="2" borderId="17" xfId="0" applyFont="1" applyFill="1" applyBorder="1"/>
    <xf numFmtId="0" fontId="27" fillId="7" borderId="0" xfId="0" applyFont="1" applyFill="1"/>
    <xf numFmtId="168" fontId="0" fillId="7" borderId="0" xfId="0" applyNumberFormat="1" applyFill="1"/>
    <xf numFmtId="0" fontId="31" fillId="7" borderId="0" xfId="0" applyFont="1" applyFill="1" applyAlignment="1">
      <alignment vertical="center"/>
    </xf>
    <xf numFmtId="0" fontId="0" fillId="7" borderId="0" xfId="0" applyFill="1" applyAlignment="1">
      <alignment horizontal="center" vertical="center"/>
    </xf>
    <xf numFmtId="0" fontId="30" fillId="7" borderId="18" xfId="0" applyFont="1" applyFill="1" applyBorder="1" applyAlignment="1">
      <alignment horizontal="left"/>
    </xf>
    <xf numFmtId="0" fontId="30" fillId="7" borderId="0" xfId="0" applyFont="1" applyFill="1"/>
    <xf numFmtId="167" fontId="30" fillId="7" borderId="0" xfId="0" applyNumberFormat="1" applyFont="1" applyFill="1"/>
    <xf numFmtId="0" fontId="29" fillId="7" borderId="0" xfId="0" applyFont="1" applyFill="1"/>
    <xf numFmtId="167" fontId="13" fillId="7" borderId="24" xfId="0" applyNumberFormat="1" applyFont="1" applyFill="1" applyBorder="1"/>
    <xf numFmtId="0" fontId="0" fillId="7" borderId="25" xfId="0" applyFill="1" applyBorder="1"/>
    <xf numFmtId="9" fontId="13" fillId="7" borderId="0" xfId="2" applyFont="1" applyFill="1" applyBorder="1"/>
    <xf numFmtId="9" fontId="0" fillId="7" borderId="24" xfId="2" applyFont="1" applyFill="1" applyBorder="1"/>
    <xf numFmtId="164" fontId="0" fillId="7" borderId="0" xfId="1" applyFont="1" applyFill="1" applyBorder="1"/>
    <xf numFmtId="167" fontId="13" fillId="7" borderId="26" xfId="0" applyNumberFormat="1" applyFont="1" applyFill="1" applyBorder="1"/>
    <xf numFmtId="167" fontId="0" fillId="7" borderId="18" xfId="0" applyNumberFormat="1" applyFill="1" applyBorder="1"/>
    <xf numFmtId="9" fontId="0" fillId="7" borderId="18" xfId="2" applyFont="1" applyFill="1" applyBorder="1"/>
    <xf numFmtId="164" fontId="0" fillId="7" borderId="18" xfId="1" applyFont="1" applyFill="1" applyBorder="1"/>
    <xf numFmtId="167" fontId="0" fillId="7" borderId="27" xfId="0" applyNumberFormat="1" applyFill="1" applyBorder="1"/>
    <xf numFmtId="167" fontId="13" fillId="7" borderId="22" xfId="0" applyNumberFormat="1" applyFont="1" applyFill="1" applyBorder="1"/>
    <xf numFmtId="167" fontId="0" fillId="7" borderId="19" xfId="0" applyNumberFormat="1" applyFill="1" applyBorder="1"/>
    <xf numFmtId="9" fontId="0" fillId="7" borderId="19" xfId="2" applyFont="1" applyFill="1" applyBorder="1"/>
    <xf numFmtId="0" fontId="0" fillId="7" borderId="19" xfId="0" applyFill="1" applyBorder="1"/>
    <xf numFmtId="0" fontId="0" fillId="7" borderId="23" xfId="0" applyFill="1" applyBorder="1"/>
    <xf numFmtId="167" fontId="32" fillId="7" borderId="0" xfId="0" applyNumberFormat="1" applyFont="1" applyFill="1" applyAlignment="1">
      <alignment vertical="center"/>
    </xf>
    <xf numFmtId="167" fontId="31" fillId="7" borderId="0" xfId="0" applyNumberFormat="1" applyFont="1" applyFill="1" applyAlignment="1">
      <alignment vertical="center"/>
    </xf>
    <xf numFmtId="9" fontId="31" fillId="7" borderId="0" xfId="2" applyFont="1" applyFill="1" applyBorder="1" applyAlignment="1">
      <alignment vertical="center"/>
    </xf>
    <xf numFmtId="0" fontId="17" fillId="7" borderId="0" xfId="0" applyFont="1" applyFill="1" applyAlignment="1">
      <alignment horizontal="center"/>
    </xf>
    <xf numFmtId="0" fontId="34" fillId="7" borderId="0" xfId="1" applyNumberFormat="1" applyFont="1" applyFill="1" applyAlignment="1">
      <alignment wrapText="1"/>
    </xf>
    <xf numFmtId="0" fontId="34" fillId="7" borderId="0" xfId="1" applyNumberFormat="1" applyFont="1" applyFill="1"/>
    <xf numFmtId="0" fontId="34" fillId="7" borderId="0" xfId="0" applyFont="1" applyFill="1"/>
    <xf numFmtId="0" fontId="35" fillId="3" borderId="0" xfId="0" applyFont="1" applyFill="1"/>
    <xf numFmtId="0" fontId="34" fillId="7" borderId="0" xfId="2" applyNumberFormat="1" applyFont="1" applyFill="1"/>
    <xf numFmtId="0" fontId="8" fillId="7" borderId="0" xfId="0" applyFont="1" applyFill="1"/>
    <xf numFmtId="0" fontId="36" fillId="3" borderId="0" xfId="0" applyFont="1" applyFill="1"/>
    <xf numFmtId="0" fontId="0" fillId="10" borderId="0" xfId="0" applyFill="1"/>
    <xf numFmtId="0" fontId="0" fillId="10" borderId="25" xfId="0" applyFill="1" applyBorder="1"/>
    <xf numFmtId="0" fontId="38" fillId="7" borderId="0" xfId="0" applyFont="1" applyFill="1"/>
    <xf numFmtId="0" fontId="37" fillId="7" borderId="0" xfId="0" applyFont="1" applyFill="1" applyAlignment="1">
      <alignment horizontal="center" vertical="center"/>
    </xf>
    <xf numFmtId="0" fontId="11" fillId="3" borderId="0" xfId="0" applyFont="1" applyFill="1"/>
    <xf numFmtId="0" fontId="31" fillId="3" borderId="0" xfId="0" applyFont="1" applyFill="1" applyAlignment="1">
      <alignment vertical="center"/>
    </xf>
    <xf numFmtId="0" fontId="19" fillId="3" borderId="0" xfId="0" applyFont="1" applyFill="1"/>
    <xf numFmtId="0" fontId="12" fillId="10" borderId="0" xfId="0" applyFont="1" applyFill="1"/>
    <xf numFmtId="0" fontId="31" fillId="10" borderId="0" xfId="0" applyFont="1" applyFill="1" applyAlignment="1">
      <alignment vertical="center"/>
    </xf>
    <xf numFmtId="0" fontId="13" fillId="10" borderId="0" xfId="0" applyFont="1" applyFill="1"/>
    <xf numFmtId="0" fontId="42" fillId="10" borderId="0" xfId="0" applyFont="1" applyFill="1"/>
    <xf numFmtId="167" fontId="42" fillId="10" borderId="0" xfId="0" applyNumberFormat="1" applyFont="1" applyFill="1"/>
    <xf numFmtId="0" fontId="43" fillId="10" borderId="0" xfId="0" applyFont="1" applyFill="1"/>
    <xf numFmtId="0" fontId="42" fillId="10" borderId="0" xfId="0" applyFont="1" applyFill="1" applyAlignment="1">
      <alignment horizontal="left"/>
    </xf>
    <xf numFmtId="167" fontId="13" fillId="10" borderId="0" xfId="0" applyNumberFormat="1" applyFont="1" applyFill="1"/>
    <xf numFmtId="0" fontId="39" fillId="7" borderId="0" xfId="0" applyFont="1" applyFill="1"/>
    <xf numFmtId="0" fontId="40" fillId="7" borderId="0" xfId="0" applyFont="1" applyFill="1" applyAlignment="1">
      <alignment vertical="center"/>
    </xf>
    <xf numFmtId="0" fontId="42" fillId="7" borderId="0" xfId="0" applyFont="1" applyFill="1" applyAlignment="1">
      <alignment horizontal="left"/>
    </xf>
    <xf numFmtId="0" fontId="42" fillId="7" borderId="18" xfId="0" applyFont="1" applyFill="1" applyBorder="1" applyAlignment="1">
      <alignment horizontal="left"/>
    </xf>
    <xf numFmtId="0" fontId="42" fillId="7" borderId="0" xfId="0" applyFont="1" applyFill="1"/>
    <xf numFmtId="167" fontId="42" fillId="7" borderId="0" xfId="0" applyNumberFormat="1" applyFont="1" applyFill="1"/>
    <xf numFmtId="0" fontId="43" fillId="7" borderId="0" xfId="0" applyFont="1" applyFill="1"/>
    <xf numFmtId="170" fontId="41" fillId="7" borderId="0" xfId="0" applyNumberFormat="1" applyFont="1" applyFill="1" applyAlignment="1">
      <alignment horizontal="left" vertical="center"/>
    </xf>
    <xf numFmtId="170" fontId="41" fillId="7" borderId="0" xfId="0" applyNumberFormat="1" applyFont="1" applyFill="1" applyAlignment="1">
      <alignment vertical="center"/>
    </xf>
    <xf numFmtId="9" fontId="44" fillId="7" borderId="0" xfId="2" applyFont="1" applyFill="1" applyAlignment="1">
      <alignment horizontal="right" vertical="center"/>
    </xf>
    <xf numFmtId="9" fontId="43" fillId="7" borderId="20" xfId="2" applyFont="1" applyFill="1" applyBorder="1" applyAlignment="1">
      <alignment horizontal="center"/>
    </xf>
    <xf numFmtId="0" fontId="30" fillId="10" borderId="0" xfId="0" applyFont="1" applyFill="1" applyAlignment="1">
      <alignment horizontal="left"/>
    </xf>
    <xf numFmtId="0" fontId="4" fillId="7" borderId="0" xfId="0" applyFont="1" applyFill="1" applyAlignment="1">
      <alignment horizontal="right"/>
    </xf>
    <xf numFmtId="0" fontId="0" fillId="7" borderId="0" xfId="0" applyFill="1" applyAlignment="1">
      <alignment horizontal="right"/>
    </xf>
    <xf numFmtId="0" fontId="0" fillId="10" borderId="0" xfId="0" applyFill="1" applyAlignment="1">
      <alignment horizontal="right"/>
    </xf>
    <xf numFmtId="0" fontId="12" fillId="10" borderId="0" xfId="0" applyFont="1" applyFill="1" applyAlignment="1">
      <alignment horizontal="right"/>
    </xf>
    <xf numFmtId="0" fontId="45" fillId="0" borderId="21" xfId="0" applyFont="1" applyBorder="1" applyAlignment="1">
      <alignment vertical="center"/>
    </xf>
    <xf numFmtId="0" fontId="45" fillId="0" borderId="21" xfId="0" applyFont="1" applyBorder="1" applyAlignment="1">
      <alignment horizontal="right" vertical="center"/>
    </xf>
    <xf numFmtId="0" fontId="10" fillId="0" borderId="21" xfId="0" applyFont="1" applyBorder="1" applyAlignment="1">
      <alignment vertical="center"/>
    </xf>
    <xf numFmtId="2" fontId="30" fillId="0" borderId="21" xfId="0" applyNumberFormat="1" applyFont="1" applyBorder="1" applyAlignment="1">
      <alignment horizontal="right" vertical="center"/>
    </xf>
    <xf numFmtId="2" fontId="29" fillId="0" borderId="21" xfId="0" applyNumberFormat="1" applyFont="1" applyBorder="1" applyAlignment="1">
      <alignment horizontal="right" vertical="center"/>
    </xf>
    <xf numFmtId="49" fontId="49" fillId="7" borderId="0" xfId="0" applyNumberFormat="1" applyFont="1" applyFill="1" applyAlignment="1">
      <alignment horizontal="center" vertical="center"/>
    </xf>
    <xf numFmtId="0" fontId="24" fillId="7" borderId="0" xfId="0" applyFont="1" applyFill="1"/>
    <xf numFmtId="9" fontId="41" fillId="7" borderId="0" xfId="2" applyFont="1" applyFill="1" applyBorder="1" applyAlignment="1">
      <alignment horizontal="left" vertical="center"/>
    </xf>
    <xf numFmtId="1" fontId="41" fillId="7" borderId="0" xfId="2" applyNumberFormat="1" applyFont="1" applyFill="1" applyBorder="1" applyAlignment="1">
      <alignment horizontal="left" vertical="center"/>
    </xf>
    <xf numFmtId="1" fontId="42" fillId="7" borderId="18" xfId="0" applyNumberFormat="1" applyFont="1" applyFill="1" applyBorder="1" applyAlignment="1">
      <alignment horizontal="right"/>
    </xf>
    <xf numFmtId="170" fontId="50" fillId="7" borderId="0" xfId="0" applyNumberFormat="1" applyFont="1" applyFill="1" applyAlignment="1">
      <alignment horizontal="right" vertical="center"/>
    </xf>
    <xf numFmtId="1" fontId="51" fillId="7" borderId="0" xfId="2" applyNumberFormat="1" applyFont="1" applyFill="1" applyBorder="1" applyAlignment="1">
      <alignment horizontal="center"/>
    </xf>
    <xf numFmtId="1" fontId="52" fillId="7" borderId="18" xfId="0" applyNumberFormat="1" applyFont="1" applyFill="1" applyBorder="1" applyAlignment="1">
      <alignment horizontal="right"/>
    </xf>
    <xf numFmtId="0" fontId="10" fillId="7" borderId="0" xfId="0" applyFont="1" applyFill="1" applyAlignment="1">
      <alignment horizontal="right"/>
    </xf>
    <xf numFmtId="0" fontId="45" fillId="10" borderId="29" xfId="0" applyFont="1" applyFill="1" applyBorder="1" applyAlignment="1">
      <alignment horizontal="left" vertical="center"/>
    </xf>
    <xf numFmtId="0" fontId="45" fillId="10" borderId="28" xfId="0" applyFont="1" applyFill="1" applyBorder="1" applyAlignment="1">
      <alignment horizontal="right" vertical="center"/>
    </xf>
    <xf numFmtId="0" fontId="53" fillId="10" borderId="30" xfId="0" applyFont="1" applyFill="1" applyBorder="1" applyAlignment="1">
      <alignment horizontal="right" vertical="center"/>
    </xf>
    <xf numFmtId="0" fontId="53" fillId="10" borderId="28" xfId="0" applyFont="1" applyFill="1" applyBorder="1" applyAlignment="1">
      <alignment horizontal="right" vertical="center"/>
    </xf>
    <xf numFmtId="0" fontId="45" fillId="10" borderId="29" xfId="0" applyFont="1" applyFill="1" applyBorder="1" applyAlignment="1">
      <alignment horizontal="center" vertical="center"/>
    </xf>
    <xf numFmtId="0" fontId="0" fillId="3" borderId="0" xfId="0" applyFill="1" applyAlignment="1">
      <alignment horizontal="left" vertical="center"/>
    </xf>
    <xf numFmtId="0" fontId="0" fillId="7" borderId="0" xfId="0" applyFill="1" applyAlignment="1">
      <alignment horizontal="left" vertical="center"/>
    </xf>
    <xf numFmtId="9" fontId="41" fillId="10" borderId="0" xfId="2" applyFont="1" applyFill="1" applyBorder="1" applyAlignment="1">
      <alignment horizontal="left" vertical="center"/>
    </xf>
    <xf numFmtId="170" fontId="41" fillId="10" borderId="0" xfId="0" applyNumberFormat="1" applyFont="1" applyFill="1" applyAlignment="1">
      <alignment horizontal="left" vertical="center"/>
    </xf>
    <xf numFmtId="1" fontId="41" fillId="10" borderId="0" xfId="2" applyNumberFormat="1" applyFont="1" applyFill="1" applyBorder="1" applyAlignment="1">
      <alignment horizontal="left" vertical="center"/>
    </xf>
    <xf numFmtId="1" fontId="51" fillId="10" borderId="0" xfId="2" applyNumberFormat="1" applyFont="1" applyFill="1" applyBorder="1" applyAlignment="1">
      <alignment horizontal="center"/>
    </xf>
    <xf numFmtId="170" fontId="50" fillId="10" borderId="0" xfId="0" applyNumberFormat="1" applyFont="1" applyFill="1" applyAlignment="1">
      <alignment horizontal="right" vertical="center"/>
    </xf>
    <xf numFmtId="0" fontId="8" fillId="10" borderId="0" xfId="0" applyFont="1" applyFill="1"/>
    <xf numFmtId="0" fontId="39" fillId="10" borderId="0" xfId="0" applyFont="1" applyFill="1"/>
    <xf numFmtId="0" fontId="40" fillId="10" borderId="0" xfId="0" applyFont="1" applyFill="1" applyAlignment="1">
      <alignment vertical="center"/>
    </xf>
    <xf numFmtId="9" fontId="44" fillId="10" borderId="0" xfId="2" applyFont="1" applyFill="1" applyBorder="1" applyAlignment="1">
      <alignment horizontal="right" vertical="center"/>
    </xf>
    <xf numFmtId="1" fontId="42" fillId="10" borderId="0" xfId="0" applyNumberFormat="1" applyFont="1" applyFill="1" applyAlignment="1">
      <alignment horizontal="right"/>
    </xf>
    <xf numFmtId="1" fontId="52" fillId="10" borderId="0" xfId="0" applyNumberFormat="1" applyFont="1" applyFill="1" applyAlignment="1">
      <alignment horizontal="right"/>
    </xf>
    <xf numFmtId="0" fontId="34" fillId="10" borderId="0" xfId="0" applyFont="1" applyFill="1"/>
    <xf numFmtId="0" fontId="42" fillId="10" borderId="0" xfId="0" applyFont="1" applyFill="1" applyAlignment="1">
      <alignment horizontal="center" vertical="center"/>
    </xf>
    <xf numFmtId="170" fontId="41" fillId="10" borderId="0" xfId="0" applyNumberFormat="1" applyFont="1" applyFill="1" applyAlignment="1">
      <alignment horizontal="center" vertical="center"/>
    </xf>
    <xf numFmtId="9" fontId="44" fillId="10" borderId="0" xfId="2" applyFont="1" applyFill="1" applyBorder="1" applyAlignment="1">
      <alignment horizontal="center" vertical="center"/>
    </xf>
    <xf numFmtId="170" fontId="50" fillId="7" borderId="0" xfId="0" applyNumberFormat="1" applyFont="1" applyFill="1" applyAlignment="1">
      <alignment horizontal="right"/>
    </xf>
    <xf numFmtId="170" fontId="47" fillId="7" borderId="0" xfId="0" applyNumberFormat="1" applyFont="1" applyFill="1" applyAlignment="1">
      <alignment vertical="center"/>
    </xf>
    <xf numFmtId="0" fontId="54" fillId="7" borderId="0" xfId="0" applyFont="1" applyFill="1"/>
    <xf numFmtId="0" fontId="42" fillId="7" borderId="0" xfId="0" applyFont="1" applyFill="1" applyAlignment="1">
      <alignment vertical="center"/>
    </xf>
    <xf numFmtId="170" fontId="43" fillId="7" borderId="18" xfId="0" applyNumberFormat="1" applyFont="1" applyFill="1" applyBorder="1"/>
    <xf numFmtId="9" fontId="43" fillId="7" borderId="18" xfId="2" applyFont="1" applyFill="1" applyBorder="1" applyAlignment="1"/>
    <xf numFmtId="49" fontId="49" fillId="7" borderId="0" xfId="0" applyNumberFormat="1" applyFont="1" applyFill="1" applyAlignment="1">
      <alignment vertical="center" wrapText="1"/>
    </xf>
    <xf numFmtId="49" fontId="49" fillId="7" borderId="0" xfId="0" applyNumberFormat="1" applyFont="1" applyFill="1" applyAlignment="1">
      <alignment vertical="center"/>
    </xf>
    <xf numFmtId="49" fontId="49" fillId="10" borderId="0" xfId="0" applyNumberFormat="1" applyFont="1" applyFill="1" applyAlignment="1">
      <alignment vertical="center" wrapText="1"/>
    </xf>
    <xf numFmtId="49" fontId="49" fillId="10" borderId="0" xfId="0" applyNumberFormat="1" applyFont="1" applyFill="1" applyAlignment="1">
      <alignment vertical="center"/>
    </xf>
    <xf numFmtId="170" fontId="43" fillId="7" borderId="0" xfId="0" applyNumberFormat="1" applyFont="1" applyFill="1"/>
    <xf numFmtId="9" fontId="43" fillId="7" borderId="0" xfId="2" applyFont="1" applyFill="1" applyBorder="1" applyAlignment="1"/>
    <xf numFmtId="0" fontId="47" fillId="7" borderId="18" xfId="0" applyFont="1" applyFill="1" applyBorder="1" applyAlignment="1">
      <alignment horizontal="left"/>
    </xf>
    <xf numFmtId="171" fontId="0" fillId="7" borderId="0" xfId="0" applyNumberFormat="1" applyFill="1"/>
    <xf numFmtId="171" fontId="30" fillId="7" borderId="0" xfId="0" applyNumberFormat="1" applyFont="1" applyFill="1" applyAlignment="1">
      <alignment horizontal="right"/>
    </xf>
    <xf numFmtId="171" fontId="29" fillId="7" borderId="0" xfId="0" applyNumberFormat="1" applyFont="1" applyFill="1" applyAlignment="1">
      <alignment horizontal="right"/>
    </xf>
    <xf numFmtId="171" fontId="47" fillId="7" borderId="18" xfId="0" applyNumberFormat="1" applyFont="1" applyFill="1" applyBorder="1" applyAlignment="1">
      <alignment horizontal="right"/>
    </xf>
    <xf numFmtId="171" fontId="0" fillId="7" borderId="0" xfId="0" applyNumberFormat="1" applyFill="1" applyAlignment="1">
      <alignment horizontal="right"/>
    </xf>
    <xf numFmtId="9" fontId="55" fillId="7" borderId="0" xfId="2" applyFont="1" applyFill="1" applyAlignment="1">
      <alignment horizontal="right"/>
    </xf>
    <xf numFmtId="9" fontId="56" fillId="7" borderId="0" xfId="2" applyFont="1" applyFill="1" applyAlignment="1">
      <alignment horizontal="right"/>
    </xf>
    <xf numFmtId="170" fontId="35" fillId="7" borderId="0" xfId="0" applyNumberFormat="1" applyFont="1" applyFill="1" applyAlignment="1">
      <alignment vertical="center"/>
    </xf>
    <xf numFmtId="0" fontId="15" fillId="7" borderId="0" xfId="0" applyFont="1" applyFill="1"/>
    <xf numFmtId="0" fontId="58" fillId="7" borderId="0" xfId="0" applyFont="1" applyFill="1"/>
    <xf numFmtId="171" fontId="58" fillId="7" borderId="0" xfId="0" applyNumberFormat="1" applyFont="1" applyFill="1" applyAlignment="1">
      <alignment horizontal="right"/>
    </xf>
    <xf numFmtId="0" fontId="59" fillId="7" borderId="0" xfId="0" applyFont="1" applyFill="1"/>
    <xf numFmtId="171" fontId="59" fillId="7" borderId="0" xfId="0" applyNumberFormat="1" applyFont="1" applyFill="1"/>
    <xf numFmtId="49" fontId="4" fillId="3" borderId="0" xfId="0" applyNumberFormat="1" applyFont="1" applyFill="1" applyAlignment="1">
      <alignment horizontal="left"/>
    </xf>
    <xf numFmtId="49" fontId="0" fillId="0" borderId="0" xfId="0" applyNumberFormat="1"/>
    <xf numFmtId="49" fontId="0" fillId="0" borderId="0" xfId="0" applyNumberFormat="1" applyAlignment="1">
      <alignment horizontal="left"/>
    </xf>
    <xf numFmtId="171" fontId="0" fillId="10" borderId="0" xfId="0" applyNumberFormat="1" applyFill="1"/>
    <xf numFmtId="171" fontId="8" fillId="10" borderId="0" xfId="0" applyNumberFormat="1" applyFont="1" applyFill="1"/>
    <xf numFmtId="171" fontId="43" fillId="10" borderId="0" xfId="0" applyNumberFormat="1" applyFont="1" applyFill="1"/>
    <xf numFmtId="0" fontId="60" fillId="7" borderId="0" xfId="0" applyFont="1" applyFill="1" applyAlignment="1">
      <alignment horizontal="left" vertical="center"/>
    </xf>
    <xf numFmtId="0" fontId="42" fillId="7" borderId="0" xfId="0" applyFont="1" applyFill="1" applyAlignment="1">
      <alignment horizontal="center" vertical="center"/>
    </xf>
    <xf numFmtId="0" fontId="10" fillId="7" borderId="0" xfId="0" applyFont="1" applyFill="1" applyAlignment="1">
      <alignment horizontal="center"/>
    </xf>
    <xf numFmtId="170" fontId="47" fillId="7" borderId="0" xfId="0" applyNumberFormat="1" applyFont="1" applyFill="1" applyAlignment="1">
      <alignment horizontal="center" vertical="center"/>
    </xf>
    <xf numFmtId="170" fontId="35" fillId="7" borderId="0" xfId="0" applyNumberFormat="1" applyFont="1" applyFill="1" applyAlignment="1">
      <alignment horizontal="center" vertical="center"/>
    </xf>
    <xf numFmtId="0" fontId="40" fillId="10" borderId="0" xfId="0" applyFont="1" applyFill="1" applyAlignment="1">
      <alignment horizontal="center" vertical="center"/>
    </xf>
    <xf numFmtId="170" fontId="50" fillId="10" borderId="0" xfId="0" applyNumberFormat="1" applyFont="1" applyFill="1" applyAlignment="1">
      <alignment horizontal="center" vertical="center"/>
    </xf>
    <xf numFmtId="0" fontId="10" fillId="7" borderId="0" xfId="0" applyFont="1" applyFill="1" applyAlignment="1">
      <alignment horizontal="center" vertical="center"/>
    </xf>
    <xf numFmtId="0" fontId="16" fillId="7" borderId="0" xfId="0" applyFont="1" applyFill="1" applyAlignment="1">
      <alignment horizontal="center" vertical="center"/>
    </xf>
    <xf numFmtId="0" fontId="0" fillId="10" borderId="0" xfId="0" applyFill="1" applyAlignment="1">
      <alignment horizontal="center" vertical="center"/>
    </xf>
    <xf numFmtId="0" fontId="8" fillId="7" borderId="0" xfId="0" applyFont="1" applyFill="1" applyAlignment="1">
      <alignment horizontal="center" vertical="center"/>
    </xf>
    <xf numFmtId="171" fontId="30" fillId="7" borderId="0" xfId="0" applyNumberFormat="1" applyFont="1" applyFill="1" applyAlignment="1">
      <alignment horizontal="center" vertical="center"/>
    </xf>
    <xf numFmtId="171" fontId="29" fillId="7" borderId="0" xfId="0" applyNumberFormat="1" applyFont="1" applyFill="1" applyAlignment="1">
      <alignment horizontal="center" vertical="center"/>
    </xf>
    <xf numFmtId="171" fontId="0" fillId="7" borderId="0" xfId="0" applyNumberFormat="1" applyFill="1" applyAlignment="1">
      <alignment horizontal="center" vertical="center"/>
    </xf>
    <xf numFmtId="170" fontId="43" fillId="7" borderId="0" xfId="0" applyNumberFormat="1" applyFont="1" applyFill="1" applyAlignment="1">
      <alignment horizontal="center" vertical="center"/>
    </xf>
    <xf numFmtId="9" fontId="43" fillId="7" borderId="0" xfId="2" applyFont="1" applyFill="1" applyBorder="1" applyAlignment="1">
      <alignment horizontal="center" vertical="center"/>
    </xf>
    <xf numFmtId="167" fontId="42" fillId="7" borderId="0" xfId="0" applyNumberFormat="1" applyFont="1" applyFill="1" applyAlignment="1">
      <alignment horizontal="center" vertical="center"/>
    </xf>
    <xf numFmtId="0" fontId="43" fillId="7" borderId="0" xfId="0" applyFont="1" applyFill="1" applyAlignment="1">
      <alignment horizontal="center" vertical="center"/>
    </xf>
    <xf numFmtId="0" fontId="29" fillId="7" borderId="0" xfId="0" applyFont="1" applyFill="1" applyAlignment="1">
      <alignment horizontal="center" vertical="center"/>
    </xf>
    <xf numFmtId="0" fontId="15" fillId="7" borderId="0" xfId="0" applyFont="1" applyFill="1" applyAlignment="1">
      <alignment horizontal="center" vertical="center"/>
    </xf>
    <xf numFmtId="0" fontId="8" fillId="10" borderId="0" xfId="0" applyFont="1" applyFill="1" applyAlignment="1">
      <alignment horizontal="center" vertical="center"/>
    </xf>
    <xf numFmtId="0" fontId="43" fillId="10" borderId="0" xfId="0" applyFont="1" applyFill="1" applyAlignment="1">
      <alignment horizontal="center" vertical="center"/>
    </xf>
    <xf numFmtId="167" fontId="42" fillId="10" borderId="0" xfId="0" applyNumberFormat="1" applyFont="1" applyFill="1" applyAlignment="1">
      <alignment horizontal="center" vertical="center"/>
    </xf>
    <xf numFmtId="0" fontId="39" fillId="10" borderId="0" xfId="0" applyFont="1" applyFill="1" applyAlignment="1">
      <alignment horizontal="center" vertical="center"/>
    </xf>
    <xf numFmtId="1" fontId="51" fillId="10" borderId="0" xfId="2" applyNumberFormat="1" applyFont="1" applyFill="1" applyBorder="1" applyAlignment="1">
      <alignment horizontal="center" vertical="center"/>
    </xf>
    <xf numFmtId="1" fontId="42" fillId="10" borderId="0" xfId="0" applyNumberFormat="1" applyFont="1" applyFill="1" applyAlignment="1">
      <alignment horizontal="center" vertical="center"/>
    </xf>
    <xf numFmtId="1" fontId="52" fillId="10" borderId="0" xfId="0" applyNumberFormat="1" applyFont="1" applyFill="1" applyAlignment="1">
      <alignment horizontal="center" vertical="center"/>
    </xf>
    <xf numFmtId="0" fontId="48" fillId="7" borderId="0" xfId="0" applyFont="1" applyFill="1" applyAlignment="1">
      <alignment vertical="center"/>
    </xf>
    <xf numFmtId="171" fontId="47" fillId="7" borderId="31" xfId="0" applyNumberFormat="1" applyFont="1" applyFill="1" applyBorder="1" applyAlignment="1">
      <alignment horizontal="center" vertical="center"/>
    </xf>
    <xf numFmtId="171" fontId="13" fillId="7" borderId="0" xfId="0" applyNumberFormat="1" applyFont="1" applyFill="1" applyAlignment="1">
      <alignment horizontal="center"/>
    </xf>
    <xf numFmtId="9" fontId="15" fillId="7" borderId="0" xfId="2" applyFont="1" applyFill="1" applyAlignment="1">
      <alignment horizontal="center" vertical="center"/>
    </xf>
    <xf numFmtId="0" fontId="61" fillId="7" borderId="0" xfId="0" applyFont="1" applyFill="1" applyAlignment="1">
      <alignment vertical="center"/>
    </xf>
    <xf numFmtId="0" fontId="62" fillId="7" borderId="0" xfId="0" applyFont="1" applyFill="1" applyAlignment="1">
      <alignment vertical="center"/>
    </xf>
    <xf numFmtId="0" fontId="63" fillId="7" borderId="0" xfId="0" applyFont="1" applyFill="1" applyAlignment="1">
      <alignment horizontal="center" vertical="center"/>
    </xf>
    <xf numFmtId="0" fontId="63" fillId="7" borderId="0" xfId="0" applyFont="1" applyFill="1"/>
    <xf numFmtId="0" fontId="64" fillId="7" borderId="0" xfId="0" applyFont="1" applyFill="1" applyAlignment="1">
      <alignment horizontal="center" vertical="center"/>
    </xf>
    <xf numFmtId="0" fontId="60" fillId="7" borderId="31" xfId="0" applyFont="1" applyFill="1" applyBorder="1" applyAlignment="1">
      <alignment horizontal="left"/>
    </xf>
    <xf numFmtId="0" fontId="65" fillId="10" borderId="0" xfId="0" applyFont="1" applyFill="1" applyAlignment="1">
      <alignment horizontal="left"/>
    </xf>
    <xf numFmtId="171" fontId="57" fillId="10" borderId="0" xfId="0" applyNumberFormat="1" applyFont="1" applyFill="1" applyAlignment="1">
      <alignment horizontal="center"/>
    </xf>
    <xf numFmtId="0" fontId="57" fillId="10" borderId="0" xfId="0" applyFont="1" applyFill="1"/>
    <xf numFmtId="0" fontId="65" fillId="10" borderId="0" xfId="0" applyFont="1" applyFill="1" applyAlignment="1">
      <alignment horizontal="center" vertical="center"/>
    </xf>
    <xf numFmtId="0" fontId="66" fillId="10" borderId="0" xfId="0" applyFont="1" applyFill="1"/>
    <xf numFmtId="171" fontId="7" fillId="10" borderId="0" xfId="0" applyNumberFormat="1" applyFont="1" applyFill="1" applyAlignment="1">
      <alignment horizontal="center" vertical="center"/>
    </xf>
    <xf numFmtId="171" fontId="13" fillId="0" borderId="0" xfId="0" applyNumberFormat="1" applyFont="1" applyAlignment="1">
      <alignment horizontal="center"/>
    </xf>
    <xf numFmtId="170" fontId="13" fillId="7" borderId="0" xfId="0" applyNumberFormat="1" applyFont="1" applyFill="1" applyAlignment="1">
      <alignment horizontal="center"/>
    </xf>
    <xf numFmtId="1" fontId="60" fillId="7" borderId="31" xfId="0" applyNumberFormat="1" applyFont="1" applyFill="1" applyBorder="1" applyAlignment="1">
      <alignment horizontal="left"/>
    </xf>
    <xf numFmtId="1" fontId="47" fillId="7" borderId="31" xfId="0" applyNumberFormat="1" applyFont="1" applyFill="1" applyBorder="1" applyAlignment="1">
      <alignment horizontal="center" vertical="center"/>
    </xf>
    <xf numFmtId="1" fontId="60" fillId="8" borderId="31" xfId="0" applyNumberFormat="1" applyFont="1" applyFill="1" applyBorder="1" applyAlignment="1">
      <alignment horizontal="left"/>
    </xf>
    <xf numFmtId="1" fontId="47" fillId="8" borderId="31" xfId="0" applyNumberFormat="1" applyFont="1" applyFill="1" applyBorder="1" applyAlignment="1">
      <alignment horizontal="center" vertical="center"/>
    </xf>
    <xf numFmtId="9" fontId="67" fillId="7" borderId="0" xfId="2" applyFont="1" applyFill="1" applyBorder="1" applyAlignment="1">
      <alignment horizontal="left" vertical="center"/>
    </xf>
    <xf numFmtId="0" fontId="43" fillId="7" borderId="0" xfId="0" applyFont="1" applyFill="1" applyAlignment="1">
      <alignment horizontal="center"/>
    </xf>
    <xf numFmtId="0" fontId="45" fillId="10" borderId="30" xfId="0" applyFont="1" applyFill="1" applyBorder="1" applyAlignment="1">
      <alignment horizontal="right" vertical="center"/>
    </xf>
    <xf numFmtId="0" fontId="70" fillId="7" borderId="0" xfId="0" applyFont="1" applyFill="1" applyAlignment="1">
      <alignment horizontal="center" vertical="center"/>
    </xf>
    <xf numFmtId="0" fontId="3" fillId="0" borderId="10" xfId="0" applyFont="1" applyBorder="1" applyAlignment="1">
      <alignment horizontal="center" vertical="center"/>
    </xf>
    <xf numFmtId="3" fontId="13" fillId="7" borderId="0" xfId="0" applyNumberFormat="1" applyFont="1" applyFill="1" applyAlignment="1">
      <alignment horizontal="center"/>
    </xf>
    <xf numFmtId="3" fontId="0" fillId="10" borderId="0" xfId="0" applyNumberFormat="1" applyFill="1"/>
    <xf numFmtId="0" fontId="60" fillId="7" borderId="0" xfId="0" applyFont="1" applyFill="1" applyAlignment="1">
      <alignment vertical="center"/>
    </xf>
    <xf numFmtId="170" fontId="43" fillId="7" borderId="0" xfId="0" applyNumberFormat="1" applyFont="1" applyFill="1" applyAlignment="1">
      <alignment horizontal="center"/>
    </xf>
    <xf numFmtId="170" fontId="36" fillId="7" borderId="18" xfId="0" applyNumberFormat="1" applyFont="1" applyFill="1" applyBorder="1" applyAlignment="1">
      <alignment horizontal="center"/>
    </xf>
    <xf numFmtId="170" fontId="38" fillId="7" borderId="0" xfId="0" applyNumberFormat="1" applyFont="1" applyFill="1" applyAlignment="1">
      <alignment horizontal="center"/>
    </xf>
    <xf numFmtId="171" fontId="43" fillId="7" borderId="20" xfId="2" applyNumberFormat="1" applyFont="1" applyFill="1" applyBorder="1" applyAlignment="1">
      <alignment horizontal="center"/>
    </xf>
    <xf numFmtId="9" fontId="44" fillId="7" borderId="18" xfId="2" applyFont="1" applyFill="1" applyBorder="1" applyAlignment="1">
      <alignment horizontal="center" vertical="center"/>
    </xf>
    <xf numFmtId="9" fontId="44" fillId="7" borderId="18" xfId="2" applyFont="1" applyFill="1" applyBorder="1" applyAlignment="1">
      <alignment vertical="center"/>
    </xf>
    <xf numFmtId="9" fontId="0" fillId="7" borderId="0" xfId="0" applyNumberFormat="1" applyFill="1"/>
    <xf numFmtId="167" fontId="13" fillId="10" borderId="0" xfId="0" applyNumberFormat="1" applyFont="1" applyFill="1" applyAlignment="1">
      <alignment horizontal="center"/>
    </xf>
    <xf numFmtId="0" fontId="0" fillId="10" borderId="0" xfId="0" applyFill="1" applyAlignment="1">
      <alignment horizontal="center"/>
    </xf>
    <xf numFmtId="0" fontId="0" fillId="7" borderId="0" xfId="0" applyFill="1" applyAlignment="1">
      <alignment horizontal="center"/>
    </xf>
    <xf numFmtId="0" fontId="42" fillId="7" borderId="18" xfId="0" applyFont="1" applyFill="1" applyBorder="1" applyAlignment="1">
      <alignment horizontal="center"/>
    </xf>
    <xf numFmtId="170" fontId="43" fillId="7" borderId="19" xfId="0" applyNumberFormat="1" applyFont="1" applyFill="1" applyBorder="1"/>
    <xf numFmtId="9" fontId="43" fillId="7" borderId="19" xfId="2" applyFont="1" applyFill="1" applyBorder="1" applyAlignment="1"/>
    <xf numFmtId="171" fontId="43" fillId="7" borderId="20" xfId="2" applyNumberFormat="1" applyFont="1" applyFill="1" applyBorder="1" applyAlignment="1"/>
    <xf numFmtId="9" fontId="44" fillId="7" borderId="18" xfId="2" applyFont="1" applyFill="1" applyBorder="1" applyAlignment="1">
      <alignment horizontal="right" vertical="center"/>
    </xf>
    <xf numFmtId="170" fontId="21" fillId="7" borderId="0" xfId="0" applyNumberFormat="1" applyFont="1" applyFill="1" applyAlignment="1">
      <alignment horizontal="center"/>
    </xf>
    <xf numFmtId="0" fontId="60" fillId="7" borderId="13" xfId="0" applyFont="1" applyFill="1" applyBorder="1" applyAlignment="1">
      <alignment horizontal="left" vertical="center"/>
    </xf>
    <xf numFmtId="0" fontId="60" fillId="7" borderId="0" xfId="0" applyFont="1" applyFill="1" applyAlignment="1">
      <alignment horizontal="center" vertical="center"/>
    </xf>
    <xf numFmtId="170" fontId="41" fillId="7" borderId="0" xfId="0" applyNumberFormat="1" applyFont="1" applyFill="1" applyAlignment="1">
      <alignment horizontal="center" vertical="center"/>
    </xf>
    <xf numFmtId="167" fontId="42" fillId="7" borderId="0" xfId="0" applyNumberFormat="1" applyFont="1" applyFill="1" applyAlignment="1">
      <alignment horizontal="center"/>
    </xf>
    <xf numFmtId="167" fontId="42" fillId="0" borderId="0" xfId="0" applyNumberFormat="1" applyFont="1" applyAlignment="1">
      <alignment horizontal="center"/>
    </xf>
    <xf numFmtId="0" fontId="8" fillId="7" borderId="0" xfId="0" applyFont="1" applyFill="1" applyAlignment="1">
      <alignment horizontal="center"/>
    </xf>
    <xf numFmtId="9" fontId="13" fillId="7" borderId="0" xfId="2" applyFont="1" applyFill="1" applyAlignment="1">
      <alignment horizontal="center"/>
    </xf>
    <xf numFmtId="9" fontId="43" fillId="7" borderId="20" xfId="2" applyFont="1" applyFill="1" applyBorder="1" applyAlignment="1"/>
    <xf numFmtId="9" fontId="41" fillId="7" borderId="0" xfId="2" applyFont="1" applyFill="1" applyAlignment="1">
      <alignment horizontal="left" vertical="center"/>
    </xf>
    <xf numFmtId="10" fontId="41" fillId="7" borderId="0" xfId="2" applyNumberFormat="1" applyFont="1" applyFill="1" applyBorder="1" applyAlignment="1">
      <alignment horizontal="left" vertical="center"/>
    </xf>
    <xf numFmtId="0" fontId="60" fillId="10" borderId="0" xfId="0" applyFont="1" applyFill="1" applyAlignment="1">
      <alignment horizontal="left" vertical="center"/>
    </xf>
    <xf numFmtId="0" fontId="2" fillId="7" borderId="0" xfId="0" applyFont="1" applyFill="1"/>
    <xf numFmtId="0" fontId="71" fillId="3" borderId="0" xfId="0" applyFont="1" applyFill="1" applyAlignment="1">
      <alignment vertical="center"/>
    </xf>
    <xf numFmtId="165" fontId="0" fillId="0" borderId="0" xfId="4" applyFont="1"/>
    <xf numFmtId="9" fontId="43" fillId="10" borderId="0" xfId="2" applyFont="1" applyFill="1" applyBorder="1" applyAlignment="1"/>
    <xf numFmtId="9" fontId="73" fillId="7" borderId="0" xfId="2" applyFont="1" applyFill="1" applyAlignment="1">
      <alignment horizontal="right"/>
    </xf>
    <xf numFmtId="0" fontId="47" fillId="7" borderId="48" xfId="0" applyFont="1" applyFill="1" applyBorder="1" applyAlignment="1">
      <alignment horizontal="left"/>
    </xf>
    <xf numFmtId="171" fontId="47" fillId="7" borderId="48" xfId="0" applyNumberFormat="1" applyFont="1" applyFill="1" applyBorder="1" applyAlignment="1">
      <alignment horizontal="right"/>
    </xf>
    <xf numFmtId="9" fontId="56" fillId="7" borderId="48" xfId="2" applyFont="1" applyFill="1" applyBorder="1" applyAlignment="1">
      <alignment horizontal="right"/>
    </xf>
    <xf numFmtId="0" fontId="34" fillId="8" borderId="0" xfId="0" applyFont="1" applyFill="1" applyAlignment="1">
      <alignment horizontal="right"/>
    </xf>
    <xf numFmtId="0" fontId="0" fillId="0" borderId="0" xfId="0" applyAlignment="1">
      <alignment horizontal="left" vertical="top" wrapText="1"/>
    </xf>
    <xf numFmtId="170" fontId="50" fillId="7" borderId="0" xfId="0" applyNumberFormat="1" applyFont="1" applyFill="1" applyAlignment="1">
      <alignment horizontal="right" vertical="center" wrapText="1"/>
    </xf>
    <xf numFmtId="3" fontId="21" fillId="7" borderId="0" xfId="0" applyNumberFormat="1" applyFont="1" applyFill="1" applyAlignment="1">
      <alignment horizontal="center"/>
    </xf>
    <xf numFmtId="171" fontId="47" fillId="7" borderId="0" xfId="0" applyNumberFormat="1" applyFont="1" applyFill="1" applyAlignment="1">
      <alignment vertical="center"/>
    </xf>
    <xf numFmtId="171" fontId="73" fillId="7" borderId="0" xfId="2" applyNumberFormat="1" applyFont="1" applyFill="1" applyAlignment="1">
      <alignment horizontal="right"/>
    </xf>
    <xf numFmtId="171" fontId="29" fillId="7" borderId="0" xfId="0" applyNumberFormat="1" applyFont="1" applyFill="1"/>
    <xf numFmtId="167" fontId="42" fillId="10" borderId="0" xfId="0" applyNumberFormat="1" applyFont="1" applyFill="1" applyAlignment="1">
      <alignment horizontal="center"/>
    </xf>
    <xf numFmtId="0" fontId="8" fillId="10" borderId="0" xfId="0" applyFont="1" applyFill="1" applyAlignment="1">
      <alignment horizontal="center"/>
    </xf>
    <xf numFmtId="171" fontId="12" fillId="7" borderId="0" xfId="0" applyNumberFormat="1" applyFont="1" applyFill="1"/>
    <xf numFmtId="0" fontId="0" fillId="7" borderId="0" xfId="0" quotePrefix="1" applyFill="1"/>
    <xf numFmtId="0" fontId="12" fillId="7" borderId="0" xfId="0" quotePrefix="1" applyFont="1" applyFill="1"/>
    <xf numFmtId="171" fontId="75" fillId="7" borderId="18" xfId="0" applyNumberFormat="1" applyFont="1" applyFill="1" applyBorder="1" applyAlignment="1">
      <alignment horizontal="right"/>
    </xf>
    <xf numFmtId="171" fontId="47" fillId="7" borderId="0" xfId="0" applyNumberFormat="1" applyFont="1" applyFill="1" applyAlignment="1">
      <alignment horizontal="right"/>
    </xf>
    <xf numFmtId="171" fontId="15" fillId="7" borderId="0" xfId="4" applyNumberFormat="1" applyFont="1" applyFill="1" applyAlignment="1">
      <alignment horizontal="center"/>
    </xf>
    <xf numFmtId="171" fontId="15" fillId="0" borderId="0" xfId="4" applyNumberFormat="1" applyFont="1" applyAlignment="1">
      <alignment horizontal="center"/>
    </xf>
    <xf numFmtId="171" fontId="15" fillId="7" borderId="0" xfId="4" applyNumberFormat="1" applyFont="1" applyFill="1" applyAlignment="1">
      <alignment horizontal="center" vertical="center"/>
    </xf>
    <xf numFmtId="0" fontId="3" fillId="10" borderId="0" xfId="0" applyFont="1" applyFill="1"/>
    <xf numFmtId="0" fontId="7" fillId="10" borderId="0" xfId="0" applyFont="1" applyFill="1" applyAlignment="1">
      <alignment horizontal="left"/>
    </xf>
    <xf numFmtId="171" fontId="66" fillId="10" borderId="0" xfId="0" applyNumberFormat="1" applyFont="1" applyFill="1" applyAlignment="1">
      <alignment horizontal="center"/>
    </xf>
    <xf numFmtId="0" fontId="3" fillId="7" borderId="0" xfId="0" applyFont="1" applyFill="1"/>
    <xf numFmtId="171" fontId="3" fillId="7" borderId="0" xfId="0" applyNumberFormat="1" applyFont="1" applyFill="1"/>
    <xf numFmtId="9" fontId="56" fillId="7" borderId="0" xfId="2" applyFont="1" applyFill="1" applyBorder="1" applyAlignment="1">
      <alignment horizontal="right"/>
    </xf>
    <xf numFmtId="0" fontId="0" fillId="7" borderId="0" xfId="0" applyFill="1" applyAlignment="1">
      <alignment horizontal="left"/>
    </xf>
    <xf numFmtId="0" fontId="0" fillId="7" borderId="0" xfId="0" quotePrefix="1" applyFill="1" applyAlignment="1">
      <alignment horizontal="left"/>
    </xf>
    <xf numFmtId="171" fontId="47" fillId="7" borderId="18" xfId="0" applyNumberFormat="1" applyFont="1" applyFill="1" applyBorder="1" applyAlignment="1">
      <alignment horizontal="left"/>
    </xf>
    <xf numFmtId="171" fontId="30" fillId="7" borderId="0" xfId="0" applyNumberFormat="1" applyFont="1" applyFill="1" applyAlignment="1">
      <alignment horizontal="left"/>
    </xf>
    <xf numFmtId="0" fontId="40" fillId="7" borderId="0" xfId="0" applyFont="1" applyFill="1" applyAlignment="1">
      <alignment horizontal="left" vertical="center"/>
    </xf>
    <xf numFmtId="0" fontId="12" fillId="7" borderId="0" xfId="0" quotePrefix="1" applyFont="1" applyFill="1" applyAlignment="1">
      <alignment horizontal="left"/>
    </xf>
    <xf numFmtId="171" fontId="47" fillId="7" borderId="0" xfId="0" applyNumberFormat="1" applyFont="1" applyFill="1" applyAlignment="1">
      <alignment horizontal="left"/>
    </xf>
    <xf numFmtId="171" fontId="75" fillId="7" borderId="18" xfId="0" applyNumberFormat="1" applyFont="1" applyFill="1" applyBorder="1" applyAlignment="1">
      <alignment horizontal="left"/>
    </xf>
    <xf numFmtId="9" fontId="47" fillId="7" borderId="18" xfId="2" applyFont="1" applyFill="1" applyBorder="1" applyAlignment="1">
      <alignment horizontal="right"/>
    </xf>
    <xf numFmtId="165" fontId="0" fillId="10" borderId="0" xfId="4" applyFont="1" applyFill="1"/>
    <xf numFmtId="10" fontId="0" fillId="0" borderId="0" xfId="2" applyNumberFormat="1" applyFont="1"/>
    <xf numFmtId="10" fontId="0" fillId="0" borderId="0" xfId="0" applyNumberFormat="1"/>
    <xf numFmtId="0" fontId="78" fillId="0" borderId="0" xfId="0" applyFont="1"/>
    <xf numFmtId="10" fontId="78" fillId="0" borderId="0" xfId="0" applyNumberFormat="1" applyFont="1"/>
    <xf numFmtId="0" fontId="77" fillId="0" borderId="0" xfId="0" applyFont="1"/>
    <xf numFmtId="165" fontId="0" fillId="0" borderId="0" xfId="0" applyNumberFormat="1"/>
    <xf numFmtId="171" fontId="0" fillId="0" borderId="0" xfId="4" applyNumberFormat="1" applyFont="1"/>
    <xf numFmtId="9" fontId="0" fillId="0" borderId="0" xfId="0" applyNumberFormat="1"/>
    <xf numFmtId="49" fontId="69" fillId="10" borderId="0" xfId="0" applyNumberFormat="1" applyFont="1" applyFill="1" applyAlignment="1">
      <alignment horizontal="left" vertical="top" wrapText="1"/>
    </xf>
    <xf numFmtId="0" fontId="11" fillId="10" borderId="0" xfId="0" applyFont="1" applyFill="1"/>
    <xf numFmtId="0" fontId="60" fillId="10" borderId="0" xfId="0" applyFont="1" applyFill="1" applyAlignment="1">
      <alignment vertical="center"/>
    </xf>
    <xf numFmtId="9" fontId="41" fillId="7" borderId="0" xfId="2" applyFont="1" applyFill="1" applyBorder="1" applyAlignment="1">
      <alignment horizontal="center" vertical="center"/>
    </xf>
    <xf numFmtId="0" fontId="60" fillId="7" borderId="0" xfId="0" applyFont="1" applyFill="1" applyAlignment="1">
      <alignment horizontal="right" vertical="center"/>
    </xf>
    <xf numFmtId="49" fontId="69" fillId="10" borderId="0" xfId="0" applyNumberFormat="1" applyFont="1" applyFill="1" applyAlignment="1">
      <alignment vertical="top" wrapText="1"/>
    </xf>
    <xf numFmtId="49" fontId="69" fillId="7" borderId="0" xfId="0" applyNumberFormat="1" applyFont="1" applyFill="1" applyAlignment="1">
      <alignment vertical="top" wrapText="1"/>
    </xf>
    <xf numFmtId="1" fontId="52" fillId="7" borderId="49" xfId="0" applyNumberFormat="1" applyFont="1" applyFill="1" applyBorder="1" applyAlignment="1">
      <alignment horizontal="right" vertical="center"/>
    </xf>
    <xf numFmtId="1" fontId="52" fillId="7" borderId="50" xfId="0" applyNumberFormat="1" applyFont="1" applyFill="1" applyBorder="1" applyAlignment="1">
      <alignment horizontal="right" vertical="center"/>
    </xf>
    <xf numFmtId="1" fontId="79" fillId="7" borderId="50" xfId="0" applyNumberFormat="1" applyFont="1" applyFill="1" applyBorder="1" applyAlignment="1">
      <alignment horizontal="right" vertical="center"/>
    </xf>
    <xf numFmtId="0" fontId="0" fillId="7" borderId="0" xfId="0" applyFill="1" applyAlignment="1">
      <alignment horizontal="right" vertical="center"/>
    </xf>
    <xf numFmtId="0" fontId="8" fillId="7" borderId="0" xfId="0" applyFont="1" applyFill="1" applyAlignment="1">
      <alignment horizontal="right"/>
    </xf>
    <xf numFmtId="0" fontId="8" fillId="10" borderId="0" xfId="0" applyFont="1" applyFill="1" applyAlignment="1">
      <alignment horizontal="right"/>
    </xf>
    <xf numFmtId="170" fontId="80" fillId="7" borderId="49" xfId="0" applyNumberFormat="1" applyFont="1" applyFill="1" applyBorder="1" applyAlignment="1">
      <alignment horizontal="center" vertical="center"/>
    </xf>
    <xf numFmtId="9" fontId="80" fillId="7" borderId="49" xfId="2" applyFont="1" applyFill="1" applyBorder="1" applyAlignment="1">
      <alignment horizontal="right" vertical="center"/>
    </xf>
    <xf numFmtId="9" fontId="80" fillId="7" borderId="49" xfId="2" applyFont="1" applyFill="1" applyBorder="1" applyAlignment="1">
      <alignment horizontal="center" vertical="center"/>
    </xf>
    <xf numFmtId="170" fontId="76" fillId="7" borderId="0" xfId="0" applyNumberFormat="1" applyFont="1" applyFill="1" applyAlignment="1">
      <alignment horizontal="left" vertical="center"/>
    </xf>
    <xf numFmtId="0" fontId="31" fillId="10" borderId="0" xfId="0" applyFont="1" applyFill="1" applyAlignment="1">
      <alignment horizontal="center" vertical="center"/>
    </xf>
    <xf numFmtId="0" fontId="31" fillId="7" borderId="0" xfId="0" applyFont="1" applyFill="1" applyAlignment="1">
      <alignment horizontal="center" vertical="center"/>
    </xf>
    <xf numFmtId="0" fontId="81" fillId="7" borderId="0" xfId="0" applyFont="1" applyFill="1" applyAlignment="1">
      <alignment vertical="center"/>
    </xf>
    <xf numFmtId="0" fontId="42" fillId="7" borderId="0" xfId="0" applyFont="1" applyFill="1" applyAlignment="1">
      <alignment horizontal="right"/>
    </xf>
    <xf numFmtId="0" fontId="42" fillId="10" borderId="0" xfId="0" applyFont="1" applyFill="1" applyAlignment="1">
      <alignment horizontal="right"/>
    </xf>
    <xf numFmtId="0" fontId="39" fillId="7" borderId="0" xfId="0" applyFont="1" applyFill="1" applyAlignment="1">
      <alignment vertical="top" wrapText="1"/>
    </xf>
    <xf numFmtId="170" fontId="76" fillId="0" borderId="0" xfId="0" applyNumberFormat="1" applyFont="1" applyAlignment="1">
      <alignment horizontal="left" vertical="center"/>
    </xf>
    <xf numFmtId="10" fontId="0" fillId="0" borderId="0" xfId="2" applyNumberFormat="1" applyFont="1" applyAlignment="1">
      <alignment horizontal="center"/>
    </xf>
    <xf numFmtId="171" fontId="11" fillId="3" borderId="0" xfId="0" applyNumberFormat="1" applyFont="1" applyFill="1"/>
    <xf numFmtId="9" fontId="41" fillId="10" borderId="0" xfId="2" applyFont="1" applyFill="1" applyBorder="1" applyAlignment="1">
      <alignment horizontal="center" vertical="center"/>
    </xf>
    <xf numFmtId="0" fontId="60" fillId="10" borderId="0" xfId="0" applyFont="1" applyFill="1" applyAlignment="1">
      <alignment horizontal="center" vertical="center"/>
    </xf>
    <xf numFmtId="0" fontId="81" fillId="10" borderId="0" xfId="0" applyFont="1" applyFill="1" applyAlignment="1">
      <alignment vertical="center"/>
    </xf>
    <xf numFmtId="170" fontId="80" fillId="10" borderId="0" xfId="0" applyNumberFormat="1" applyFont="1" applyFill="1" applyAlignment="1">
      <alignment horizontal="center" vertical="center"/>
    </xf>
    <xf numFmtId="9" fontId="80" fillId="10" borderId="0" xfId="2" applyFont="1" applyFill="1" applyBorder="1" applyAlignment="1">
      <alignment horizontal="right" vertical="center"/>
    </xf>
    <xf numFmtId="1" fontId="52" fillId="10" borderId="0" xfId="0" applyNumberFormat="1" applyFont="1" applyFill="1" applyAlignment="1">
      <alignment horizontal="right" vertical="center"/>
    </xf>
    <xf numFmtId="9" fontId="80" fillId="10" borderId="0" xfId="2" applyFont="1" applyFill="1" applyBorder="1" applyAlignment="1">
      <alignment horizontal="center" vertical="center"/>
    </xf>
    <xf numFmtId="1" fontId="79" fillId="10" borderId="0" xfId="0" applyNumberFormat="1" applyFont="1" applyFill="1" applyAlignment="1">
      <alignment horizontal="right" vertical="center"/>
    </xf>
    <xf numFmtId="0" fontId="39" fillId="10" borderId="0" xfId="0" applyFont="1" applyFill="1" applyAlignment="1">
      <alignment vertical="top" wrapText="1"/>
    </xf>
    <xf numFmtId="170" fontId="80" fillId="7" borderId="0" xfId="0" applyNumberFormat="1" applyFont="1" applyFill="1" applyAlignment="1">
      <alignment horizontal="center" vertical="center"/>
    </xf>
    <xf numFmtId="9" fontId="80" fillId="7" borderId="0" xfId="2" applyFont="1" applyFill="1" applyBorder="1" applyAlignment="1">
      <alignment horizontal="right" vertical="center"/>
    </xf>
    <xf numFmtId="0" fontId="12" fillId="7" borderId="0" xfId="0" applyFont="1" applyFill="1" applyAlignment="1">
      <alignment vertical="center"/>
    </xf>
    <xf numFmtId="10" fontId="81" fillId="7" borderId="0" xfId="0" applyNumberFormat="1" applyFont="1" applyFill="1" applyAlignment="1">
      <alignment horizontal="center" vertical="center"/>
    </xf>
    <xf numFmtId="0" fontId="0" fillId="10" borderId="0" xfId="0" quotePrefix="1" applyFill="1" applyAlignment="1">
      <alignment vertical="top" wrapText="1"/>
    </xf>
    <xf numFmtId="0" fontId="0" fillId="10" borderId="0" xfId="0" applyFill="1" applyAlignment="1">
      <alignment vertical="top" wrapText="1"/>
    </xf>
    <xf numFmtId="0" fontId="82" fillId="7" borderId="0" xfId="0" applyFont="1" applyFill="1" applyAlignment="1">
      <alignment horizontal="left"/>
    </xf>
    <xf numFmtId="1" fontId="79" fillId="7" borderId="0" xfId="0" applyNumberFormat="1" applyFont="1" applyFill="1" applyAlignment="1">
      <alignment horizontal="right" vertical="center"/>
    </xf>
    <xf numFmtId="0" fontId="0" fillId="7" borderId="0" xfId="0" quotePrefix="1" applyFill="1" applyAlignment="1">
      <alignment vertical="top" wrapText="1"/>
    </xf>
    <xf numFmtId="0" fontId="0" fillId="7" borderId="0" xfId="0" applyFill="1" applyAlignment="1">
      <alignment vertical="top" wrapText="1"/>
    </xf>
    <xf numFmtId="1" fontId="52" fillId="7" borderId="0" xfId="0" applyNumberFormat="1" applyFont="1" applyFill="1" applyAlignment="1">
      <alignment horizontal="right" vertical="center"/>
    </xf>
    <xf numFmtId="170" fontId="80" fillId="10" borderId="0" xfId="0" applyNumberFormat="1" applyFont="1" applyFill="1" applyAlignment="1">
      <alignment vertical="center"/>
    </xf>
    <xf numFmtId="9" fontId="80" fillId="10" borderId="0" xfId="2" applyFont="1" applyFill="1" applyBorder="1" applyAlignment="1">
      <alignment vertical="center"/>
    </xf>
    <xf numFmtId="170" fontId="80" fillId="7" borderId="0" xfId="0" applyNumberFormat="1" applyFont="1" applyFill="1" applyAlignment="1">
      <alignment vertical="center"/>
    </xf>
    <xf numFmtId="9" fontId="80" fillId="7" borderId="0" xfId="2" applyFont="1" applyFill="1" applyBorder="1" applyAlignment="1">
      <alignment vertical="center"/>
    </xf>
    <xf numFmtId="170" fontId="41" fillId="10" borderId="0" xfId="0" applyNumberFormat="1" applyFont="1" applyFill="1" applyAlignment="1">
      <alignment vertical="center"/>
    </xf>
    <xf numFmtId="9" fontId="80" fillId="7" borderId="0" xfId="2" applyFont="1" applyFill="1" applyBorder="1" applyAlignment="1">
      <alignment horizontal="center" vertical="center"/>
    </xf>
    <xf numFmtId="0" fontId="27" fillId="10" borderId="0" xfId="0" applyFont="1" applyFill="1"/>
    <xf numFmtId="0" fontId="28" fillId="10" borderId="0" xfId="0" applyFont="1" applyFill="1"/>
    <xf numFmtId="0" fontId="25" fillId="7" borderId="0" xfId="0" applyFont="1" applyFill="1" applyAlignment="1">
      <alignment vertical="top" wrapText="1"/>
    </xf>
    <xf numFmtId="0" fontId="27" fillId="7" borderId="0" xfId="0" applyFont="1" applyFill="1" applyAlignment="1">
      <alignment vertical="top" wrapText="1"/>
    </xf>
    <xf numFmtId="0" fontId="27" fillId="10" borderId="0" xfId="0" applyFont="1" applyFill="1" applyAlignment="1">
      <alignment vertical="top" wrapText="1"/>
    </xf>
    <xf numFmtId="0" fontId="31" fillId="10" borderId="29" xfId="0" applyFont="1" applyFill="1" applyBorder="1" applyAlignment="1">
      <alignment horizontal="center" vertical="center"/>
    </xf>
    <xf numFmtId="0" fontId="31" fillId="10" borderId="28" xfId="0" applyFont="1" applyFill="1" applyBorder="1" applyAlignment="1">
      <alignment horizontal="center" vertical="center"/>
    </xf>
    <xf numFmtId="1" fontId="81" fillId="7" borderId="0" xfId="2" applyNumberFormat="1" applyFont="1" applyFill="1" applyBorder="1" applyAlignment="1">
      <alignment horizontal="center" vertical="center"/>
    </xf>
    <xf numFmtId="49" fontId="69" fillId="0" borderId="0" xfId="0" applyNumberFormat="1" applyFont="1" applyAlignment="1">
      <alignment vertical="top" wrapText="1"/>
    </xf>
    <xf numFmtId="0" fontId="74" fillId="7" borderId="0" xfId="0" applyFont="1" applyFill="1" applyAlignment="1">
      <alignment horizontal="right"/>
    </xf>
    <xf numFmtId="10" fontId="0" fillId="7" borderId="0" xfId="0" applyNumberFormat="1" applyFill="1"/>
    <xf numFmtId="10" fontId="81" fillId="7" borderId="0" xfId="2" applyNumberFormat="1" applyFont="1" applyFill="1" applyBorder="1" applyAlignment="1">
      <alignment horizontal="center" vertical="center"/>
    </xf>
    <xf numFmtId="171" fontId="83" fillId="7" borderId="0" xfId="0" applyNumberFormat="1" applyFont="1" applyFill="1" applyAlignment="1">
      <alignment horizontal="center" vertical="center"/>
    </xf>
    <xf numFmtId="0" fontId="4" fillId="7" borderId="0" xfId="0" applyFont="1" applyFill="1" applyAlignment="1">
      <alignment horizontal="left" vertical="center"/>
    </xf>
    <xf numFmtId="10" fontId="0" fillId="7" borderId="0" xfId="2" applyNumberFormat="1" applyFont="1" applyFill="1" applyBorder="1" applyAlignment="1"/>
    <xf numFmtId="0" fontId="82" fillId="10" borderId="0" xfId="0" applyFont="1" applyFill="1" applyAlignment="1">
      <alignment horizontal="left"/>
    </xf>
    <xf numFmtId="10" fontId="81" fillId="10" borderId="0" xfId="0" applyNumberFormat="1" applyFont="1" applyFill="1" applyAlignment="1">
      <alignment horizontal="center" vertical="center"/>
    </xf>
    <xf numFmtId="0" fontId="81" fillId="7" borderId="0" xfId="0" applyFont="1" applyFill="1" applyAlignment="1">
      <alignment horizontal="left" vertical="center"/>
    </xf>
    <xf numFmtId="0" fontId="12" fillId="7" borderId="0" xfId="0" applyFont="1" applyFill="1" applyAlignment="1">
      <alignment horizontal="left" vertical="center"/>
    </xf>
    <xf numFmtId="0" fontId="84" fillId="7" borderId="0" xfId="0" applyFont="1" applyFill="1" applyAlignment="1">
      <alignment horizontal="right" vertical="center"/>
    </xf>
    <xf numFmtId="170" fontId="85" fillId="7" borderId="0" xfId="0" applyNumberFormat="1" applyFont="1" applyFill="1" applyAlignment="1">
      <alignment horizontal="right" vertical="center"/>
    </xf>
    <xf numFmtId="9" fontId="85" fillId="7" borderId="0" xfId="2" applyFont="1" applyFill="1" applyBorder="1" applyAlignment="1">
      <alignment horizontal="right" vertical="center"/>
    </xf>
    <xf numFmtId="170" fontId="80" fillId="7" borderId="0" xfId="0" applyNumberFormat="1" applyFont="1" applyFill="1" applyAlignment="1">
      <alignment horizontal="right" vertical="center"/>
    </xf>
    <xf numFmtId="0" fontId="43" fillId="7" borderId="0" xfId="0" applyFont="1" applyFill="1" applyAlignment="1">
      <alignment horizontal="right"/>
    </xf>
    <xf numFmtId="0" fontId="86" fillId="7" borderId="0" xfId="0" applyFont="1" applyFill="1" applyAlignment="1">
      <alignment horizontal="right" vertical="center"/>
    </xf>
    <xf numFmtId="0" fontId="87" fillId="7" borderId="0" xfId="0" applyFont="1" applyFill="1" applyAlignment="1">
      <alignment horizontal="right"/>
    </xf>
    <xf numFmtId="0" fontId="82" fillId="7" borderId="0" xfId="0" applyFont="1" applyFill="1" applyAlignment="1">
      <alignment horizontal="right"/>
    </xf>
    <xf numFmtId="0" fontId="12" fillId="7" borderId="0" xfId="0" applyFont="1" applyFill="1" applyAlignment="1">
      <alignment horizontal="right" vertical="center"/>
    </xf>
    <xf numFmtId="10" fontId="81" fillId="7" borderId="0" xfId="0" applyNumberFormat="1" applyFont="1" applyFill="1" applyAlignment="1">
      <alignment horizontal="right" vertical="center"/>
    </xf>
    <xf numFmtId="0" fontId="81" fillId="7" borderId="0" xfId="0" applyFont="1" applyFill="1" applyAlignment="1">
      <alignment horizontal="right" vertical="center"/>
    </xf>
    <xf numFmtId="0" fontId="39" fillId="7" borderId="0" xfId="0" applyFont="1" applyFill="1" applyAlignment="1">
      <alignment horizontal="right" vertical="top" wrapText="1"/>
    </xf>
    <xf numFmtId="0" fontId="0" fillId="7" borderId="0" xfId="0" quotePrefix="1" applyFill="1" applyAlignment="1">
      <alignment horizontal="right" vertical="top" wrapText="1"/>
    </xf>
    <xf numFmtId="0" fontId="0" fillId="7" borderId="0" xfId="0" applyFill="1" applyAlignment="1">
      <alignment horizontal="right" vertical="top" wrapText="1"/>
    </xf>
    <xf numFmtId="0" fontId="39" fillId="7" borderId="0" xfId="0" applyFont="1" applyFill="1" applyAlignment="1">
      <alignment horizontal="left" vertical="top"/>
    </xf>
    <xf numFmtId="0" fontId="74" fillId="10" borderId="0" xfId="0" applyFont="1" applyFill="1" applyAlignment="1">
      <alignment horizontal="right"/>
    </xf>
    <xf numFmtId="10" fontId="0" fillId="10" borderId="0" xfId="0" applyNumberFormat="1" applyFill="1"/>
    <xf numFmtId="0" fontId="25" fillId="10" borderId="0" xfId="0" applyFont="1" applyFill="1" applyAlignment="1">
      <alignment vertical="top" wrapText="1"/>
    </xf>
    <xf numFmtId="1" fontId="81" fillId="10" borderId="0" xfId="2" applyNumberFormat="1" applyFont="1" applyFill="1" applyBorder="1" applyAlignment="1">
      <alignment horizontal="center" vertical="center"/>
    </xf>
    <xf numFmtId="0" fontId="4" fillId="10" borderId="0" xfId="0" applyFont="1" applyFill="1" applyAlignment="1">
      <alignment horizontal="left" vertical="center"/>
    </xf>
    <xf numFmtId="10" fontId="81" fillId="10" borderId="0" xfId="2" applyNumberFormat="1" applyFont="1" applyFill="1" applyBorder="1" applyAlignment="1">
      <alignment horizontal="center" vertical="center"/>
    </xf>
    <xf numFmtId="10" fontId="0" fillId="10" borderId="0" xfId="2" applyNumberFormat="1" applyFont="1" applyFill="1" applyBorder="1" applyAlignment="1"/>
    <xf numFmtId="0" fontId="12" fillId="10" borderId="0" xfId="0" applyFont="1" applyFill="1" applyAlignment="1">
      <alignment vertical="center"/>
    </xf>
    <xf numFmtId="0" fontId="62" fillId="7" borderId="51" xfId="0" applyFont="1" applyFill="1" applyBorder="1" applyAlignment="1">
      <alignment horizontal="center" vertical="center"/>
    </xf>
    <xf numFmtId="0" fontId="0" fillId="10" borderId="0" xfId="0" applyFill="1" applyAlignment="1">
      <alignment horizontal="left" vertical="center"/>
    </xf>
    <xf numFmtId="171" fontId="13" fillId="10" borderId="0" xfId="0" applyNumberFormat="1" applyFont="1" applyFill="1" applyAlignment="1">
      <alignment horizontal="center"/>
    </xf>
    <xf numFmtId="0" fontId="25" fillId="7" borderId="0" xfId="0" applyFont="1" applyFill="1" applyAlignment="1">
      <alignment vertical="top"/>
    </xf>
    <xf numFmtId="0" fontId="4" fillId="0" borderId="0" xfId="0" applyFont="1" applyAlignment="1">
      <alignment horizontal="left" vertical="center"/>
    </xf>
    <xf numFmtId="165" fontId="0" fillId="7" borderId="0" xfId="4" applyFont="1" applyFill="1" applyBorder="1"/>
    <xf numFmtId="0" fontId="88" fillId="7" borderId="0" xfId="0" applyFont="1" applyFill="1"/>
    <xf numFmtId="0" fontId="74" fillId="7" borderId="0" xfId="0" applyFont="1" applyFill="1"/>
    <xf numFmtId="0" fontId="89" fillId="0" borderId="0" xfId="0" applyFont="1"/>
    <xf numFmtId="0" fontId="0" fillId="0" borderId="0" xfId="0" applyAlignment="1">
      <alignment vertical="center" wrapText="1"/>
    </xf>
    <xf numFmtId="0" fontId="4" fillId="0" borderId="0" xfId="0" applyFont="1" applyAlignment="1">
      <alignment vertical="center" wrapText="1"/>
    </xf>
    <xf numFmtId="0" fontId="4" fillId="0" borderId="0" xfId="0" applyFont="1" applyAlignment="1">
      <alignment horizontal="left" vertical="center" indent="1"/>
    </xf>
    <xf numFmtId="10" fontId="80" fillId="7" borderId="49" xfId="2" applyNumberFormat="1" applyFont="1" applyFill="1" applyBorder="1" applyAlignment="1">
      <alignment horizontal="center" vertical="center"/>
    </xf>
    <xf numFmtId="10" fontId="0" fillId="7" borderId="0" xfId="2" applyNumberFormat="1" applyFont="1" applyFill="1" applyBorder="1"/>
    <xf numFmtId="0" fontId="0" fillId="7" borderId="0" xfId="0" applyFill="1" applyAlignment="1">
      <alignment horizontal="left" vertical="top"/>
    </xf>
    <xf numFmtId="10" fontId="4" fillId="0" borderId="0" xfId="2" applyNumberFormat="1" applyFont="1" applyAlignment="1">
      <alignment vertical="center" wrapText="1"/>
    </xf>
    <xf numFmtId="0" fontId="0" fillId="0" borderId="0" xfId="0" applyAlignment="1">
      <alignment wrapText="1"/>
    </xf>
    <xf numFmtId="0" fontId="0" fillId="0" borderId="0" xfId="0" applyAlignment="1">
      <alignment vertical="top" wrapText="1"/>
    </xf>
    <xf numFmtId="0" fontId="0" fillId="0" borderId="0" xfId="0" applyAlignment="1">
      <alignment vertical="top"/>
    </xf>
    <xf numFmtId="0" fontId="0" fillId="0" borderId="0" xfId="0" applyAlignment="1">
      <alignment horizontal="center" vertical="center" wrapText="1"/>
    </xf>
    <xf numFmtId="0" fontId="4" fillId="0" borderId="0" xfId="0" applyFont="1" applyAlignment="1">
      <alignment horizontal="left" vertical="center" wrapText="1"/>
    </xf>
    <xf numFmtId="170" fontId="76" fillId="7" borderId="0" xfId="0" applyNumberFormat="1" applyFont="1" applyFill="1" applyAlignment="1">
      <alignment horizontal="center" vertical="center"/>
    </xf>
    <xf numFmtId="171" fontId="0" fillId="0" borderId="0" xfId="0" applyNumberFormat="1"/>
    <xf numFmtId="0" fontId="92" fillId="0" borderId="0" xfId="0" applyFont="1" applyAlignment="1">
      <alignment horizontal="center" vertical="center"/>
    </xf>
    <xf numFmtId="171" fontId="93" fillId="0" borderId="0" xfId="0" applyNumberFormat="1" applyFont="1" applyAlignment="1">
      <alignment horizontal="center"/>
    </xf>
    <xf numFmtId="171" fontId="93" fillId="0" borderId="0" xfId="0" applyNumberFormat="1" applyFont="1" applyAlignment="1">
      <alignment horizontal="center" vertical="center"/>
    </xf>
    <xf numFmtId="0" fontId="91" fillId="0" borderId="0" xfId="0" applyFont="1" applyAlignment="1">
      <alignment horizontal="center"/>
    </xf>
    <xf numFmtId="171" fontId="91" fillId="0" borderId="0" xfId="0" applyNumberFormat="1" applyFont="1" applyAlignment="1">
      <alignment horizontal="center" vertical="center"/>
    </xf>
    <xf numFmtId="9" fontId="91" fillId="0" borderId="0" xfId="2" applyFont="1" applyFill="1" applyAlignment="1">
      <alignment horizontal="center" vertical="center"/>
    </xf>
    <xf numFmtId="0" fontId="91" fillId="0" borderId="0" xfId="0" applyFont="1"/>
    <xf numFmtId="171" fontId="91" fillId="0" borderId="0" xfId="0" applyNumberFormat="1" applyFont="1" applyAlignment="1">
      <alignment horizontal="center"/>
    </xf>
    <xf numFmtId="9" fontId="91" fillId="0" borderId="0" xfId="2" applyFont="1" applyAlignment="1">
      <alignment horizontal="center"/>
    </xf>
    <xf numFmtId="0" fontId="91" fillId="0" borderId="0" xfId="0" applyFont="1" applyAlignment="1">
      <alignment wrapText="1"/>
    </xf>
    <xf numFmtId="0" fontId="0" fillId="0" borderId="0" xfId="0" applyAlignment="1">
      <alignment horizontal="left" vertical="center" indent="1"/>
    </xf>
    <xf numFmtId="0" fontId="4" fillId="0" borderId="0" xfId="0" applyFont="1" applyAlignment="1">
      <alignment horizontal="center" vertical="top" wrapText="1"/>
    </xf>
    <xf numFmtId="0" fontId="4" fillId="0" borderId="0" xfId="0" applyFont="1" applyAlignment="1">
      <alignment horizontal="left" vertical="top" wrapText="1"/>
    </xf>
    <xf numFmtId="0" fontId="0" fillId="7" borderId="0" xfId="0" applyFill="1" applyAlignment="1">
      <alignment vertical="center" wrapText="1"/>
    </xf>
    <xf numFmtId="0" fontId="0" fillId="4" borderId="0" xfId="0" applyFill="1" applyAlignment="1">
      <alignment horizontal="center" vertical="center"/>
    </xf>
    <xf numFmtId="0" fontId="0" fillId="0" borderId="0" xfId="0" applyAlignment="1">
      <alignment horizontal="left" vertical="center" wrapText="1"/>
    </xf>
    <xf numFmtId="0" fontId="0" fillId="4" borderId="0" xfId="0" applyFill="1" applyAlignment="1">
      <alignment horizontal="center" vertical="center" wrapText="1"/>
    </xf>
    <xf numFmtId="0" fontId="4" fillId="4" borderId="0" xfId="0" applyFont="1" applyFill="1" applyAlignment="1">
      <alignment vertical="center" wrapText="1"/>
    </xf>
    <xf numFmtId="49" fontId="69" fillId="7" borderId="0" xfId="0" applyNumberFormat="1" applyFont="1" applyFill="1" applyAlignment="1">
      <alignment vertical="center" wrapText="1"/>
    </xf>
    <xf numFmtId="49" fontId="69" fillId="7" borderId="0" xfId="0" applyNumberFormat="1" applyFont="1" applyFill="1" applyAlignment="1">
      <alignment vertical="center"/>
    </xf>
    <xf numFmtId="170" fontId="43" fillId="10" borderId="0" xfId="0" applyNumberFormat="1" applyFont="1" applyFill="1"/>
    <xf numFmtId="14" fontId="97" fillId="7" borderId="0" xfId="0" applyNumberFormat="1" applyFont="1" applyFill="1" applyAlignment="1">
      <alignment vertical="center"/>
    </xf>
    <xf numFmtId="0" fontId="83" fillId="7" borderId="0" xfId="0" applyFont="1" applyFill="1" applyAlignment="1">
      <alignment vertical="top" wrapText="1"/>
    </xf>
    <xf numFmtId="0" fontId="83" fillId="10" borderId="0" xfId="0" applyFont="1" applyFill="1" applyAlignment="1">
      <alignment vertical="top" wrapText="1"/>
    </xf>
    <xf numFmtId="0" fontId="84" fillId="7" borderId="0" xfId="0" applyFont="1" applyFill="1" applyAlignment="1">
      <alignment horizontal="left" vertical="top"/>
    </xf>
    <xf numFmtId="0" fontId="98" fillId="7" borderId="0" xfId="0" applyFont="1" applyFill="1" applyAlignment="1">
      <alignment horizontal="left" vertical="top" wrapText="1"/>
    </xf>
    <xf numFmtId="0" fontId="0" fillId="3" borderId="0" xfId="0" applyFill="1" applyAlignment="1">
      <alignment horizontal="left" vertical="top"/>
    </xf>
    <xf numFmtId="0" fontId="71" fillId="3" borderId="0" xfId="0" applyFont="1" applyFill="1" applyAlignment="1">
      <alignment horizontal="left" vertical="top"/>
    </xf>
    <xf numFmtId="0" fontId="0" fillId="10" borderId="0" xfId="0" applyFill="1" applyAlignment="1">
      <alignment horizontal="left" vertical="top"/>
    </xf>
    <xf numFmtId="0" fontId="8" fillId="10" borderId="0" xfId="0" applyFont="1" applyFill="1" applyAlignment="1">
      <alignment horizontal="left" vertical="top"/>
    </xf>
    <xf numFmtId="170" fontId="85" fillId="7" borderId="0" xfId="0" applyNumberFormat="1" applyFont="1" applyFill="1" applyAlignment="1">
      <alignment horizontal="left" vertical="top"/>
    </xf>
    <xf numFmtId="9" fontId="85" fillId="7" borderId="0" xfId="2" applyFont="1" applyFill="1" applyBorder="1" applyAlignment="1">
      <alignment horizontal="left" vertical="top"/>
    </xf>
    <xf numFmtId="9" fontId="80" fillId="7" borderId="0" xfId="2" applyFont="1" applyFill="1" applyBorder="1" applyAlignment="1">
      <alignment horizontal="left" vertical="top"/>
    </xf>
    <xf numFmtId="170" fontId="80" fillId="7" borderId="0" xfId="0" applyNumberFormat="1" applyFont="1" applyFill="1" applyAlignment="1">
      <alignment horizontal="left" vertical="top"/>
    </xf>
    <xf numFmtId="0" fontId="42" fillId="7" borderId="0" xfId="0" applyFont="1" applyFill="1" applyAlignment="1">
      <alignment horizontal="left" vertical="top"/>
    </xf>
    <xf numFmtId="0" fontId="43" fillId="7" borderId="0" xfId="0" applyFont="1" applyFill="1" applyAlignment="1">
      <alignment horizontal="left" vertical="top"/>
    </xf>
    <xf numFmtId="0" fontId="60" fillId="7" borderId="0" xfId="0" applyFont="1" applyFill="1" applyAlignment="1">
      <alignment horizontal="left" vertical="top"/>
    </xf>
    <xf numFmtId="1" fontId="52" fillId="7" borderId="0" xfId="0" applyNumberFormat="1" applyFont="1" applyFill="1" applyAlignment="1">
      <alignment horizontal="left" vertical="top"/>
    </xf>
    <xf numFmtId="1" fontId="52" fillId="10" borderId="0" xfId="0" applyNumberFormat="1" applyFont="1" applyFill="1" applyAlignment="1">
      <alignment horizontal="left" vertical="top"/>
    </xf>
    <xf numFmtId="0" fontId="60" fillId="10" borderId="0" xfId="0" applyFont="1" applyFill="1" applyAlignment="1">
      <alignment horizontal="left" vertical="top"/>
    </xf>
    <xf numFmtId="170" fontId="80" fillId="10" borderId="0" xfId="0" applyNumberFormat="1" applyFont="1" applyFill="1" applyAlignment="1">
      <alignment horizontal="left" vertical="top"/>
    </xf>
    <xf numFmtId="0" fontId="11" fillId="3" borderId="0" xfId="0" applyFont="1" applyFill="1" applyAlignment="1">
      <alignment horizontal="left" vertical="top"/>
    </xf>
    <xf numFmtId="1" fontId="79" fillId="7" borderId="0" xfId="0" applyNumberFormat="1" applyFont="1" applyFill="1" applyAlignment="1">
      <alignment horizontal="left" vertical="top"/>
    </xf>
    <xf numFmtId="1" fontId="79" fillId="10" borderId="0" xfId="0" applyNumberFormat="1" applyFont="1" applyFill="1" applyAlignment="1">
      <alignment horizontal="left" vertical="top"/>
    </xf>
    <xf numFmtId="0" fontId="98" fillId="7" borderId="0" xfId="0" applyFont="1" applyFill="1" applyAlignment="1">
      <alignment vertical="top" wrapText="1"/>
    </xf>
    <xf numFmtId="0" fontId="90" fillId="7" borderId="0" xfId="0" applyFont="1" applyFill="1"/>
    <xf numFmtId="0" fontId="90" fillId="7" borderId="0" xfId="0" applyFont="1" applyFill="1" applyAlignment="1">
      <alignment wrapText="1"/>
    </xf>
    <xf numFmtId="0" fontId="99" fillId="7" borderId="0" xfId="0" applyFont="1" applyFill="1" applyAlignment="1">
      <alignment horizontal="right" vertical="center" wrapText="1"/>
    </xf>
    <xf numFmtId="0" fontId="90" fillId="7" borderId="0" xfId="0" applyFont="1" applyFill="1" applyAlignment="1">
      <alignment vertical="top" wrapText="1"/>
    </xf>
    <xf numFmtId="0" fontId="31" fillId="0" borderId="0" xfId="0" applyFont="1" applyAlignment="1">
      <alignment wrapText="1"/>
    </xf>
    <xf numFmtId="170" fontId="35" fillId="7" borderId="0" xfId="0" applyNumberFormat="1" applyFont="1" applyFill="1" applyAlignment="1">
      <alignment horizontal="right" vertical="center"/>
    </xf>
    <xf numFmtId="0" fontId="15" fillId="7" borderId="0" xfId="0" applyFont="1" applyFill="1" applyAlignment="1">
      <alignment horizontal="right"/>
    </xf>
    <xf numFmtId="0" fontId="100" fillId="7" borderId="0" xfId="0" applyFont="1" applyFill="1"/>
    <xf numFmtId="0" fontId="65" fillId="7" borderId="0" xfId="0" applyFont="1" applyFill="1" applyAlignment="1">
      <alignment horizontal="right"/>
    </xf>
    <xf numFmtId="0" fontId="77" fillId="7" borderId="0" xfId="0" applyFont="1" applyFill="1" applyAlignment="1">
      <alignment horizontal="right"/>
    </xf>
    <xf numFmtId="14" fontId="102" fillId="7" borderId="0" xfId="0" applyNumberFormat="1" applyFont="1" applyFill="1" applyAlignment="1">
      <alignment horizontal="right"/>
    </xf>
    <xf numFmtId="0" fontId="102" fillId="7" borderId="0" xfId="0" applyFont="1" applyFill="1" applyAlignment="1">
      <alignment horizontal="right"/>
    </xf>
    <xf numFmtId="0" fontId="102" fillId="7" borderId="0" xfId="0" applyFont="1" applyFill="1" applyAlignment="1">
      <alignment horizontal="center"/>
    </xf>
    <xf numFmtId="0" fontId="104" fillId="11" borderId="29" xfId="0" applyFont="1" applyFill="1" applyBorder="1" applyAlignment="1">
      <alignment horizontal="left" vertical="center"/>
    </xf>
    <xf numFmtId="0" fontId="104" fillId="11" borderId="28" xfId="0" applyFont="1" applyFill="1" applyBorder="1" applyAlignment="1">
      <alignment horizontal="right" vertical="center"/>
    </xf>
    <xf numFmtId="0" fontId="8" fillId="3" borderId="0" xfId="0" applyFont="1" applyFill="1"/>
    <xf numFmtId="0" fontId="104" fillId="11" borderId="29" xfId="0" applyFont="1" applyFill="1" applyBorder="1" applyAlignment="1">
      <alignment horizontal="center" vertical="center"/>
    </xf>
    <xf numFmtId="0" fontId="104" fillId="11" borderId="28" xfId="0" applyFont="1" applyFill="1" applyBorder="1" applyAlignment="1">
      <alignment horizontal="center" vertical="center"/>
    </xf>
    <xf numFmtId="0" fontId="105" fillId="11" borderId="28" xfId="0" applyFont="1" applyFill="1" applyBorder="1" applyAlignment="1">
      <alignment horizontal="right" vertical="center"/>
    </xf>
    <xf numFmtId="0" fontId="105" fillId="11" borderId="30" xfId="0" applyFont="1" applyFill="1" applyBorder="1" applyAlignment="1">
      <alignment horizontal="right" vertical="center"/>
    </xf>
    <xf numFmtId="0" fontId="105" fillId="11" borderId="28" xfId="0" applyFont="1" applyFill="1" applyBorder="1" applyAlignment="1">
      <alignment horizontal="center" vertical="center"/>
    </xf>
    <xf numFmtId="0" fontId="105" fillId="11" borderId="30" xfId="0" applyFont="1" applyFill="1" applyBorder="1" applyAlignment="1">
      <alignment horizontal="center" vertical="center"/>
    </xf>
    <xf numFmtId="0" fontId="106" fillId="7" borderId="0" xfId="0" applyFont="1" applyFill="1" applyAlignment="1">
      <alignment vertical="center"/>
    </xf>
    <xf numFmtId="0" fontId="45" fillId="7" borderId="29" xfId="0" applyFont="1" applyFill="1" applyBorder="1" applyAlignment="1">
      <alignment horizontal="left" vertical="center"/>
    </xf>
    <xf numFmtId="0" fontId="45" fillId="7" borderId="28" xfId="0" applyFont="1" applyFill="1" applyBorder="1" applyAlignment="1">
      <alignment horizontal="right" vertical="center"/>
    </xf>
    <xf numFmtId="0" fontId="45" fillId="7" borderId="30" xfId="0" applyFont="1" applyFill="1" applyBorder="1" applyAlignment="1">
      <alignment horizontal="right" vertical="center"/>
    </xf>
    <xf numFmtId="0" fontId="0" fillId="7" borderId="54" xfId="0" applyFill="1" applyBorder="1" applyAlignment="1">
      <alignment horizontal="center" vertical="center"/>
    </xf>
    <xf numFmtId="0" fontId="103" fillId="12" borderId="28" xfId="3" applyFont="1" applyFill="1" applyBorder="1" applyAlignment="1">
      <alignment horizontal="center" vertical="center"/>
    </xf>
    <xf numFmtId="0" fontId="103" fillId="11" borderId="28" xfId="3" applyFont="1" applyFill="1" applyBorder="1" applyAlignment="1">
      <alignment horizontal="center" vertical="center"/>
    </xf>
    <xf numFmtId="0" fontId="90" fillId="10" borderId="0" xfId="0" applyFont="1" applyFill="1"/>
    <xf numFmtId="0" fontId="107" fillId="11" borderId="29" xfId="0" applyFont="1" applyFill="1" applyBorder="1" applyAlignment="1">
      <alignment horizontal="center" vertical="center"/>
    </xf>
    <xf numFmtId="0" fontId="29" fillId="7" borderId="0" xfId="0" applyFont="1" applyFill="1" applyAlignment="1">
      <alignment horizontal="left"/>
    </xf>
    <xf numFmtId="0" fontId="29" fillId="7" borderId="0" xfId="0" quotePrefix="1" applyFont="1" applyFill="1" applyAlignment="1">
      <alignment horizontal="left"/>
    </xf>
    <xf numFmtId="171" fontId="29" fillId="7" borderId="0" xfId="0" quotePrefix="1" applyNumberFormat="1" applyFont="1" applyFill="1" applyAlignment="1">
      <alignment horizontal="right"/>
    </xf>
    <xf numFmtId="0" fontId="30" fillId="7" borderId="0" xfId="0" quotePrefix="1" applyFont="1" applyFill="1" applyAlignment="1">
      <alignment horizontal="left"/>
    </xf>
    <xf numFmtId="171" fontId="30" fillId="7" borderId="0" xfId="0" quotePrefix="1" applyNumberFormat="1" applyFont="1" applyFill="1" applyAlignment="1">
      <alignment horizontal="right"/>
    </xf>
    <xf numFmtId="0" fontId="110" fillId="11" borderId="30" xfId="0" applyFont="1" applyFill="1" applyBorder="1" applyAlignment="1">
      <alignment horizontal="right" vertical="center"/>
    </xf>
    <xf numFmtId="0" fontId="110" fillId="11" borderId="30" xfId="0" applyFont="1" applyFill="1" applyBorder="1" applyAlignment="1">
      <alignment horizontal="center" vertical="center"/>
    </xf>
    <xf numFmtId="0" fontId="64" fillId="7" borderId="56" xfId="0" applyFont="1" applyFill="1" applyBorder="1" applyAlignment="1">
      <alignment horizontal="center" vertical="center"/>
    </xf>
    <xf numFmtId="171" fontId="13" fillId="7" borderId="56" xfId="0" applyNumberFormat="1" applyFont="1" applyFill="1" applyBorder="1" applyAlignment="1">
      <alignment horizontal="center"/>
    </xf>
    <xf numFmtId="0" fontId="0" fillId="7" borderId="56" xfId="0" applyFill="1" applyBorder="1"/>
    <xf numFmtId="171" fontId="47" fillId="7" borderId="55" xfId="0" applyNumberFormat="1" applyFont="1" applyFill="1" applyBorder="1" applyAlignment="1">
      <alignment horizontal="center" vertical="center"/>
    </xf>
    <xf numFmtId="9" fontId="15" fillId="7" borderId="56" xfId="2" applyFont="1" applyFill="1" applyBorder="1" applyAlignment="1">
      <alignment horizontal="center" vertical="center"/>
    </xf>
    <xf numFmtId="0" fontId="8" fillId="7" borderId="56" xfId="0" applyFont="1" applyFill="1" applyBorder="1"/>
    <xf numFmtId="0" fontId="111" fillId="7" borderId="56" xfId="0" applyFont="1" applyFill="1" applyBorder="1" applyAlignment="1">
      <alignment horizontal="left"/>
    </xf>
    <xf numFmtId="0" fontId="104" fillId="11" borderId="28" xfId="0" applyFont="1" applyFill="1" applyBorder="1" applyAlignment="1">
      <alignment vertical="center"/>
    </xf>
    <xf numFmtId="0" fontId="104" fillId="11" borderId="30" xfId="0" applyFont="1" applyFill="1" applyBorder="1" applyAlignment="1">
      <alignment vertical="center"/>
    </xf>
    <xf numFmtId="0" fontId="107" fillId="11" borderId="30" xfId="0" applyFont="1" applyFill="1" applyBorder="1" applyAlignment="1">
      <alignment vertical="center"/>
    </xf>
    <xf numFmtId="0" fontId="115" fillId="10" borderId="0" xfId="0" applyFont="1" applyFill="1"/>
    <xf numFmtId="0" fontId="116" fillId="7" borderId="0" xfId="0" applyFont="1" applyFill="1" applyAlignment="1">
      <alignment vertical="center"/>
    </xf>
    <xf numFmtId="0" fontId="113" fillId="10" borderId="0" xfId="0" applyFont="1" applyFill="1"/>
    <xf numFmtId="0" fontId="113" fillId="7" borderId="0" xfId="0" applyFont="1" applyFill="1"/>
    <xf numFmtId="0" fontId="113" fillId="0" borderId="0" xfId="0" applyFont="1"/>
    <xf numFmtId="0" fontId="113" fillId="0" borderId="0" xfId="0" applyFont="1" applyAlignment="1">
      <alignment horizontal="right"/>
    </xf>
    <xf numFmtId="0" fontId="113" fillId="3" borderId="0" xfId="0" applyFont="1" applyFill="1"/>
    <xf numFmtId="0" fontId="115" fillId="3" borderId="0" xfId="0" applyFont="1" applyFill="1"/>
    <xf numFmtId="0" fontId="2" fillId="13" borderId="17" xfId="0" applyFont="1" applyFill="1" applyBorder="1" applyAlignment="1">
      <alignment horizontal="center" vertical="center" wrapText="1"/>
    </xf>
    <xf numFmtId="0" fontId="114" fillId="10" borderId="17" xfId="0" applyFont="1" applyFill="1" applyBorder="1" applyAlignment="1">
      <alignment horizontal="center" vertical="center" wrapText="1"/>
    </xf>
    <xf numFmtId="0" fontId="116" fillId="10" borderId="0" xfId="0" applyFont="1" applyFill="1" applyAlignment="1">
      <alignment vertical="center"/>
    </xf>
    <xf numFmtId="0" fontId="113" fillId="7" borderId="0" xfId="0" applyFont="1" applyFill="1" applyAlignment="1">
      <alignment horizontal="right"/>
    </xf>
    <xf numFmtId="0" fontId="117" fillId="7" borderId="0" xfId="0" applyFont="1" applyFill="1" applyAlignment="1">
      <alignment horizontal="right"/>
    </xf>
    <xf numFmtId="10" fontId="3" fillId="7" borderId="0" xfId="0" applyNumberFormat="1" applyFont="1" applyFill="1"/>
    <xf numFmtId="49" fontId="118" fillId="7" borderId="0" xfId="0" applyNumberFormat="1" applyFont="1" applyFill="1" applyAlignment="1">
      <alignment vertical="top" wrapText="1"/>
    </xf>
    <xf numFmtId="0" fontId="119" fillId="7" borderId="0" xfId="0" applyFont="1" applyFill="1" applyAlignment="1">
      <alignment vertical="center"/>
    </xf>
    <xf numFmtId="0" fontId="120" fillId="7" borderId="0" xfId="0" applyFont="1" applyFill="1" applyAlignment="1">
      <alignment vertical="top" wrapText="1"/>
    </xf>
    <xf numFmtId="0" fontId="3" fillId="7" borderId="0" xfId="0" quotePrefix="1" applyFont="1" applyFill="1" applyAlignment="1">
      <alignment vertical="top" wrapText="1"/>
    </xf>
    <xf numFmtId="0" fontId="3" fillId="7" borderId="0" xfId="0" applyFont="1" applyFill="1" applyAlignment="1">
      <alignment vertical="top" wrapText="1"/>
    </xf>
    <xf numFmtId="0" fontId="3" fillId="7" borderId="0" xfId="0" applyFont="1" applyFill="1" applyAlignment="1">
      <alignment horizontal="left" vertical="center"/>
    </xf>
    <xf numFmtId="0" fontId="3" fillId="7" borderId="0" xfId="0" applyFont="1" applyFill="1" applyAlignment="1">
      <alignment horizontal="center" vertical="center"/>
    </xf>
    <xf numFmtId="49" fontId="0" fillId="7" borderId="0" xfId="0" applyNumberFormat="1" applyFill="1"/>
    <xf numFmtId="0" fontId="120" fillId="7" borderId="0" xfId="0" applyFont="1" applyFill="1" applyAlignment="1">
      <alignment horizontal="center" vertical="center" wrapText="1"/>
    </xf>
    <xf numFmtId="0" fontId="90" fillId="7" borderId="0" xfId="0" applyFont="1" applyFill="1" applyAlignment="1">
      <alignment horizontal="left" vertical="center"/>
    </xf>
    <xf numFmtId="0" fontId="105" fillId="7" borderId="30" xfId="0" applyFont="1" applyFill="1" applyBorder="1" applyAlignment="1">
      <alignment horizontal="center" vertical="center"/>
    </xf>
    <xf numFmtId="0" fontId="105" fillId="7" borderId="28" xfId="0" applyFont="1" applyFill="1" applyBorder="1" applyAlignment="1">
      <alignment horizontal="center" vertical="center"/>
    </xf>
    <xf numFmtId="0" fontId="121" fillId="10" borderId="0" xfId="0" applyFont="1" applyFill="1"/>
    <xf numFmtId="0" fontId="122" fillId="7" borderId="0" xfId="0" applyFont="1" applyFill="1" applyAlignment="1">
      <alignment horizontal="center" vertical="center" wrapText="1"/>
    </xf>
    <xf numFmtId="171" fontId="123" fillId="10" borderId="0" xfId="0" applyNumberFormat="1" applyFont="1" applyFill="1" applyAlignment="1">
      <alignment horizontal="center"/>
    </xf>
    <xf numFmtId="171" fontId="124" fillId="7" borderId="0" xfId="0" applyNumberFormat="1" applyFont="1" applyFill="1" applyAlignment="1">
      <alignment horizontal="center"/>
    </xf>
    <xf numFmtId="0" fontId="122" fillId="7" borderId="0" xfId="0" applyFont="1" applyFill="1"/>
    <xf numFmtId="0" fontId="121" fillId="7" borderId="0" xfId="0" applyFont="1" applyFill="1"/>
    <xf numFmtId="9" fontId="81" fillId="7" borderId="0" xfId="2" applyFont="1" applyFill="1" applyBorder="1" applyAlignment="1">
      <alignment horizontal="center" vertical="center"/>
    </xf>
    <xf numFmtId="3" fontId="33" fillId="10" borderId="0" xfId="0" applyNumberFormat="1" applyFont="1" applyFill="1" applyAlignment="1">
      <alignment horizontal="center" vertical="center"/>
    </xf>
    <xf numFmtId="1" fontId="29" fillId="10" borderId="0" xfId="0" applyNumberFormat="1" applyFont="1" applyFill="1" applyAlignment="1">
      <alignment horizontal="center"/>
    </xf>
    <xf numFmtId="0" fontId="32" fillId="10" borderId="0" xfId="0" applyFont="1" applyFill="1" applyAlignment="1">
      <alignment horizontal="center" vertical="center"/>
    </xf>
    <xf numFmtId="4" fontId="33" fillId="10" borderId="0" xfId="0" applyNumberFormat="1" applyFont="1" applyFill="1" applyAlignment="1">
      <alignment horizontal="center" vertical="center"/>
    </xf>
    <xf numFmtId="0" fontId="29" fillId="10" borderId="0" xfId="0" applyFont="1" applyFill="1" applyAlignment="1">
      <alignment horizontal="center"/>
    </xf>
    <xf numFmtId="4" fontId="29" fillId="10" borderId="0" xfId="0" applyNumberFormat="1" applyFont="1" applyFill="1" applyAlignment="1">
      <alignment horizontal="center"/>
    </xf>
    <xf numFmtId="0" fontId="107" fillId="11" borderId="58" xfId="0" applyFont="1" applyFill="1" applyBorder="1" applyAlignment="1">
      <alignment horizontal="center" vertical="center"/>
    </xf>
    <xf numFmtId="0" fontId="107" fillId="11" borderId="0" xfId="0" applyFont="1" applyFill="1" applyAlignment="1">
      <alignment horizontal="center" vertical="center"/>
    </xf>
    <xf numFmtId="0" fontId="60" fillId="7" borderId="0" xfId="0" applyFont="1" applyFill="1" applyAlignment="1">
      <alignment horizontal="left" vertical="center"/>
    </xf>
    <xf numFmtId="0" fontId="39" fillId="7" borderId="32" xfId="0" applyFont="1" applyFill="1" applyBorder="1" applyAlignment="1">
      <alignment horizontal="left" vertical="center" wrapText="1"/>
    </xf>
    <xf numFmtId="0" fontId="39" fillId="7" borderId="33" xfId="0" applyFont="1" applyFill="1" applyBorder="1" applyAlignment="1">
      <alignment horizontal="left" vertical="center" wrapText="1"/>
    </xf>
    <xf numFmtId="0" fontId="39" fillId="7" borderId="34" xfId="0" applyFont="1" applyFill="1" applyBorder="1" applyAlignment="1">
      <alignment horizontal="left" vertical="center" wrapText="1"/>
    </xf>
    <xf numFmtId="0" fontId="39" fillId="7" borderId="35" xfId="0" applyFont="1" applyFill="1" applyBorder="1" applyAlignment="1">
      <alignment horizontal="left" vertical="center" wrapText="1"/>
    </xf>
    <xf numFmtId="0" fontId="39" fillId="7" borderId="0" xfId="0" applyFont="1" applyFill="1" applyAlignment="1">
      <alignment horizontal="left" vertical="center" wrapText="1"/>
    </xf>
    <xf numFmtId="0" fontId="39" fillId="7" borderId="36" xfId="0" applyFont="1" applyFill="1" applyBorder="1" applyAlignment="1">
      <alignment horizontal="left" vertical="center" wrapText="1"/>
    </xf>
    <xf numFmtId="0" fontId="39" fillId="7" borderId="37" xfId="0" applyFont="1" applyFill="1" applyBorder="1" applyAlignment="1">
      <alignment horizontal="left" vertical="center" wrapText="1"/>
    </xf>
    <xf numFmtId="0" fontId="39" fillId="7" borderId="38" xfId="0" applyFont="1" applyFill="1" applyBorder="1" applyAlignment="1">
      <alignment horizontal="left" vertical="center" wrapText="1"/>
    </xf>
    <xf numFmtId="0" fontId="39" fillId="7" borderId="39" xfId="0" applyFont="1" applyFill="1" applyBorder="1" applyAlignment="1">
      <alignment horizontal="left" vertical="center" wrapText="1"/>
    </xf>
    <xf numFmtId="170" fontId="43" fillId="7" borderId="20" xfId="0" applyNumberFormat="1" applyFont="1" applyFill="1" applyBorder="1" applyAlignment="1">
      <alignment horizontal="center"/>
    </xf>
    <xf numFmtId="9" fontId="43" fillId="7" borderId="20" xfId="2" applyFont="1" applyFill="1" applyBorder="1" applyAlignment="1">
      <alignment horizontal="center"/>
    </xf>
    <xf numFmtId="0" fontId="34" fillId="3" borderId="0" xfId="0" applyFont="1" applyFill="1" applyAlignment="1">
      <alignment horizontal="center"/>
    </xf>
    <xf numFmtId="0" fontId="43" fillId="7" borderId="0" xfId="0" applyFont="1" applyFill="1" applyAlignment="1">
      <alignment horizontal="center"/>
    </xf>
    <xf numFmtId="170" fontId="43" fillId="7" borderId="18" xfId="0" applyNumberFormat="1" applyFont="1" applyFill="1" applyBorder="1" applyAlignment="1">
      <alignment horizontal="center"/>
    </xf>
    <xf numFmtId="9" fontId="43" fillId="7" borderId="18" xfId="2" applyFont="1" applyFill="1" applyBorder="1" applyAlignment="1">
      <alignment horizontal="center"/>
    </xf>
    <xf numFmtId="0" fontId="72" fillId="3" borderId="0" xfId="3" applyFont="1" applyFill="1" applyAlignment="1">
      <alignment horizontal="center"/>
    </xf>
    <xf numFmtId="10" fontId="43" fillId="7" borderId="18" xfId="2" applyNumberFormat="1" applyFont="1" applyFill="1" applyBorder="1" applyAlignment="1">
      <alignment horizontal="center"/>
    </xf>
    <xf numFmtId="0" fontId="42" fillId="10" borderId="0" xfId="0" applyFont="1" applyFill="1" applyAlignment="1">
      <alignment horizontal="left" vertical="center"/>
    </xf>
    <xf numFmtId="49" fontId="69" fillId="10" borderId="0" xfId="0" applyNumberFormat="1" applyFont="1" applyFill="1" applyAlignment="1">
      <alignment horizontal="left" vertical="center" wrapText="1"/>
    </xf>
    <xf numFmtId="49" fontId="69" fillId="10" borderId="0" xfId="0" applyNumberFormat="1" applyFont="1" applyFill="1" applyAlignment="1">
      <alignment horizontal="left" vertical="center"/>
    </xf>
    <xf numFmtId="0" fontId="95" fillId="7" borderId="32" xfId="0" applyFont="1" applyFill="1" applyBorder="1" applyAlignment="1">
      <alignment horizontal="left" vertical="center" wrapText="1"/>
    </xf>
    <xf numFmtId="0" fontId="95" fillId="7" borderId="33" xfId="0" applyFont="1" applyFill="1" applyBorder="1" applyAlignment="1">
      <alignment horizontal="left" vertical="center" wrapText="1"/>
    </xf>
    <xf numFmtId="0" fontId="95" fillId="7" borderId="34" xfId="0" applyFont="1" applyFill="1" applyBorder="1" applyAlignment="1">
      <alignment horizontal="left" vertical="center" wrapText="1"/>
    </xf>
    <xf numFmtId="0" fontId="95" fillId="7" borderId="35" xfId="0" applyFont="1" applyFill="1" applyBorder="1" applyAlignment="1">
      <alignment horizontal="left" vertical="center" wrapText="1"/>
    </xf>
    <xf numFmtId="0" fontId="95" fillId="7" borderId="0" xfId="0" applyFont="1" applyFill="1" applyAlignment="1">
      <alignment horizontal="left" vertical="center" wrapText="1"/>
    </xf>
    <xf numFmtId="0" fontId="95" fillId="7" borderId="36" xfId="0" applyFont="1" applyFill="1" applyBorder="1" applyAlignment="1">
      <alignment horizontal="left" vertical="center" wrapText="1"/>
    </xf>
    <xf numFmtId="0" fontId="95" fillId="7" borderId="37" xfId="0" applyFont="1" applyFill="1" applyBorder="1" applyAlignment="1">
      <alignment horizontal="left" vertical="center" wrapText="1"/>
    </xf>
    <xf numFmtId="0" fontId="95" fillId="7" borderId="38" xfId="0" applyFont="1" applyFill="1" applyBorder="1" applyAlignment="1">
      <alignment horizontal="left" vertical="center" wrapText="1"/>
    </xf>
    <xf numFmtId="0" fontId="95" fillId="7" borderId="39" xfId="0" applyFont="1" applyFill="1" applyBorder="1" applyAlignment="1">
      <alignment horizontal="left" vertical="center" wrapText="1"/>
    </xf>
    <xf numFmtId="170" fontId="43" fillId="10" borderId="0" xfId="0" applyNumberFormat="1" applyFont="1" applyFill="1" applyAlignment="1">
      <alignment horizontal="center"/>
    </xf>
    <xf numFmtId="9" fontId="43" fillId="10" borderId="0" xfId="2" applyFont="1" applyFill="1" applyBorder="1" applyAlignment="1">
      <alignment horizontal="center"/>
    </xf>
    <xf numFmtId="0" fontId="23" fillId="3" borderId="0" xfId="3" applyFill="1" applyAlignment="1">
      <alignment horizontal="center"/>
    </xf>
    <xf numFmtId="0" fontId="34" fillId="10" borderId="0" xfId="0" applyFont="1" applyFill="1" applyAlignment="1">
      <alignment horizontal="center"/>
    </xf>
    <xf numFmtId="0" fontId="94" fillId="7" borderId="32" xfId="0" quotePrefix="1" applyFont="1" applyFill="1" applyBorder="1" applyAlignment="1">
      <alignment horizontal="left" vertical="top" wrapText="1"/>
    </xf>
    <xf numFmtId="0" fontId="94" fillId="7" borderId="33" xfId="0" applyFont="1" applyFill="1" applyBorder="1" applyAlignment="1">
      <alignment horizontal="left" vertical="top" wrapText="1"/>
    </xf>
    <xf numFmtId="0" fontId="94" fillId="7" borderId="34" xfId="0" applyFont="1" applyFill="1" applyBorder="1" applyAlignment="1">
      <alignment horizontal="left" vertical="top" wrapText="1"/>
    </xf>
    <xf numFmtId="0" fontId="94" fillId="7" borderId="35" xfId="0" applyFont="1" applyFill="1" applyBorder="1" applyAlignment="1">
      <alignment horizontal="left" vertical="top" wrapText="1"/>
    </xf>
    <xf numFmtId="0" fontId="94" fillId="7" borderId="0" xfId="0" applyFont="1" applyFill="1" applyAlignment="1">
      <alignment horizontal="left" vertical="top" wrapText="1"/>
    </xf>
    <xf numFmtId="0" fontId="94" fillId="7" borderId="36" xfId="0" applyFont="1" applyFill="1" applyBorder="1" applyAlignment="1">
      <alignment horizontal="left" vertical="top" wrapText="1"/>
    </xf>
    <xf numFmtId="0" fontId="94" fillId="7" borderId="37" xfId="0" applyFont="1" applyFill="1" applyBorder="1" applyAlignment="1">
      <alignment horizontal="left" vertical="top" wrapText="1"/>
    </xf>
    <xf numFmtId="0" fontId="94" fillId="7" borderId="38" xfId="0" applyFont="1" applyFill="1" applyBorder="1" applyAlignment="1">
      <alignment horizontal="left" vertical="top" wrapText="1"/>
    </xf>
    <xf numFmtId="0" fontId="94" fillId="7" borderId="39" xfId="0" applyFont="1" applyFill="1" applyBorder="1" applyAlignment="1">
      <alignment horizontal="left" vertical="top" wrapText="1"/>
    </xf>
    <xf numFmtId="0" fontId="34" fillId="7" borderId="0" xfId="0" applyFont="1" applyFill="1" applyAlignment="1">
      <alignment horizontal="center"/>
    </xf>
    <xf numFmtId="0" fontId="90" fillId="7" borderId="0" xfId="0" quotePrefix="1" applyFont="1" applyFill="1" applyAlignment="1">
      <alignment horizontal="left" vertical="top" wrapText="1"/>
    </xf>
    <xf numFmtId="0" fontId="42" fillId="7" borderId="0" xfId="0" applyFont="1" applyFill="1" applyAlignment="1">
      <alignment horizontal="left" vertical="center" wrapText="1"/>
    </xf>
    <xf numFmtId="0" fontId="60" fillId="10" borderId="0" xfId="0" applyFont="1" applyFill="1" applyAlignment="1">
      <alignment horizontal="left" vertical="center"/>
    </xf>
    <xf numFmtId="0" fontId="42" fillId="7" borderId="0" xfId="0" applyFont="1" applyFill="1" applyAlignment="1">
      <alignment horizontal="left" vertical="center"/>
    </xf>
    <xf numFmtId="0" fontId="23" fillId="10" borderId="0" xfId="3" applyFill="1" applyBorder="1" applyAlignment="1">
      <alignment horizontal="center"/>
    </xf>
    <xf numFmtId="49" fontId="69" fillId="10" borderId="0" xfId="0" applyNumberFormat="1" applyFont="1" applyFill="1" applyAlignment="1">
      <alignment horizontal="left" vertical="top" wrapText="1"/>
    </xf>
    <xf numFmtId="0" fontId="43" fillId="10" borderId="0" xfId="0" applyFont="1" applyFill="1" applyAlignment="1">
      <alignment horizontal="center"/>
    </xf>
    <xf numFmtId="0" fontId="31" fillId="10" borderId="29" xfId="0" quotePrefix="1" applyFont="1" applyFill="1" applyBorder="1" applyAlignment="1">
      <alignment horizontal="right" vertical="center"/>
    </xf>
    <xf numFmtId="0" fontId="31" fillId="10" borderId="30" xfId="0" quotePrefix="1" applyFont="1" applyFill="1" applyBorder="1" applyAlignment="1">
      <alignment horizontal="right" vertical="center"/>
    </xf>
    <xf numFmtId="0" fontId="12" fillId="10" borderId="0" xfId="0" applyFont="1" applyFill="1" applyAlignment="1">
      <alignment horizontal="center" vertical="center"/>
    </xf>
    <xf numFmtId="0" fontId="0" fillId="7" borderId="0" xfId="0" applyFill="1" applyAlignment="1">
      <alignment horizontal="left" vertical="top" wrapText="1"/>
    </xf>
    <xf numFmtId="0" fontId="0" fillId="7" borderId="0" xfId="0" applyFill="1" applyAlignment="1">
      <alignment horizontal="left" vertical="top"/>
    </xf>
    <xf numFmtId="0" fontId="12" fillId="7" borderId="0" xfId="0" applyFont="1" applyFill="1" applyAlignment="1">
      <alignment horizontal="center" vertical="center"/>
    </xf>
    <xf numFmtId="49" fontId="69" fillId="7" borderId="0" xfId="0" applyNumberFormat="1" applyFont="1" applyFill="1" applyAlignment="1">
      <alignment horizontal="left" vertical="center" wrapText="1"/>
    </xf>
    <xf numFmtId="49" fontId="69" fillId="7" borderId="0" xfId="0" applyNumberFormat="1" applyFont="1" applyFill="1" applyAlignment="1">
      <alignment horizontal="left" vertical="center"/>
    </xf>
    <xf numFmtId="0" fontId="98" fillId="7" borderId="0" xfId="0" applyFont="1" applyFill="1" applyAlignment="1">
      <alignment horizontal="left" vertical="top" wrapText="1"/>
    </xf>
    <xf numFmtId="14" fontId="97" fillId="7" borderId="0" xfId="0" applyNumberFormat="1" applyFont="1" applyFill="1" applyAlignment="1">
      <alignment horizontal="center" vertical="center"/>
    </xf>
    <xf numFmtId="9" fontId="44" fillId="7" borderId="18" xfId="2" applyFont="1" applyFill="1" applyBorder="1" applyAlignment="1">
      <alignment horizontal="center" vertical="center"/>
    </xf>
    <xf numFmtId="49" fontId="49" fillId="10" borderId="0" xfId="0" applyNumberFormat="1" applyFont="1" applyFill="1" applyAlignment="1">
      <alignment horizontal="center" vertical="center" wrapText="1"/>
    </xf>
    <xf numFmtId="49" fontId="49" fillId="10" borderId="0" xfId="0" applyNumberFormat="1" applyFont="1" applyFill="1" applyAlignment="1">
      <alignment horizontal="center" vertical="center"/>
    </xf>
    <xf numFmtId="171" fontId="43" fillId="7" borderId="20" xfId="2" applyNumberFormat="1" applyFont="1" applyFill="1" applyBorder="1" applyAlignment="1">
      <alignment horizontal="center"/>
    </xf>
    <xf numFmtId="0" fontId="13" fillId="7" borderId="41" xfId="0" applyFont="1" applyFill="1" applyBorder="1" applyAlignment="1">
      <alignment horizontal="left" vertical="top" wrapText="1"/>
    </xf>
    <xf numFmtId="0" fontId="13" fillId="7" borderId="42" xfId="0" applyFont="1" applyFill="1" applyBorder="1" applyAlignment="1">
      <alignment horizontal="left" vertical="top" wrapText="1"/>
    </xf>
    <xf numFmtId="0" fontId="13" fillId="7" borderId="43" xfId="0" applyFont="1" applyFill="1" applyBorder="1" applyAlignment="1">
      <alignment horizontal="left" vertical="top" wrapText="1"/>
    </xf>
    <xf numFmtId="0" fontId="13" fillId="7" borderId="44" xfId="0" applyFont="1" applyFill="1" applyBorder="1" applyAlignment="1">
      <alignment horizontal="left" vertical="top" wrapText="1"/>
    </xf>
    <xf numFmtId="0" fontId="13" fillId="7" borderId="0" xfId="0" applyFont="1" applyFill="1" applyAlignment="1">
      <alignment horizontal="left" vertical="top" wrapText="1"/>
    </xf>
    <xf numFmtId="0" fontId="13" fillId="7" borderId="45" xfId="0" applyFont="1" applyFill="1" applyBorder="1" applyAlignment="1">
      <alignment horizontal="left" vertical="top" wrapText="1"/>
    </xf>
    <xf numFmtId="0" fontId="13" fillId="7" borderId="46" xfId="0" applyFont="1" applyFill="1" applyBorder="1" applyAlignment="1">
      <alignment horizontal="left" vertical="top" wrapText="1"/>
    </xf>
    <xf numFmtId="0" fontId="13" fillId="7" borderId="40" xfId="0" applyFont="1" applyFill="1" applyBorder="1" applyAlignment="1">
      <alignment horizontal="left" vertical="top" wrapText="1"/>
    </xf>
    <xf numFmtId="0" fontId="13" fillId="7" borderId="47" xfId="0" applyFont="1" applyFill="1" applyBorder="1" applyAlignment="1">
      <alignment horizontal="left" vertical="top" wrapText="1"/>
    </xf>
    <xf numFmtId="0" fontId="101" fillId="7" borderId="0" xfId="0" applyFont="1" applyFill="1" applyAlignment="1">
      <alignment horizontal="left" vertical="center"/>
    </xf>
    <xf numFmtId="0" fontId="90" fillId="0" borderId="0" xfId="0" applyFont="1" applyAlignment="1">
      <alignment horizontal="left" vertical="top" wrapText="1"/>
    </xf>
    <xf numFmtId="0" fontId="90" fillId="0" borderId="0" xfId="0" applyFont="1" applyAlignment="1">
      <alignment horizontal="left" vertical="top"/>
    </xf>
    <xf numFmtId="0" fontId="31" fillId="0" borderId="0" xfId="0" applyFont="1" applyAlignment="1">
      <alignment horizontal="left" wrapText="1"/>
    </xf>
    <xf numFmtId="0" fontId="46" fillId="7" borderId="0" xfId="0" applyFont="1" applyFill="1" applyAlignment="1">
      <alignment horizontal="left" vertical="center"/>
    </xf>
    <xf numFmtId="0" fontId="42" fillId="10" borderId="0" xfId="0" applyFont="1" applyFill="1" applyAlignment="1">
      <alignment horizontal="center" vertical="center"/>
    </xf>
    <xf numFmtId="170" fontId="43" fillId="10" borderId="0" xfId="0" applyNumberFormat="1" applyFont="1" applyFill="1" applyAlignment="1">
      <alignment horizontal="center" vertical="center"/>
    </xf>
    <xf numFmtId="9" fontId="43" fillId="10" borderId="0" xfId="2" applyFont="1" applyFill="1" applyBorder="1" applyAlignment="1">
      <alignment horizontal="center" vertical="center"/>
    </xf>
    <xf numFmtId="0" fontId="43" fillId="10" borderId="0" xfId="0" applyFont="1" applyFill="1" applyAlignment="1">
      <alignment horizontal="center" vertical="center"/>
    </xf>
    <xf numFmtId="0" fontId="34" fillId="10" borderId="0" xfId="0" applyFont="1" applyFill="1" applyAlignment="1">
      <alignment horizontal="center" vertical="center"/>
    </xf>
    <xf numFmtId="49" fontId="109" fillId="7" borderId="0" xfId="0" applyNumberFormat="1" applyFont="1" applyFill="1" applyAlignment="1">
      <alignment horizontal="left" vertical="center" wrapText="1"/>
    </xf>
    <xf numFmtId="0" fontId="30" fillId="7" borderId="51" xfId="0" applyFont="1" applyFill="1" applyBorder="1" applyAlignment="1">
      <alignment horizontal="center" vertical="center"/>
    </xf>
    <xf numFmtId="0" fontId="30" fillId="7" borderId="52" xfId="0" applyFont="1" applyFill="1" applyBorder="1" applyAlignment="1">
      <alignment horizontal="center" vertical="center"/>
    </xf>
    <xf numFmtId="0" fontId="30" fillId="7" borderId="53" xfId="0" applyFont="1" applyFill="1" applyBorder="1" applyAlignment="1">
      <alignment horizontal="center" vertical="center"/>
    </xf>
    <xf numFmtId="0" fontId="112" fillId="11" borderId="57" xfId="0" applyFont="1" applyFill="1" applyBorder="1" applyAlignment="1">
      <alignment horizontal="left"/>
    </xf>
    <xf numFmtId="0" fontId="113" fillId="0" borderId="0" xfId="0" applyFont="1" applyAlignment="1">
      <alignment horizontal="right" vertical="center"/>
    </xf>
    <xf numFmtId="0" fontId="0" fillId="7" borderId="32" xfId="0" applyFill="1" applyBorder="1" applyAlignment="1">
      <alignment horizontal="left" vertical="center" wrapText="1"/>
    </xf>
    <xf numFmtId="0" fontId="0" fillId="7" borderId="33" xfId="0" applyFill="1" applyBorder="1" applyAlignment="1">
      <alignment horizontal="left" vertical="center" wrapText="1"/>
    </xf>
    <xf numFmtId="0" fontId="0" fillId="7" borderId="34" xfId="0" applyFill="1" applyBorder="1" applyAlignment="1">
      <alignment horizontal="left" vertical="center" wrapText="1"/>
    </xf>
    <xf numFmtId="0" fontId="0" fillId="7" borderId="35" xfId="0" applyFill="1" applyBorder="1" applyAlignment="1">
      <alignment horizontal="left" vertical="center" wrapText="1"/>
    </xf>
    <xf numFmtId="0" fontId="0" fillId="7" borderId="0" xfId="0" applyFill="1" applyAlignment="1">
      <alignment horizontal="left" vertical="center" wrapText="1"/>
    </xf>
    <xf numFmtId="0" fontId="0" fillId="7" borderId="36" xfId="0" applyFill="1" applyBorder="1" applyAlignment="1">
      <alignment horizontal="left" vertical="center" wrapText="1"/>
    </xf>
    <xf numFmtId="0" fontId="0" fillId="7" borderId="37" xfId="0" applyFill="1" applyBorder="1" applyAlignment="1">
      <alignment horizontal="left" vertical="center" wrapText="1"/>
    </xf>
    <xf numFmtId="0" fontId="0" fillId="7" borderId="38" xfId="0" applyFill="1" applyBorder="1" applyAlignment="1">
      <alignment horizontal="left" vertical="center" wrapText="1"/>
    </xf>
    <xf numFmtId="0" fontId="0" fillId="7" borderId="39" xfId="0" applyFill="1" applyBorder="1" applyAlignment="1">
      <alignment horizontal="left" vertical="center" wrapText="1"/>
    </xf>
    <xf numFmtId="0" fontId="60" fillId="7" borderId="0" xfId="0" applyFont="1" applyFill="1" applyAlignment="1">
      <alignment horizontal="center" vertical="center"/>
    </xf>
    <xf numFmtId="0" fontId="0" fillId="7" borderId="0" xfId="0" applyFill="1" applyAlignment="1">
      <alignment horizontal="center" vertical="center" textRotation="90"/>
    </xf>
    <xf numFmtId="0" fontId="32" fillId="7" borderId="0" xfId="0" applyFont="1" applyFill="1" applyAlignment="1">
      <alignment horizontal="center" vertical="center"/>
    </xf>
    <xf numFmtId="4" fontId="33" fillId="9" borderId="0" xfId="0" applyNumberFormat="1" applyFont="1" applyFill="1" applyAlignment="1">
      <alignment horizontal="center" vertical="center"/>
    </xf>
    <xf numFmtId="4" fontId="29" fillId="7" borderId="18" xfId="0" applyNumberFormat="1" applyFont="1" applyFill="1" applyBorder="1" applyAlignment="1">
      <alignment horizontal="center"/>
    </xf>
    <xf numFmtId="0" fontId="29" fillId="7" borderId="18" xfId="0" applyFont="1" applyFill="1" applyBorder="1" applyAlignment="1">
      <alignment horizontal="center"/>
    </xf>
    <xf numFmtId="49" fontId="13" fillId="7" borderId="0" xfId="0" applyNumberFormat="1" applyFont="1" applyFill="1" applyAlignment="1">
      <alignment horizontal="center" wrapText="1"/>
    </xf>
    <xf numFmtId="49" fontId="13" fillId="7" borderId="0" xfId="0" applyNumberFormat="1" applyFont="1" applyFill="1" applyAlignment="1">
      <alignment horizontal="center"/>
    </xf>
    <xf numFmtId="49" fontId="13" fillId="7" borderId="25" xfId="0" applyNumberFormat="1" applyFont="1" applyFill="1" applyBorder="1" applyAlignment="1">
      <alignment horizontal="center"/>
    </xf>
    <xf numFmtId="49" fontId="13" fillId="7" borderId="18" xfId="0" applyNumberFormat="1" applyFont="1" applyFill="1" applyBorder="1" applyAlignment="1">
      <alignment horizontal="center"/>
    </xf>
    <xf numFmtId="49" fontId="13" fillId="7" borderId="27" xfId="0" applyNumberFormat="1" applyFont="1" applyFill="1" applyBorder="1" applyAlignment="1">
      <alignment horizontal="center"/>
    </xf>
    <xf numFmtId="3" fontId="33" fillId="9" borderId="0" xfId="0" applyNumberFormat="1" applyFont="1" applyFill="1" applyAlignment="1">
      <alignment horizontal="center" vertical="center"/>
    </xf>
    <xf numFmtId="1" fontId="29" fillId="7" borderId="18" xfId="0" applyNumberFormat="1" applyFont="1" applyFill="1" applyBorder="1" applyAlignment="1">
      <alignment horizontal="center"/>
    </xf>
  </cellXfs>
  <cellStyles count="5">
    <cellStyle name="Comma" xfId="4" builtinId="3"/>
    <cellStyle name="Currency" xfId="1" builtinId="4"/>
    <cellStyle name="Hyperlink" xfId="3" builtinId="8"/>
    <cellStyle name="Normal" xfId="0" builtinId="0"/>
    <cellStyle name="Percent" xfId="2" builtinId="5"/>
  </cellStyles>
  <dxfs count="1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fill>
        <patternFill>
          <bgColor rgb="FFFFFF00"/>
        </patternFill>
      </fill>
    </dxf>
    <dxf>
      <fill>
        <patternFill>
          <bgColor rgb="FFFFFF00"/>
        </patternFill>
      </fill>
    </dxf>
    <dxf>
      <fill>
        <patternFill patternType="solid">
          <bgColor rgb="FFFF0000"/>
        </patternFill>
      </fill>
    </dxf>
    <dxf>
      <fill>
        <patternFill patternType="solid">
          <bgColor rgb="FFFF0000"/>
        </patternFill>
      </fill>
    </dxf>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7" formatCode="_-[$$-409]* #,##0.00_ ;_-[$$-409]* \-#,##0.00\ ;_-[$$-409]* &quot;-&quot;??_ ;_-@_ "/>
    </dxf>
    <dxf>
      <numFmt numFmtId="167" formatCode="_-[$$-409]* #,##0.00_ ;_-[$$-409]* \-#,##0.00\ ;_-[$$-409]* &quot;-&quot;??_ ;_-@_ "/>
    </dxf>
    <dxf>
      <numFmt numFmtId="164" formatCode="_-* #,##0.00\ &quot;€&quot;_-;\-* #,##0.00\ &quot;€&quot;_-;_-* &quot;-&quot;??\ &quot;€&quot;_-;_-@_-"/>
    </dxf>
    <dxf>
      <numFmt numFmtId="167" formatCode="_-[$$-409]* #,##0.00_ ;_-[$$-409]* \-#,##0.00\ ;_-[$$-409]* &quot;-&quot;??_ ;_-@_ "/>
    </dxf>
    <dxf>
      <font>
        <b/>
      </font>
    </dxf>
    <dxf>
      <numFmt numFmtId="172" formatCode="dd/mm/yyyy"/>
      <alignment horizontal="left"/>
    </dxf>
    <dxf>
      <numFmt numFmtId="167" formatCode="_-[$$-409]* #,##0.00_ ;_-[$$-409]* \-#,##0.00\ ;_-[$$-409]* &quot;-&quot;??_ ;_-@_ "/>
    </dxf>
    <dxf>
      <numFmt numFmtId="165" formatCode="_-* #,##0.00_-;\-* #,##0.00_-;_-* &quot;-&quot;??_-;_-@_-"/>
    </dxf>
    <dxf>
      <numFmt numFmtId="165" formatCode="_-* #,##0.00_-;\-* #,##0.00_-;_-* &quot;-&quot;??_-;_-@_-"/>
    </dxf>
    <dxf>
      <numFmt numFmtId="164" formatCode="_-* #,##0.00\ &quot;€&quot;_-;\-* #,##0.00\ &quot;€&quot;_-;_-* &quot;-&quot;??\ &quot;€&quot;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rgb="FFC00000"/>
      </font>
    </dxf>
    <dxf>
      <font>
        <color theme="6"/>
      </font>
    </dxf>
    <dxf>
      <font>
        <color rgb="FFC00000"/>
      </font>
    </dxf>
    <dxf>
      <font>
        <color rgb="FFC00000"/>
      </font>
    </dxf>
    <dxf>
      <font>
        <color theme="6"/>
      </font>
    </dxf>
    <dxf>
      <font>
        <color rgb="FFC00000"/>
      </font>
    </dxf>
    <dxf>
      <font>
        <color theme="6"/>
      </font>
    </dxf>
    <dxf>
      <font>
        <color rgb="FFC00000"/>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6"/>
      </font>
    </dxf>
    <dxf>
      <font>
        <color rgb="FFC00000"/>
      </font>
    </dxf>
    <dxf>
      <font>
        <color theme="0"/>
      </font>
      <fill>
        <patternFill>
          <bgColor rgb="FF00B050"/>
        </patternFill>
      </fill>
    </dxf>
  </dxfs>
  <tableStyles count="0" defaultTableStyle="TableStyleMedium2" defaultPivotStyle="PivotStyleLight16"/>
  <colors>
    <mruColors>
      <color rgb="FF122D4D"/>
      <color rgb="FF426FA1"/>
      <color rgb="FF62AC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5.xml"/><Relationship Id="rId21" Type="http://schemas.openxmlformats.org/officeDocument/2006/relationships/worksheet" Target="worksheets/sheet20.xml"/><Relationship Id="rId42" Type="http://schemas.openxmlformats.org/officeDocument/2006/relationships/worksheet" Target="worksheets/sheet41.xml"/><Relationship Id="rId47" Type="http://schemas.openxmlformats.org/officeDocument/2006/relationships/worksheet" Target="worksheets/sheet46.xml"/><Relationship Id="rId63" Type="http://schemas.openxmlformats.org/officeDocument/2006/relationships/worksheet" Target="worksheets/sheet62.xml"/><Relationship Id="rId68" Type="http://schemas.openxmlformats.org/officeDocument/2006/relationships/worksheet" Target="worksheets/sheet67.xml"/><Relationship Id="rId84" Type="http://schemas.openxmlformats.org/officeDocument/2006/relationships/customXml" Target="../customXml/item1.xml"/><Relationship Id="rId16" Type="http://schemas.openxmlformats.org/officeDocument/2006/relationships/worksheet" Target="worksheets/sheet15.xml"/><Relationship Id="rId11" Type="http://schemas.openxmlformats.org/officeDocument/2006/relationships/chartsheet" Target="chartsheets/sheet1.xml"/><Relationship Id="rId32" Type="http://schemas.openxmlformats.org/officeDocument/2006/relationships/worksheet" Target="worksheets/sheet31.xml"/><Relationship Id="rId37" Type="http://schemas.openxmlformats.org/officeDocument/2006/relationships/worksheet" Target="worksheets/sheet36.xml"/><Relationship Id="rId53" Type="http://schemas.openxmlformats.org/officeDocument/2006/relationships/worksheet" Target="worksheets/sheet52.xml"/><Relationship Id="rId58" Type="http://schemas.openxmlformats.org/officeDocument/2006/relationships/worksheet" Target="worksheets/sheet57.xml"/><Relationship Id="rId74" Type="http://schemas.openxmlformats.org/officeDocument/2006/relationships/pivotCacheDefinition" Target="pivotCache/pivotCacheDefinition1.xml"/><Relationship Id="rId79"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worksheet" Target="worksheets/sheet55.xml"/><Relationship Id="rId64" Type="http://schemas.openxmlformats.org/officeDocument/2006/relationships/worksheet" Target="worksheets/sheet63.xml"/><Relationship Id="rId69" Type="http://schemas.openxmlformats.org/officeDocument/2006/relationships/worksheet" Target="worksheets/sheet68.xml"/><Relationship Id="rId77" Type="http://schemas.openxmlformats.org/officeDocument/2006/relationships/pivotCacheDefinition" Target="pivotCache/pivotCacheDefinition4.xml"/><Relationship Id="rId8" Type="http://schemas.openxmlformats.org/officeDocument/2006/relationships/worksheet" Target="worksheets/sheet8.xml"/><Relationship Id="rId51" Type="http://schemas.openxmlformats.org/officeDocument/2006/relationships/worksheet" Target="worksheets/sheet50.xml"/><Relationship Id="rId72" Type="http://schemas.openxmlformats.org/officeDocument/2006/relationships/worksheet" Target="worksheets/sheet70.xml"/><Relationship Id="rId80" Type="http://schemas.openxmlformats.org/officeDocument/2006/relationships/styles" Target="styles.xml"/><Relationship Id="rId85"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worksheet" Target="worksheets/sheet37.xml"/><Relationship Id="rId46" Type="http://schemas.openxmlformats.org/officeDocument/2006/relationships/worksheet" Target="worksheets/sheet45.xml"/><Relationship Id="rId59" Type="http://schemas.openxmlformats.org/officeDocument/2006/relationships/worksheet" Target="worksheets/sheet58.xml"/><Relationship Id="rId67" Type="http://schemas.openxmlformats.org/officeDocument/2006/relationships/worksheet" Target="worksheets/sheet66.xml"/><Relationship Id="rId20" Type="http://schemas.openxmlformats.org/officeDocument/2006/relationships/worksheet" Target="worksheets/sheet19.xml"/><Relationship Id="rId41" Type="http://schemas.openxmlformats.org/officeDocument/2006/relationships/worksheet" Target="worksheets/sheet40.xml"/><Relationship Id="rId54" Type="http://schemas.openxmlformats.org/officeDocument/2006/relationships/worksheet" Target="worksheets/sheet53.xml"/><Relationship Id="rId62" Type="http://schemas.openxmlformats.org/officeDocument/2006/relationships/worksheet" Target="worksheets/sheet61.xml"/><Relationship Id="rId70" Type="http://schemas.openxmlformats.org/officeDocument/2006/relationships/chartsheet" Target="chartsheets/sheet2.xml"/><Relationship Id="rId75" Type="http://schemas.openxmlformats.org/officeDocument/2006/relationships/pivotCacheDefinition" Target="pivotCache/pivotCacheDefinition2.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49" Type="http://schemas.openxmlformats.org/officeDocument/2006/relationships/worksheet" Target="worksheets/sheet48.xml"/><Relationship Id="rId57" Type="http://schemas.openxmlformats.org/officeDocument/2006/relationships/worksheet" Target="worksheets/sheet56.xml"/><Relationship Id="rId10" Type="http://schemas.openxmlformats.org/officeDocument/2006/relationships/worksheet" Target="worksheets/sheet10.xml"/><Relationship Id="rId31" Type="http://schemas.openxmlformats.org/officeDocument/2006/relationships/worksheet" Target="worksheets/sheet30.xml"/><Relationship Id="rId44" Type="http://schemas.openxmlformats.org/officeDocument/2006/relationships/worksheet" Target="worksheets/sheet43.xml"/><Relationship Id="rId52" Type="http://schemas.openxmlformats.org/officeDocument/2006/relationships/worksheet" Target="worksheets/sheet51.xml"/><Relationship Id="rId60" Type="http://schemas.openxmlformats.org/officeDocument/2006/relationships/worksheet" Target="worksheets/sheet59.xml"/><Relationship Id="rId65" Type="http://schemas.openxmlformats.org/officeDocument/2006/relationships/worksheet" Target="worksheets/sheet64.xml"/><Relationship Id="rId73" Type="http://schemas.openxmlformats.org/officeDocument/2006/relationships/externalLink" Target="externalLinks/externalLink1.xml"/><Relationship Id="rId78" Type="http://schemas.openxmlformats.org/officeDocument/2006/relationships/pivotCacheDefinition" Target="pivotCache/pivotCacheDefinition5.xml"/><Relationship Id="rId81" Type="http://schemas.openxmlformats.org/officeDocument/2006/relationships/sharedStrings" Target="sharedStrings.xml"/><Relationship Id="rId86"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2.xml"/><Relationship Id="rId18" Type="http://schemas.openxmlformats.org/officeDocument/2006/relationships/worksheet" Target="worksheets/sheet17.xml"/><Relationship Id="rId39" Type="http://schemas.openxmlformats.org/officeDocument/2006/relationships/worksheet" Target="worksheets/sheet38.xml"/><Relationship Id="rId34" Type="http://schemas.openxmlformats.org/officeDocument/2006/relationships/worksheet" Target="worksheets/sheet33.xml"/><Relationship Id="rId50" Type="http://schemas.openxmlformats.org/officeDocument/2006/relationships/worksheet" Target="worksheets/sheet49.xml"/><Relationship Id="rId55" Type="http://schemas.openxmlformats.org/officeDocument/2006/relationships/worksheet" Target="worksheets/sheet54.xml"/><Relationship Id="rId76" Type="http://schemas.openxmlformats.org/officeDocument/2006/relationships/pivotCacheDefinition" Target="pivotCache/pivotCacheDefinition3.xml"/><Relationship Id="rId7" Type="http://schemas.openxmlformats.org/officeDocument/2006/relationships/worksheet" Target="worksheets/sheet7.xml"/><Relationship Id="rId71" Type="http://schemas.openxmlformats.org/officeDocument/2006/relationships/worksheet" Target="worksheets/sheet69.xml"/><Relationship Id="rId2" Type="http://schemas.openxmlformats.org/officeDocument/2006/relationships/worksheet" Target="worksheets/sheet2.xml"/><Relationship Id="rId29" Type="http://schemas.openxmlformats.org/officeDocument/2006/relationships/worksheet" Target="worksheets/sheet28.xml"/><Relationship Id="rId24" Type="http://schemas.openxmlformats.org/officeDocument/2006/relationships/worksheet" Target="worksheets/sheet23.xml"/><Relationship Id="rId40" Type="http://schemas.openxmlformats.org/officeDocument/2006/relationships/worksheet" Target="worksheets/sheet39.xml"/><Relationship Id="rId45" Type="http://schemas.openxmlformats.org/officeDocument/2006/relationships/worksheet" Target="worksheets/sheet44.xml"/><Relationship Id="rId66" Type="http://schemas.openxmlformats.org/officeDocument/2006/relationships/worksheet" Target="worksheets/sheet65.xml"/><Relationship Id="rId61" Type="http://schemas.openxmlformats.org/officeDocument/2006/relationships/worksheet" Target="worksheets/sheet60.xml"/><Relationship Id="rId8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1206781103"/>
        <c:axId val="1206782063"/>
      </c:barChart>
      <c:catAx>
        <c:axId val="12067811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782063"/>
        <c:crosses val="autoZero"/>
        <c:auto val="1"/>
        <c:lblAlgn val="ctr"/>
        <c:lblOffset val="100"/>
        <c:noMultiLvlLbl val="0"/>
      </c:catAx>
      <c:valAx>
        <c:axId val="1206782063"/>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78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fr-FR" b="1">
                <a:solidFill>
                  <a:schemeClr val="tx2"/>
                </a:solidFill>
              </a:rPr>
              <a:t>Revenue</a:t>
            </a:r>
            <a:r>
              <a:rPr lang="fr-FR" b="1" baseline="0">
                <a:solidFill>
                  <a:schemeClr val="tx2"/>
                </a:solidFill>
              </a:rPr>
              <a:t> evolution</a:t>
            </a:r>
            <a:endParaRPr lang="fr-FR" b="1">
              <a:solidFill>
                <a:schemeClr val="tx2"/>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a:outerShdw blurRad="50800" dist="50800" dir="5400000" sx="1000" sy="1000" algn="ctr" rotWithShape="0">
                <a:srgbClr val="000000"/>
              </a:outerShdw>
            </a:effectLst>
          </c:spPr>
          <c:marker>
            <c:symbol val="none"/>
          </c:marker>
          <c:trendline>
            <c:spPr>
              <a:ln w="19050" cap="rnd">
                <a:solidFill>
                  <a:schemeClr val="accent1"/>
                </a:solidFill>
                <a:prstDash val="sysDot"/>
              </a:ln>
              <a:effectLst/>
            </c:spPr>
            <c:trendlineType val="movingAvg"/>
            <c:period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'LTM P&amp;L (2)'!$G$9:$R$9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[0]!Selected_revenue</c:f>
              <c:numCache>
                <c:formatCode>#,##0," K$"</c:formatCode>
                <c:ptCount val="10"/>
                <c:pt idx="0">
                  <c:v>13745707</c:v>
                </c:pt>
                <c:pt idx="1">
                  <c:v>12726467</c:v>
                </c:pt>
                <c:pt idx="2">
                  <c:v>10796660</c:v>
                </c:pt>
                <c:pt idx="3">
                  <c:v>12478398</c:v>
                </c:pt>
                <c:pt idx="4">
                  <c:v>11877090</c:v>
                </c:pt>
                <c:pt idx="5">
                  <c:v>12577816</c:v>
                </c:pt>
                <c:pt idx="6">
                  <c:v>13117891</c:v>
                </c:pt>
                <c:pt idx="7">
                  <c:v>11066732</c:v>
                </c:pt>
                <c:pt idx="8">
                  <c:v>11487586</c:v>
                </c:pt>
                <c:pt idx="9">
                  <c:v>11353191</c:v>
                </c:pt>
              </c:numCache>
            </c:numRef>
          </c:val>
          <c:smooth val="1"/>
          <c:extLst>
            <c:ext xmlns:c16="http://schemas.microsoft.com/office/drawing/2014/chart" uri="{C3380CC4-5D6E-409C-BE32-E72D297353CC}">
              <c16:uniqueId val="{00000000-DD7C-4FEB-8CA5-0E3117F9E780}"/>
            </c:ext>
          </c:extLst>
        </c:ser>
        <c:dLbls>
          <c:showLegendKey val="0"/>
          <c:showVal val="0"/>
          <c:showCatName val="0"/>
          <c:showSerName val="0"/>
          <c:showPercent val="0"/>
          <c:showBubbleSize val="0"/>
        </c:dLbls>
        <c:smooth val="0"/>
        <c:axId val="1424911504"/>
        <c:axId val="1424913424"/>
      </c:lineChart>
      <c:catAx>
        <c:axId val="142491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13424"/>
        <c:crosses val="autoZero"/>
        <c:auto val="1"/>
        <c:lblAlgn val="ctr"/>
        <c:lblOffset val="100"/>
        <c:noMultiLvlLbl val="0"/>
      </c:catAx>
      <c:valAx>
        <c:axId val="1424913424"/>
        <c:scaling>
          <c:orientation val="minMax"/>
          <c:min val="9000000"/>
        </c:scaling>
        <c:delete val="0"/>
        <c:axPos val="l"/>
        <c:majorGridlines>
          <c:spPr>
            <a:ln w="9525" cap="flat" cmpd="sng" algn="ctr">
              <a:solidFill>
                <a:schemeClr val="tx1">
                  <a:lumMod val="15000"/>
                  <a:lumOff val="85000"/>
                </a:schemeClr>
              </a:solidFill>
              <a:round/>
            </a:ln>
            <a:effectLst/>
          </c:spPr>
        </c:majorGridlines>
        <c:numFmt formatCode="#,##0,&quot; 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11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fr-FR" b="1">
                <a:solidFill>
                  <a:schemeClr val="tx2"/>
                </a:solidFill>
              </a:rPr>
              <a:t>Margin</a:t>
            </a:r>
            <a:r>
              <a:rPr lang="fr-FR" b="1" baseline="0">
                <a:solidFill>
                  <a:schemeClr val="tx2"/>
                </a:solidFill>
              </a:rPr>
              <a:t> evolution</a:t>
            </a:r>
            <a:endParaRPr lang="fr-FR" b="1">
              <a:solidFill>
                <a:schemeClr val="tx2"/>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lineChart>
        <c:grouping val="standard"/>
        <c:varyColors val="0"/>
        <c:ser>
          <c:idx val="0"/>
          <c:order val="0"/>
          <c:tx>
            <c:v>Margin</c:v>
          </c:tx>
          <c:spPr>
            <a:ln w="28575" cap="rnd">
              <a:solidFill>
                <a:schemeClr val="accent1"/>
              </a:solidFill>
              <a:round/>
            </a:ln>
            <a:effectLst/>
          </c:spPr>
          <c:marker>
            <c:symbol val="none"/>
          </c:marker>
          <c:trendline>
            <c:spPr>
              <a:ln w="19050" cap="rnd">
                <a:solidFill>
                  <a:schemeClr val="accent1"/>
                </a:solidFill>
                <a:prstDash val="sysDot"/>
              </a:ln>
              <a:effectLst/>
            </c:spPr>
            <c:trendlineType val="movingAvg"/>
            <c:period val="2"/>
            <c:dispRSqr val="0"/>
            <c:dispEq val="0"/>
          </c:trendline>
          <c:cat>
            <c:strRef>
              <c:f>'LTM P&amp;L (2)'!$G$9:$R$9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[0]!Margin</c:f>
              <c:numCache>
                <c:formatCode>#,##0," K$"</c:formatCode>
                <c:ptCount val="10"/>
                <c:pt idx="0">
                  <c:v>3182853.9699999969</c:v>
                </c:pt>
                <c:pt idx="1">
                  <c:v>3702848.9219999984</c:v>
                </c:pt>
                <c:pt idx="2">
                  <c:v>2388111.7680000011</c:v>
                </c:pt>
                <c:pt idx="3">
                  <c:v>2895805.7139999997</c:v>
                </c:pt>
                <c:pt idx="4">
                  <c:v>2395177.3139999993</c:v>
                </c:pt>
                <c:pt idx="5">
                  <c:v>4702640.574000001</c:v>
                </c:pt>
                <c:pt idx="6">
                  <c:v>3470958.0020000022</c:v>
                </c:pt>
                <c:pt idx="7">
                  <c:v>2126609.1380000003</c:v>
                </c:pt>
                <c:pt idx="8">
                  <c:v>3289909.2820000006</c:v>
                </c:pt>
                <c:pt idx="9">
                  <c:v>2995939.6720000003</c:v>
                </c:pt>
              </c:numCache>
            </c:numRef>
          </c:val>
          <c:smooth val="1"/>
          <c:extLst>
            <c:ext xmlns:c16="http://schemas.microsoft.com/office/drawing/2014/chart" uri="{C3380CC4-5D6E-409C-BE32-E72D297353CC}">
              <c16:uniqueId val="{00000001-1F21-4D9D-991A-5EA466B065E3}"/>
            </c:ext>
          </c:extLst>
        </c:ser>
        <c:dLbls>
          <c:showLegendKey val="0"/>
          <c:showVal val="0"/>
          <c:showCatName val="0"/>
          <c:showSerName val="0"/>
          <c:showPercent val="0"/>
          <c:showBubbleSize val="0"/>
        </c:dLbls>
        <c:smooth val="0"/>
        <c:axId val="1424911504"/>
        <c:axId val="1424913424"/>
      </c:lineChart>
      <c:catAx>
        <c:axId val="142491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13424"/>
        <c:crosses val="autoZero"/>
        <c:auto val="1"/>
        <c:lblAlgn val="ctr"/>
        <c:lblOffset val="100"/>
        <c:noMultiLvlLbl val="0"/>
      </c:catAx>
      <c:valAx>
        <c:axId val="1424913424"/>
        <c:scaling>
          <c:orientation val="minMax"/>
          <c:min val="1500000"/>
        </c:scaling>
        <c:delete val="0"/>
        <c:axPos val="l"/>
        <c:majorGridlines>
          <c:spPr>
            <a:ln w="9525" cap="flat" cmpd="sng" algn="ctr">
              <a:solidFill>
                <a:schemeClr val="tx1">
                  <a:lumMod val="15000"/>
                  <a:lumOff val="85000"/>
                </a:schemeClr>
              </a:solidFill>
              <a:round/>
            </a:ln>
            <a:effectLst/>
          </c:spPr>
        </c:majorGridlines>
        <c:numFmt formatCode="#,##0,&quot; 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11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fr-FR" b="1" baseline="0">
                <a:solidFill>
                  <a:schemeClr val="tx2"/>
                </a:solidFill>
              </a:rPr>
              <a:t>EBITDA Evolution</a:t>
            </a:r>
            <a:endParaRPr lang="fr-FR" b="1">
              <a:solidFill>
                <a:schemeClr val="tx2"/>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v>EBITDA</c:v>
          </c:tx>
          <c:spPr>
            <a:solidFill>
              <a:schemeClr val="accent1"/>
            </a:solidFill>
            <a:ln>
              <a:noFill/>
            </a:ln>
            <a:effectLst/>
          </c:spPr>
          <c:invertIfNegative val="0"/>
          <c:trendline>
            <c:spPr>
              <a:ln w="19050" cap="rnd">
                <a:solidFill>
                  <a:schemeClr val="accent1"/>
                </a:solidFill>
                <a:prstDash val="sysDot"/>
              </a:ln>
              <a:effectLst/>
            </c:spPr>
            <c:trendlineType val="movingAvg"/>
            <c:period val="2"/>
            <c:dispRSqr val="0"/>
            <c:dispEq val="0"/>
          </c:trendline>
          <c:cat>
            <c:strRef>
              <c:f>'LTM P&amp;L (2)'!$G$9:$R$9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[0]!EBITDA</c:f>
              <c:numCache>
                <c:formatCode>#,##0," K$"</c:formatCode>
                <c:ptCount val="10"/>
                <c:pt idx="0">
                  <c:v>618369.96999999695</c:v>
                </c:pt>
                <c:pt idx="1">
                  <c:v>1190105.9219999984</c:v>
                </c:pt>
                <c:pt idx="2">
                  <c:v>-225598.23199999891</c:v>
                </c:pt>
                <c:pt idx="3">
                  <c:v>255752.71399999969</c:v>
                </c:pt>
                <c:pt idx="4">
                  <c:v>-81353.686000000685</c:v>
                </c:pt>
                <c:pt idx="5">
                  <c:v>2199346.574000001</c:v>
                </c:pt>
                <c:pt idx="6">
                  <c:v>759393.00200000219</c:v>
                </c:pt>
                <c:pt idx="7">
                  <c:v>-515730.86199999973</c:v>
                </c:pt>
                <c:pt idx="8">
                  <c:v>796945.28200000059</c:v>
                </c:pt>
                <c:pt idx="9">
                  <c:v>338850.67200000025</c:v>
                </c:pt>
              </c:numCache>
            </c:numRef>
          </c:val>
          <c:extLst>
            <c:ext xmlns:c16="http://schemas.microsoft.com/office/drawing/2014/chart" uri="{C3380CC4-5D6E-409C-BE32-E72D297353CC}">
              <c16:uniqueId val="{00000001-15CA-4AA1-899E-14CD1BB4E8D6}"/>
            </c:ext>
          </c:extLst>
        </c:ser>
        <c:dLbls>
          <c:showLegendKey val="0"/>
          <c:showVal val="0"/>
          <c:showCatName val="0"/>
          <c:showSerName val="0"/>
          <c:showPercent val="0"/>
          <c:showBubbleSize val="0"/>
        </c:dLbls>
        <c:gapWidth val="150"/>
        <c:axId val="1424911504"/>
        <c:axId val="1424913424"/>
      </c:barChart>
      <c:catAx>
        <c:axId val="142491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13424"/>
        <c:crosses val="autoZero"/>
        <c:auto val="1"/>
        <c:lblAlgn val="ctr"/>
        <c:lblOffset val="100"/>
        <c:noMultiLvlLbl val="0"/>
      </c:catAx>
      <c:valAx>
        <c:axId val="1424913424"/>
        <c:scaling>
          <c:orientation val="minMax"/>
        </c:scaling>
        <c:delete val="0"/>
        <c:axPos val="l"/>
        <c:majorGridlines>
          <c:spPr>
            <a:ln w="9525" cap="flat" cmpd="sng" algn="ctr">
              <a:solidFill>
                <a:schemeClr val="tx1">
                  <a:lumMod val="15000"/>
                  <a:lumOff val="85000"/>
                </a:schemeClr>
              </a:solidFill>
              <a:round/>
            </a:ln>
            <a:effectLst/>
          </c:spPr>
        </c:majorGridlines>
        <c:numFmt formatCode="#,##0,&quot; 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1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fr-FR" b="1">
                <a:solidFill>
                  <a:schemeClr val="tx2"/>
                </a:solidFill>
              </a:rPr>
              <a:t>Working Capital evolution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v>DSO</c:v>
          </c:tx>
          <c:spPr>
            <a:solidFill>
              <a:schemeClr val="accent1"/>
            </a:solidFill>
            <a:ln>
              <a:noFill/>
            </a:ln>
            <a:effectLst/>
          </c:spPr>
          <c:invertIfNegative val="0"/>
          <c:cat>
            <c:strRef>
              <c:f>'LTM P&amp;L (2)'!$G$9:$R$9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[0]!DSO</c:f>
              <c:numCache>
                <c:formatCode>0</c:formatCode>
                <c:ptCount val="10"/>
                <c:pt idx="0">
                  <c:v>34.364999195748901</c:v>
                </c:pt>
                <c:pt idx="1">
                  <c:v>63.170591127120879</c:v>
                </c:pt>
                <c:pt idx="2">
                  <c:v>84.180384607685866</c:v>
                </c:pt>
                <c:pt idx="3">
                  <c:v>64.038102274834188</c:v>
                </c:pt>
                <c:pt idx="4">
                  <c:v>70.192604730726558</c:v>
                </c:pt>
                <c:pt idx="5">
                  <c:v>78.58607721637901</c:v>
                </c:pt>
                <c:pt idx="6">
                  <c:v>75.379835043954799</c:v>
                </c:pt>
                <c:pt idx="7">
                  <c:v>78.146001683947034</c:v>
                </c:pt>
                <c:pt idx="8">
                  <c:v>80.270290522238199</c:v>
                </c:pt>
                <c:pt idx="9">
                  <c:v>68.614582982194293</c:v>
                </c:pt>
              </c:numCache>
            </c:numRef>
          </c:val>
          <c:extLst>
            <c:ext xmlns:c16="http://schemas.microsoft.com/office/drawing/2014/chart" uri="{C3380CC4-5D6E-409C-BE32-E72D297353CC}">
              <c16:uniqueId val="{00000001-CD46-4945-AF19-873A8AD24250}"/>
            </c:ext>
          </c:extLst>
        </c:ser>
        <c:ser>
          <c:idx val="1"/>
          <c:order val="1"/>
          <c:tx>
            <c:v>DIO</c:v>
          </c:tx>
          <c:spPr>
            <a:solidFill>
              <a:schemeClr val="tx2">
                <a:lumMod val="50000"/>
                <a:lumOff val="50000"/>
              </a:schemeClr>
            </a:solidFill>
            <a:ln>
              <a:noFill/>
            </a:ln>
            <a:effectLst/>
          </c:spPr>
          <c:invertIfNegative val="0"/>
          <c:val>
            <c:numRef>
              <c:f>[0]!DIO</c:f>
              <c:numCache>
                <c:formatCode>0</c:formatCode>
                <c:ptCount val="10"/>
                <c:pt idx="0">
                  <c:v>3.4574436467379317</c:v>
                </c:pt>
                <c:pt idx="1">
                  <c:v>2.9574454265189423</c:v>
                </c:pt>
                <c:pt idx="2">
                  <c:v>8.6400221933191972</c:v>
                </c:pt>
                <c:pt idx="3">
                  <c:v>9.749733152862559</c:v>
                </c:pt>
                <c:pt idx="4">
                  <c:v>10.769308056263759</c:v>
                </c:pt>
                <c:pt idx="5">
                  <c:v>15.473041292314146</c:v>
                </c:pt>
                <c:pt idx="6">
                  <c:v>16.957495586848911</c:v>
                </c:pt>
                <c:pt idx="7">
                  <c:v>17.508267053999926</c:v>
                </c:pt>
                <c:pt idx="8">
                  <c:v>19.663390809157995</c:v>
                </c:pt>
                <c:pt idx="9">
                  <c:v>22.538998297104317</c:v>
                </c:pt>
              </c:numCache>
            </c:numRef>
          </c:val>
          <c:extLst>
            <c:ext xmlns:c16="http://schemas.microsoft.com/office/drawing/2014/chart" uri="{C3380CC4-5D6E-409C-BE32-E72D297353CC}">
              <c16:uniqueId val="{00000003-CD46-4945-AF19-873A8AD24250}"/>
            </c:ext>
          </c:extLst>
        </c:ser>
        <c:ser>
          <c:idx val="2"/>
          <c:order val="2"/>
          <c:tx>
            <c:v>DPO</c:v>
          </c:tx>
          <c:spPr>
            <a:solidFill>
              <a:schemeClr val="accent1">
                <a:lumMod val="20000"/>
                <a:lumOff val="80000"/>
              </a:schemeClr>
            </a:solidFill>
            <a:ln>
              <a:noFill/>
            </a:ln>
            <a:effectLst/>
          </c:spPr>
          <c:invertIfNegative val="0"/>
          <c:val>
            <c:numRef>
              <c:f>[0]!DPO</c:f>
              <c:numCache>
                <c:formatCode>0</c:formatCode>
                <c:ptCount val="10"/>
                <c:pt idx="0">
                  <c:v>62.010788954430794</c:v>
                </c:pt>
                <c:pt idx="1">
                  <c:v>90.816359424412539</c:v>
                </c:pt>
                <c:pt idx="2">
                  <c:v>102.29294237022663</c:v>
                </c:pt>
                <c:pt idx="3">
                  <c:v>110.98101948036374</c:v>
                </c:pt>
                <c:pt idx="4">
                  <c:v>95.26260261524007</c:v>
                </c:pt>
                <c:pt idx="5">
                  <c:v>89.222662054240445</c:v>
                </c:pt>
                <c:pt idx="6">
                  <c:v>109.34704827743337</c:v>
                </c:pt>
                <c:pt idx="7">
                  <c:v>121.91492339146811</c:v>
                </c:pt>
                <c:pt idx="8">
                  <c:v>79.692931179505024</c:v>
                </c:pt>
                <c:pt idx="9">
                  <c:v>108.68206382480858</c:v>
                </c:pt>
              </c:numCache>
            </c:numRef>
          </c:val>
          <c:extLst>
            <c:ext xmlns:c16="http://schemas.microsoft.com/office/drawing/2014/chart" uri="{C3380CC4-5D6E-409C-BE32-E72D297353CC}">
              <c16:uniqueId val="{00000004-CD46-4945-AF19-873A8AD24250}"/>
            </c:ext>
          </c:extLst>
        </c:ser>
        <c:dLbls>
          <c:showLegendKey val="0"/>
          <c:showVal val="0"/>
          <c:showCatName val="0"/>
          <c:showSerName val="0"/>
          <c:showPercent val="0"/>
          <c:showBubbleSize val="0"/>
        </c:dLbls>
        <c:gapWidth val="150"/>
        <c:axId val="1424911504"/>
        <c:axId val="1424913424"/>
      </c:barChart>
      <c:lineChart>
        <c:grouping val="standard"/>
        <c:varyColors val="0"/>
        <c:ser>
          <c:idx val="3"/>
          <c:order val="3"/>
          <c:tx>
            <c:v>Working capital</c:v>
          </c:tx>
          <c:spPr>
            <a:ln w="28575" cap="rnd">
              <a:solidFill>
                <a:schemeClr val="accent4"/>
              </a:solidFill>
              <a:round/>
            </a:ln>
            <a:effectLst/>
          </c:spPr>
          <c:marker>
            <c:symbol val="none"/>
          </c:marker>
          <c:val>
            <c:numRef>
              <c:f>[0]!Working_capital</c:f>
              <c:numCache>
                <c:formatCode>0</c:formatCode>
                <c:ptCount val="10"/>
                <c:pt idx="0">
                  <c:v>-24.188346111943964</c:v>
                </c:pt>
                <c:pt idx="1">
                  <c:v>-24.688322870772723</c:v>
                </c:pt>
                <c:pt idx="2">
                  <c:v>-9.4725355692215629</c:v>
                </c:pt>
                <c:pt idx="3">
                  <c:v>-37.193184052666993</c:v>
                </c:pt>
                <c:pt idx="4">
                  <c:v>-14.300689828249759</c:v>
                </c:pt>
                <c:pt idx="5">
                  <c:v>4.8364564544527155</c:v>
                </c:pt>
                <c:pt idx="6">
                  <c:v>-17.009717646629667</c:v>
                </c:pt>
                <c:pt idx="7">
                  <c:v>-26.260654653521144</c:v>
                </c:pt>
                <c:pt idx="8">
                  <c:v>20.240750151891177</c:v>
                </c:pt>
                <c:pt idx="9">
                  <c:v>-17.528482545509974</c:v>
                </c:pt>
              </c:numCache>
            </c:numRef>
          </c:val>
          <c:smooth val="0"/>
          <c:extLst>
            <c:ext xmlns:c16="http://schemas.microsoft.com/office/drawing/2014/chart" uri="{C3380CC4-5D6E-409C-BE32-E72D297353CC}">
              <c16:uniqueId val="{00000005-CD46-4945-AF19-873A8AD24250}"/>
            </c:ext>
          </c:extLst>
        </c:ser>
        <c:dLbls>
          <c:showLegendKey val="0"/>
          <c:showVal val="0"/>
          <c:showCatName val="0"/>
          <c:showSerName val="0"/>
          <c:showPercent val="0"/>
          <c:showBubbleSize val="0"/>
        </c:dLbls>
        <c:marker val="1"/>
        <c:smooth val="0"/>
        <c:axId val="1424911504"/>
        <c:axId val="1424913424"/>
      </c:lineChart>
      <c:catAx>
        <c:axId val="142491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13424"/>
        <c:crosses val="autoZero"/>
        <c:auto val="1"/>
        <c:lblAlgn val="ctr"/>
        <c:lblOffset val="100"/>
        <c:noMultiLvlLbl val="0"/>
      </c:catAx>
      <c:valAx>
        <c:axId val="1424913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11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fr-FR" b="1" baseline="0">
                <a:solidFill>
                  <a:schemeClr val="tx2"/>
                </a:solidFill>
              </a:rPr>
              <a:t>Cash position evolution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lineChart>
        <c:grouping val="standard"/>
        <c:varyColors val="0"/>
        <c:ser>
          <c:idx val="0"/>
          <c:order val="0"/>
          <c:tx>
            <c:v>Cash position</c:v>
          </c:tx>
          <c:spPr>
            <a:ln w="28575" cap="rnd">
              <a:solidFill>
                <a:schemeClr val="accent1"/>
              </a:solidFill>
              <a:round/>
            </a:ln>
            <a:effectLst/>
          </c:spPr>
          <c:marker>
            <c:symbol val="none"/>
          </c:marker>
          <c:cat>
            <c:strRef>
              <c:f>'LTM P&amp;L (2)'!$G$9:$R$9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[0]!Cash_position</c:f>
              <c:numCache>
                <c:formatCode>#,##0," K$"</c:formatCode>
                <c:ptCount val="10"/>
                <c:pt idx="0">
                  <c:v>3607883.9999999963</c:v>
                </c:pt>
                <c:pt idx="1">
                  <c:v>3607031.9020000016</c:v>
                </c:pt>
                <c:pt idx="2">
                  <c:v>-1389710.0019999994</c:v>
                </c:pt>
                <c:pt idx="3">
                  <c:v>17013837.723999999</c:v>
                </c:pt>
                <c:pt idx="4">
                  <c:v>2714219.5839999989</c:v>
                </c:pt>
                <c:pt idx="5">
                  <c:v>543301.97400000039</c:v>
                </c:pt>
                <c:pt idx="6">
                  <c:v>9636821.762000002</c:v>
                </c:pt>
                <c:pt idx="7">
                  <c:v>8005403.8779999986</c:v>
                </c:pt>
                <c:pt idx="8">
                  <c:v>1879546.7019999987</c:v>
                </c:pt>
                <c:pt idx="9">
                  <c:v>13359562.732000001</c:v>
                </c:pt>
              </c:numCache>
            </c:numRef>
          </c:val>
          <c:smooth val="0"/>
          <c:extLst>
            <c:ext xmlns:c16="http://schemas.microsoft.com/office/drawing/2014/chart" uri="{C3380CC4-5D6E-409C-BE32-E72D297353CC}">
              <c16:uniqueId val="{00000001-CF6F-4F7F-A806-0D0AC605F30C}"/>
            </c:ext>
          </c:extLst>
        </c:ser>
        <c:dLbls>
          <c:showLegendKey val="0"/>
          <c:showVal val="0"/>
          <c:showCatName val="0"/>
          <c:showSerName val="0"/>
          <c:showPercent val="0"/>
          <c:showBubbleSize val="0"/>
        </c:dLbls>
        <c:smooth val="0"/>
        <c:axId val="1424911504"/>
        <c:axId val="1424913424"/>
      </c:lineChart>
      <c:catAx>
        <c:axId val="142491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13424"/>
        <c:crosses val="autoZero"/>
        <c:auto val="1"/>
        <c:lblAlgn val="ctr"/>
        <c:lblOffset val="100"/>
        <c:noMultiLvlLbl val="0"/>
      </c:catAx>
      <c:valAx>
        <c:axId val="1424913424"/>
        <c:scaling>
          <c:orientation val="minMax"/>
        </c:scaling>
        <c:delete val="0"/>
        <c:axPos val="l"/>
        <c:majorGridlines>
          <c:spPr>
            <a:ln w="9525" cap="flat" cmpd="sng" algn="ctr">
              <a:solidFill>
                <a:schemeClr val="tx1">
                  <a:lumMod val="15000"/>
                  <a:lumOff val="85000"/>
                </a:schemeClr>
              </a:solidFill>
              <a:round/>
            </a:ln>
            <a:effectLst/>
          </c:spPr>
        </c:majorGridlines>
        <c:numFmt formatCode="#,##0,&quot; 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91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266737844210154"/>
          <c:y val="0.1660910343953485"/>
          <c:w val="0.67421371057431378"/>
          <c:h val="0.80037442502785738"/>
        </c:manualLayout>
      </c:layout>
      <c:doughnutChart>
        <c:varyColors val="1"/>
        <c:ser>
          <c:idx val="0"/>
          <c:order val="0"/>
          <c:dPt>
            <c:idx val="0"/>
            <c:bubble3D val="0"/>
            <c:explosion val="10"/>
            <c:spPr>
              <a:solidFill>
                <a:schemeClr val="accent1"/>
              </a:solidFill>
              <a:ln w="19050">
                <a:solidFill>
                  <a:schemeClr val="lt1"/>
                </a:solidFill>
              </a:ln>
              <a:effectLst/>
            </c:spPr>
            <c:extLst>
              <c:ext xmlns:c16="http://schemas.microsoft.com/office/drawing/2014/chart" uri="{C3380CC4-5D6E-409C-BE32-E72D297353CC}">
                <c16:uniqueId val="{00000001-7675-4BF3-9A53-3191AE57DB28}"/>
              </c:ext>
            </c:extLst>
          </c:dPt>
          <c:dPt>
            <c:idx val="1"/>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3-7675-4BF3-9A53-3191AE57DB28}"/>
              </c:ext>
            </c:extLst>
          </c:dPt>
          <c:dLbls>
            <c:dLbl>
              <c:idx val="0"/>
              <c:layout>
                <c:manualLayout>
                  <c:x val="1.6904479189469471E-4"/>
                  <c:y val="0.3652758006650102"/>
                </c:manualLayout>
              </c:layout>
              <c:showLegendKey val="0"/>
              <c:showVal val="0"/>
              <c:showCatName val="0"/>
              <c:showSerName val="0"/>
              <c:showPercent val="1"/>
              <c:showBubbleSize val="0"/>
              <c:extLst>
                <c:ext xmlns:c15="http://schemas.microsoft.com/office/drawing/2012/chart" uri="{CE6537A1-D6FC-4f65-9D91-7224C49458BB}">
                  <c15:layout>
                    <c:manualLayout>
                      <c:w val="0.31618621824814264"/>
                      <c:h val="0.18098617954445836"/>
                    </c:manualLayout>
                  </c15:layout>
                </c:ext>
                <c:ext xmlns:c16="http://schemas.microsoft.com/office/drawing/2014/chart" uri="{C3380CC4-5D6E-409C-BE32-E72D297353CC}">
                  <c16:uniqueId val="{00000001-7675-4BF3-9A53-3191AE57DB28}"/>
                </c:ext>
              </c:extLst>
            </c:dLbl>
            <c:dLbl>
              <c:idx val="1"/>
              <c:delete val="1"/>
              <c:extLst>
                <c:ext xmlns:c15="http://schemas.microsoft.com/office/drawing/2012/chart" uri="{CE6537A1-D6FC-4f65-9D91-7224C49458BB}">
                  <c15:layout>
                    <c:manualLayout>
                      <c:w val="0"/>
                      <c:h val="0"/>
                    </c:manualLayout>
                  </c15:layout>
                </c:ext>
                <c:ext xmlns:c16="http://schemas.microsoft.com/office/drawing/2014/chart" uri="{C3380CC4-5D6E-409C-BE32-E72D297353CC}">
                  <c16:uniqueId val="{00000003-7675-4BF3-9A53-3191AE57DB28}"/>
                </c:ext>
              </c:extLst>
            </c:dLbl>
            <c:spPr>
              <a:noFill/>
              <a:ln>
                <a:noFill/>
              </a:ln>
              <a:effectLst/>
            </c:spPr>
            <c:txPr>
              <a:bodyPr rot="0" spcFirstLastPara="1" vertOverflow="ellipsis" vert="horz" wrap="square" lIns="38100" tIns="19050" rIns="38100" bIns="19050" anchor="ctr" anchorCtr="0">
                <a:spAutoFit/>
              </a:bodyPr>
              <a:lstStyle/>
              <a:p>
                <a:pPr algn="ctr" rtl="0">
                  <a:defRPr lang="en-US" sz="2400" b="0" i="0" u="none" strike="noStrike" kern="1200" baseline="0">
                    <a:solidFill>
                      <a:sysClr val="windowText" lastClr="000000">
                        <a:lumMod val="75000"/>
                        <a:lumOff val="25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'Fomulas ExecSum'!$A$5:$A$6</c:f>
              <c:strCache>
                <c:ptCount val="2"/>
                <c:pt idx="0">
                  <c:v>EBITDA/Revenue October</c:v>
                </c:pt>
                <c:pt idx="1">
                  <c:v>This value for the chart</c:v>
                </c:pt>
              </c:strCache>
            </c:strRef>
          </c:cat>
          <c:val>
            <c:numRef>
              <c:f>'Fomulas ExecSum'!$B$5:$B$6</c:f>
              <c:numCache>
                <c:formatCode>0.00%</c:formatCode>
                <c:ptCount val="2"/>
                <c:pt idx="0">
                  <c:v>2.9846293610316276E-2</c:v>
                </c:pt>
                <c:pt idx="1">
                  <c:v>0.97015370638968368</c:v>
                </c:pt>
              </c:numCache>
            </c:numRef>
          </c:val>
          <c:extLst>
            <c:ext xmlns:c16="http://schemas.microsoft.com/office/drawing/2014/chart" uri="{C3380CC4-5D6E-409C-BE32-E72D297353CC}">
              <c16:uniqueId val="{00000004-7675-4BF3-9A53-3191AE57DB28}"/>
            </c:ext>
          </c:extLst>
        </c:ser>
        <c:dLbls>
          <c:showLegendKey val="0"/>
          <c:showVal val="0"/>
          <c:showCatName val="0"/>
          <c:showSerName val="0"/>
          <c:showPercent val="1"/>
          <c:showBubbleSize val="0"/>
          <c:showLeaderLines val="1"/>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266737844210149"/>
          <c:y val="0.19962557497214256"/>
          <c:w val="0.67421371057431378"/>
          <c:h val="0.80037442502785738"/>
        </c:manualLayout>
      </c:layout>
      <c:doughnutChart>
        <c:varyColors val="1"/>
        <c:ser>
          <c:idx val="0"/>
          <c:order val="0"/>
          <c:dPt>
            <c:idx val="0"/>
            <c:bubble3D val="0"/>
            <c:explosion val="7"/>
            <c:spPr>
              <a:solidFill>
                <a:schemeClr val="accent1"/>
              </a:solidFill>
              <a:ln w="19050">
                <a:solidFill>
                  <a:schemeClr val="lt1"/>
                </a:solidFill>
              </a:ln>
              <a:effectLst/>
            </c:spPr>
            <c:extLst>
              <c:ext xmlns:c16="http://schemas.microsoft.com/office/drawing/2014/chart" uri="{C3380CC4-5D6E-409C-BE32-E72D297353CC}">
                <c16:uniqueId val="{00000001-6927-4FFE-91E5-CC6069F99FFE}"/>
              </c:ext>
            </c:extLst>
          </c:dPt>
          <c:dPt>
            <c:idx val="1"/>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3-6927-4FFE-91E5-CC6069F99FFE}"/>
              </c:ext>
            </c:extLst>
          </c:dPt>
          <c:dLbls>
            <c:dLbl>
              <c:idx val="0"/>
              <c:layout>
                <c:manualLayout>
                  <c:x val="-4.8788029100529103E-2"/>
                  <c:y val="0.32685063946945619"/>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1824858757062147"/>
                      <c:h val="0.39295774647887322"/>
                    </c:manualLayout>
                  </c15:layout>
                </c:ext>
                <c:ext xmlns:c16="http://schemas.microsoft.com/office/drawing/2014/chart" uri="{C3380CC4-5D6E-409C-BE32-E72D297353CC}">
                  <c16:uniqueId val="{00000001-6927-4FFE-91E5-CC6069F99F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'Fomulas ExecSum'!$A$8:$A$9</c:f>
              <c:strCache>
                <c:ptCount val="2"/>
                <c:pt idx="0">
                  <c:v>Budget EBITDA/Revenue October</c:v>
                </c:pt>
                <c:pt idx="1">
                  <c:v>This value for the chart</c:v>
                </c:pt>
              </c:strCache>
            </c:strRef>
          </c:cat>
          <c:val>
            <c:numRef>
              <c:f>'Fomulas ExecSum'!$B$8:$B$9</c:f>
              <c:numCache>
                <c:formatCode>0.00%</c:formatCode>
                <c:ptCount val="2"/>
                <c:pt idx="0" formatCode="0%">
                  <c:v>1.5227753034031505E-2</c:v>
                </c:pt>
                <c:pt idx="1">
                  <c:v>0.98477224696596855</c:v>
                </c:pt>
              </c:numCache>
            </c:numRef>
          </c:val>
          <c:extLst>
            <c:ext xmlns:c16="http://schemas.microsoft.com/office/drawing/2014/chart" uri="{C3380CC4-5D6E-409C-BE32-E72D297353CC}">
              <c16:uniqueId val="{00000004-6927-4FFE-91E5-CC6069F99FFE}"/>
            </c:ext>
          </c:extLst>
        </c:ser>
        <c:dLbls>
          <c:showLegendKey val="0"/>
          <c:showVal val="0"/>
          <c:showCatName val="0"/>
          <c:showSerName val="0"/>
          <c:showPercent val="1"/>
          <c:showBubbleSize val="0"/>
          <c:showLeaderLines val="1"/>
        </c:dLbls>
        <c:firstSliceAng val="0"/>
        <c:holeSize val="73"/>
      </c:doughnutChart>
      <c:spPr>
        <a:noFill/>
        <a:ln>
          <a:noFill/>
        </a:ln>
        <a:effectLst/>
      </c:spPr>
    </c:plotArea>
    <c:legend>
      <c:legendPos val="t"/>
      <c:legendEntry>
        <c:idx val="0"/>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Entry>
      <c:legendEntry>
        <c:idx val="1"/>
        <c:delete val="1"/>
      </c:legendEntry>
      <c:layout>
        <c:manualLayout>
          <c:xMode val="edge"/>
          <c:yMode val="edge"/>
          <c:x val="3.2207351988077995E-4"/>
          <c:y val="2.6675012234798918E-2"/>
          <c:w val="0.99967792648011922"/>
          <c:h val="0.22526732773088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831709595622578"/>
          <c:y val="0.19962557497214256"/>
          <c:w val="0.67421371057431378"/>
          <c:h val="0.80037442502785738"/>
        </c:manualLayout>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03-4D0F-ABCB-8E6248CA94E0}"/>
              </c:ext>
            </c:extLst>
          </c:dPt>
          <c:dPt>
            <c:idx val="1"/>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3-2E03-4D0F-ABCB-8E6248CA94E0}"/>
              </c:ext>
            </c:extLst>
          </c:dPt>
          <c:dLbls>
            <c:dLbl>
              <c:idx val="0"/>
              <c:layout>
                <c:manualLayout>
                  <c:x val="-0.12886625944264782"/>
                  <c:y val="0.29019869612143628"/>
                </c:manualLayout>
              </c:layout>
              <c:spPr>
                <a:noFill/>
                <a:ln>
                  <a:noFill/>
                </a:ln>
                <a:effectLst/>
              </c:spPr>
              <c:txPr>
                <a:bodyPr rot="0" spcFirstLastPara="1" vertOverflow="overflow" horzOverflow="overflow" vert="horz" wrap="none" lIns="0" tIns="0" rIns="0" bIns="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7923706570576978"/>
                      <c:h val="0.39295774647887322"/>
                    </c:manualLayout>
                  </c15:layout>
                </c:ext>
                <c:ext xmlns:c16="http://schemas.microsoft.com/office/drawing/2014/chart" uri="{C3380CC4-5D6E-409C-BE32-E72D297353CC}">
                  <c16:uniqueId val="{00000001-2E03-4D0F-ABCB-8E6248CA94E0}"/>
                </c:ext>
              </c:extLst>
            </c:dLbl>
            <c:dLbl>
              <c:idx val="1"/>
              <c:delete val="1"/>
              <c:extLst>
                <c:ext xmlns:c15="http://schemas.microsoft.com/office/drawing/2012/chart" uri="{CE6537A1-D6FC-4f65-9D91-7224C49458BB}"/>
                <c:ext xmlns:c16="http://schemas.microsoft.com/office/drawing/2014/chart" uri="{C3380CC4-5D6E-409C-BE32-E72D297353CC}">
                  <c16:uniqueId val="{00000003-2E03-4D0F-ABCB-8E6248CA94E0}"/>
                </c:ext>
              </c:extLst>
            </c:dLbl>
            <c:spPr>
              <a:noFill/>
              <a:ln>
                <a:noFill/>
              </a:ln>
              <a:effectLst/>
            </c:spPr>
            <c:txPr>
              <a:bodyPr rot="0" spcFirstLastPara="1" vertOverflow="overflow" horzOverflow="overflow" vert="horz" wrap="square" lIns="0" tIns="0" rIns="0" bIns="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'Fomulas ExecSum'!$A$11:$A$12</c:f>
              <c:strCache>
                <c:ptCount val="2"/>
                <c:pt idx="0">
                  <c:v>Previous period EBITDA/Revenue</c:v>
                </c:pt>
                <c:pt idx="1">
                  <c:v>This value for the chart</c:v>
                </c:pt>
              </c:strCache>
            </c:strRef>
          </c:cat>
          <c:val>
            <c:numRef>
              <c:f>'Fomulas ExecSum'!$B$11:$B$12</c:f>
              <c:numCache>
                <c:formatCode>0.00%</c:formatCode>
                <c:ptCount val="2"/>
                <c:pt idx="0" formatCode="0%">
                  <c:v>6.937447797996904E-2</c:v>
                </c:pt>
                <c:pt idx="1">
                  <c:v>0.93062552202003102</c:v>
                </c:pt>
              </c:numCache>
            </c:numRef>
          </c:val>
          <c:extLst>
            <c:ext xmlns:c16="http://schemas.microsoft.com/office/drawing/2014/chart" uri="{C3380CC4-5D6E-409C-BE32-E72D297353CC}">
              <c16:uniqueId val="{00000004-2E03-4D0F-ABCB-8E6248CA94E0}"/>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831709595622578"/>
          <c:y val="0.19962557497214256"/>
          <c:w val="0.67421371057431378"/>
          <c:h val="0.80037442502785738"/>
        </c:manualLayout>
      </c:layout>
      <c:doughnutChart>
        <c:varyColors val="1"/>
        <c:ser>
          <c:idx val="0"/>
          <c:order val="0"/>
          <c:dPt>
            <c:idx val="0"/>
            <c:bubble3D val="0"/>
            <c:explosion val="8"/>
            <c:spPr>
              <a:solidFill>
                <a:schemeClr val="accent1"/>
              </a:solidFill>
              <a:ln w="19050">
                <a:solidFill>
                  <a:schemeClr val="lt1"/>
                </a:solidFill>
              </a:ln>
              <a:effectLst/>
            </c:spPr>
            <c:extLst>
              <c:ext xmlns:c16="http://schemas.microsoft.com/office/drawing/2014/chart" uri="{C3380CC4-5D6E-409C-BE32-E72D297353CC}">
                <c16:uniqueId val="{00000001-E596-437C-9D70-60762695E454}"/>
              </c:ext>
            </c:extLst>
          </c:dPt>
          <c:dPt>
            <c:idx val="1"/>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3-E596-437C-9D70-60762695E454}"/>
              </c:ext>
            </c:extLst>
          </c:dPt>
          <c:dLbls>
            <c:dLbl>
              <c:idx val="0"/>
              <c:layout>
                <c:manualLayout>
                  <c:x val="-2.4018745753227547E-2"/>
                  <c:y val="0.34721164662109544"/>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746952316239655"/>
                      <c:h val="0.33472931268206857"/>
                    </c:manualLayout>
                  </c15:layout>
                </c:ext>
                <c:ext xmlns:c16="http://schemas.microsoft.com/office/drawing/2014/chart" uri="{C3380CC4-5D6E-409C-BE32-E72D297353CC}">
                  <c16:uniqueId val="{00000001-E596-437C-9D70-60762695E454}"/>
                </c:ext>
              </c:extLst>
            </c:dLbl>
            <c:dLbl>
              <c:idx val="1"/>
              <c:delete val="1"/>
              <c:extLst>
                <c:ext xmlns:c15="http://schemas.microsoft.com/office/drawing/2012/chart" uri="{CE6537A1-D6FC-4f65-9D91-7224C49458BB}"/>
                <c:ext xmlns:c16="http://schemas.microsoft.com/office/drawing/2014/chart" uri="{C3380CC4-5D6E-409C-BE32-E72D297353CC}">
                  <c16:uniqueId val="{00000003-E596-437C-9D70-60762695E454}"/>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'Fomulas ExecSum'!$A$14:$A$15</c:f>
              <c:strCache>
                <c:ptCount val="2"/>
                <c:pt idx="0">
                  <c:v>October YTD EBITDA/Revenue</c:v>
                </c:pt>
                <c:pt idx="1">
                  <c:v>This value for the chart</c:v>
                </c:pt>
              </c:strCache>
            </c:strRef>
          </c:cat>
          <c:val>
            <c:numRef>
              <c:f>'Fomulas ExecSum'!$B$14:$B$15</c:f>
              <c:numCache>
                <c:formatCode>0.00%</c:formatCode>
                <c:ptCount val="2"/>
                <c:pt idx="0" formatCode="0%">
                  <c:v>4.4017072721546154E-2</c:v>
                </c:pt>
                <c:pt idx="1">
                  <c:v>0.9559829272784538</c:v>
                </c:pt>
              </c:numCache>
            </c:numRef>
          </c:val>
          <c:extLst>
            <c:ext xmlns:c16="http://schemas.microsoft.com/office/drawing/2014/chart" uri="{C3380CC4-5D6E-409C-BE32-E72D297353CC}">
              <c16:uniqueId val="{00000004-E596-437C-9D70-60762695E454}"/>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1"/>
        <c:delete val="1"/>
      </c:legendEntry>
      <c:layout>
        <c:manualLayout>
          <c:xMode val="edge"/>
          <c:yMode val="edge"/>
          <c:x val="0"/>
          <c:y val="4.4458353724664862E-2"/>
          <c:w val="0.9762371781079765"/>
          <c:h val="0.2252673277308806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8266737844210154"/>
          <c:y val="0.1660910343953485"/>
          <c:w val="0.67421371057431378"/>
          <c:h val="0.80037442502785738"/>
        </c:manualLayout>
      </c:layout>
      <c:doughnutChart>
        <c:varyColors val="1"/>
        <c:ser>
          <c:idx val="0"/>
          <c:order val="0"/>
          <c:dPt>
            <c:idx val="0"/>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1-3CFB-47E0-8ED8-A6DF5A2934B6}"/>
              </c:ext>
            </c:extLst>
          </c:dPt>
          <c:dPt>
            <c:idx val="1"/>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3-3CFB-47E0-8ED8-A6DF5A2934B6}"/>
              </c:ext>
            </c:extLst>
          </c:dPt>
          <c:dLbls>
            <c:dLbl>
              <c:idx val="0"/>
              <c:layout>
                <c:manualLayout>
                  <c:x val="-1.965192298282906E-2"/>
                  <c:y val="0.3394310117506158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CFB-47E0-8ED8-A6DF5A2934B6}"/>
                </c:ext>
              </c:extLst>
            </c:dLbl>
            <c:dLbl>
              <c:idx val="1"/>
              <c:delete val="1"/>
              <c:extLst>
                <c:ext xmlns:c15="http://schemas.microsoft.com/office/drawing/2012/chart" uri="{CE6537A1-D6FC-4f65-9D91-7224C49458BB}"/>
                <c:ext xmlns:c16="http://schemas.microsoft.com/office/drawing/2014/chart" uri="{C3380CC4-5D6E-409C-BE32-E72D297353CC}">
                  <c16:uniqueId val="{00000003-3CFB-47E0-8ED8-A6DF5A2934B6}"/>
                </c:ext>
              </c:extLst>
            </c:dLbl>
            <c:spPr>
              <a:noFill/>
              <a:ln>
                <a:noFill/>
              </a:ln>
              <a:effectLst/>
            </c:spPr>
            <c:txPr>
              <a:bodyPr rot="0" spcFirstLastPara="1" vertOverflow="ellipsis" vert="horz" wrap="square" lIns="38100" tIns="19050" rIns="38100" bIns="19050" anchor="ctr" anchorCtr="0">
                <a:spAutoFit/>
              </a:bodyPr>
              <a:lstStyle/>
              <a:p>
                <a:pPr algn="ctr" rtl="0">
                  <a:defRPr lang="en-US" sz="2400" b="0" i="0" u="none" strike="noStrike" kern="1200" baseline="0">
                    <a:solidFill>
                      <a:sysClr val="windowText" lastClr="000000">
                        <a:lumMod val="75000"/>
                        <a:lumOff val="25000"/>
                      </a:sys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'Fomulas ExecSum'!$A$36:$A$37</c:f>
              <c:strCache>
                <c:ptCount val="2"/>
                <c:pt idx="0">
                  <c:v>Net Profitability</c:v>
                </c:pt>
                <c:pt idx="1">
                  <c:v>This value for the chart</c:v>
                </c:pt>
              </c:strCache>
            </c:strRef>
          </c:cat>
          <c:val>
            <c:numRef>
              <c:f>'Fomulas ExecSum'!$B$36:$B$37</c:f>
              <c:numCache>
                <c:formatCode>0.00%</c:formatCode>
                <c:ptCount val="2"/>
                <c:pt idx="0">
                  <c:v>1.4303997725044308E-2</c:v>
                </c:pt>
                <c:pt idx="1">
                  <c:v>0.98569600227495568</c:v>
                </c:pt>
              </c:numCache>
            </c:numRef>
          </c:val>
          <c:extLst>
            <c:ext xmlns:c16="http://schemas.microsoft.com/office/drawing/2014/chart" uri="{C3380CC4-5D6E-409C-BE32-E72D297353CC}">
              <c16:uniqueId val="{00000004-3CFB-47E0-8ED8-A6DF5A2934B6}"/>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266737844210149"/>
          <c:y val="0.19962557497214256"/>
          <c:w val="0.67421371057431378"/>
          <c:h val="0.80037442502785738"/>
        </c:manualLayout>
      </c:layout>
      <c:doughnutChart>
        <c:varyColors val="1"/>
        <c:ser>
          <c:idx val="0"/>
          <c:order val="0"/>
          <c:dPt>
            <c:idx val="0"/>
            <c:bubble3D val="0"/>
            <c:spPr>
              <a:solidFill>
                <a:schemeClr val="accent5"/>
              </a:solidFill>
              <a:ln w="19050">
                <a:solidFill>
                  <a:schemeClr val="lt1"/>
                </a:solidFill>
              </a:ln>
              <a:effectLst/>
            </c:spPr>
            <c:extLst>
              <c:ext xmlns:c16="http://schemas.microsoft.com/office/drawing/2014/chart" uri="{C3380CC4-5D6E-409C-BE32-E72D297353CC}">
                <c16:uniqueId val="{00000001-AFEC-4BF5-89F8-4F08992A3700}"/>
              </c:ext>
            </c:extLst>
          </c:dPt>
          <c:dPt>
            <c:idx val="1"/>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3-AFEC-4BF5-89F8-4F08992A3700}"/>
              </c:ext>
            </c:extLst>
          </c:dPt>
          <c:dLbls>
            <c:dLbl>
              <c:idx val="0"/>
              <c:layout>
                <c:manualLayout>
                  <c:x val="-4.5992307241633397E-2"/>
                  <c:y val="0.32454620826924557"/>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837676818809105"/>
                      <c:h val="0.25772542660765957"/>
                    </c:manualLayout>
                  </c15:layout>
                </c:ext>
                <c:ext xmlns:c16="http://schemas.microsoft.com/office/drawing/2014/chart" uri="{C3380CC4-5D6E-409C-BE32-E72D297353CC}">
                  <c16:uniqueId val="{00000001-AFEC-4BF5-89F8-4F08992A3700}"/>
                </c:ext>
              </c:extLst>
            </c:dLbl>
            <c:dLbl>
              <c:idx val="1"/>
              <c:delete val="1"/>
              <c:extLst>
                <c:ext xmlns:c15="http://schemas.microsoft.com/office/drawing/2012/chart" uri="{CE6537A1-D6FC-4f65-9D91-7224C49458BB}"/>
                <c:ext xmlns:c16="http://schemas.microsoft.com/office/drawing/2014/chart" uri="{C3380CC4-5D6E-409C-BE32-E72D297353CC}">
                  <c16:uniqueId val="{00000003-AFEC-4BF5-89F8-4F08992A3700}"/>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'Fomulas ExecSum'!$A$39:$A$40</c:f>
              <c:strCache>
                <c:ptCount val="2"/>
                <c:pt idx="0">
                  <c:v>Budget Profitability</c:v>
                </c:pt>
                <c:pt idx="1">
                  <c:v>This value for the chart</c:v>
                </c:pt>
              </c:strCache>
            </c:strRef>
          </c:cat>
          <c:val>
            <c:numRef>
              <c:f>'Fomulas ExecSum'!$B$39:$B$40</c:f>
              <c:numCache>
                <c:formatCode>0.00%</c:formatCode>
                <c:ptCount val="2"/>
                <c:pt idx="0" formatCode="0%">
                  <c:v>1.3976826811133341E-2</c:v>
                </c:pt>
                <c:pt idx="1">
                  <c:v>0.98602317318886668</c:v>
                </c:pt>
              </c:numCache>
            </c:numRef>
          </c:val>
          <c:extLst>
            <c:ext xmlns:c16="http://schemas.microsoft.com/office/drawing/2014/chart" uri="{C3380CC4-5D6E-409C-BE32-E72D297353CC}">
              <c16:uniqueId val="{00000004-AFEC-4BF5-89F8-4F08992A3700}"/>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0"/>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Entry>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831709595622578"/>
          <c:y val="0.19962557497214256"/>
          <c:w val="0.67421371057431378"/>
          <c:h val="0.80037442502785738"/>
        </c:manualLayout>
      </c:layout>
      <c:doughnutChart>
        <c:varyColors val="1"/>
        <c:ser>
          <c:idx val="0"/>
          <c:order val="0"/>
          <c:spPr>
            <a:solidFill>
              <a:schemeClr val="accent5">
                <a:lumMod val="20000"/>
                <a:lumOff val="80000"/>
              </a:schemeClr>
            </a:solidFill>
          </c:spPr>
          <c:explosion val="2"/>
          <c:dPt>
            <c:idx val="0"/>
            <c:bubble3D val="0"/>
            <c:spPr>
              <a:solidFill>
                <a:schemeClr val="accent5"/>
              </a:solidFill>
              <a:ln w="19050">
                <a:solidFill>
                  <a:schemeClr val="lt1"/>
                </a:solidFill>
              </a:ln>
              <a:effectLst/>
            </c:spPr>
            <c:extLst>
              <c:ext xmlns:c16="http://schemas.microsoft.com/office/drawing/2014/chart" uri="{C3380CC4-5D6E-409C-BE32-E72D297353CC}">
                <c16:uniqueId val="{00000001-43EF-4F49-9898-0E950C24DC0A}"/>
              </c:ext>
            </c:extLst>
          </c:dPt>
          <c:dPt>
            <c:idx val="1"/>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3-43EF-4F49-9898-0E950C24DC0A}"/>
              </c:ext>
            </c:extLst>
          </c:dPt>
          <c:dLbls>
            <c:dLbl>
              <c:idx val="0"/>
              <c:layout>
                <c:manualLayout>
                  <c:x val="-0.14216791489120803"/>
                  <c:y val="0.2654307322311363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3EF-4F49-9898-0E950C24DC0A}"/>
                </c:ext>
              </c:extLst>
            </c:dLbl>
            <c:dLbl>
              <c:idx val="1"/>
              <c:delete val="1"/>
              <c:extLst>
                <c:ext xmlns:c15="http://schemas.microsoft.com/office/drawing/2012/chart" uri="{CE6537A1-D6FC-4f65-9D91-7224C49458BB}"/>
                <c:ext xmlns:c16="http://schemas.microsoft.com/office/drawing/2014/chart" uri="{C3380CC4-5D6E-409C-BE32-E72D297353CC}">
                  <c16:uniqueId val="{00000003-43EF-4F49-9898-0E950C24DC0A}"/>
                </c:ext>
              </c:extLst>
            </c:dLbl>
            <c:spPr>
              <a:noFill/>
              <a:ln>
                <a:noFill/>
              </a:ln>
              <a:effectLst/>
            </c:spPr>
            <c:txPr>
              <a:bodyPr rot="0" spcFirstLastPara="1" vertOverflow="clip" horzOverflow="clip" vert="horz" wrap="none" lIns="0" tIns="0" rIns="0" bIns="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'Fomulas ExecSum'!$A$42:$A$43</c:f>
              <c:strCache>
                <c:ptCount val="2"/>
                <c:pt idx="0">
                  <c:v>Previous period Profitability</c:v>
                </c:pt>
                <c:pt idx="1">
                  <c:v>This value for the chart</c:v>
                </c:pt>
              </c:strCache>
            </c:strRef>
          </c:cat>
          <c:val>
            <c:numRef>
              <c:f>'Fomulas ExecSum'!$B$42:$B$43</c:f>
              <c:numCache>
                <c:formatCode>0.00%</c:formatCode>
                <c:ptCount val="2"/>
                <c:pt idx="0" formatCode="0%">
                  <c:v>7.0217649034357663E-2</c:v>
                </c:pt>
                <c:pt idx="1">
                  <c:v>0.92978235096564232</c:v>
                </c:pt>
              </c:numCache>
            </c:numRef>
          </c:val>
          <c:extLst>
            <c:ext xmlns:c16="http://schemas.microsoft.com/office/drawing/2014/chart" uri="{C3380CC4-5D6E-409C-BE32-E72D297353CC}">
              <c16:uniqueId val="{00000004-43EF-4F49-9898-0E950C24DC0A}"/>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83170740558677"/>
          <c:y val="0.24647300436608136"/>
          <c:w val="0.67421371057431378"/>
          <c:h val="0.80037442502785738"/>
        </c:manualLayout>
      </c:layout>
      <c:doughnutChart>
        <c:varyColors val="1"/>
        <c:ser>
          <c:idx val="0"/>
          <c:order val="0"/>
          <c:dPt>
            <c:idx val="0"/>
            <c:bubble3D val="0"/>
            <c:spPr>
              <a:solidFill>
                <a:schemeClr val="accent5"/>
              </a:solidFill>
              <a:ln w="19050">
                <a:solidFill>
                  <a:schemeClr val="lt1"/>
                </a:solidFill>
              </a:ln>
              <a:effectLst/>
            </c:spPr>
            <c:extLst>
              <c:ext xmlns:c16="http://schemas.microsoft.com/office/drawing/2014/chart" uri="{C3380CC4-5D6E-409C-BE32-E72D297353CC}">
                <c16:uniqueId val="{00000001-E27B-4ADE-A674-92FE178637CC}"/>
              </c:ext>
            </c:extLst>
          </c:dPt>
          <c:dPt>
            <c:idx val="1"/>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3-E27B-4ADE-A674-92FE178637CC}"/>
              </c:ext>
            </c:extLst>
          </c:dPt>
          <c:dLbls>
            <c:dLbl>
              <c:idx val="0"/>
              <c:layout>
                <c:manualLayout>
                  <c:x val="-3.3462774777811205E-2"/>
                  <c:y val="0.31120840227487306"/>
                </c:manualLayout>
              </c:layout>
              <c:showLegendKey val="0"/>
              <c:showVal val="0"/>
              <c:showCatName val="0"/>
              <c:showSerName val="0"/>
              <c:showPercent val="1"/>
              <c:showBubbleSize val="0"/>
              <c:extLst>
                <c:ext xmlns:c15="http://schemas.microsoft.com/office/drawing/2012/chart" uri="{CE6537A1-D6FC-4f65-9D91-7224C49458BB}">
                  <c15:layout>
                    <c:manualLayout>
                      <c:w val="0.3366983878493725"/>
                      <c:h val="0.37407258823933015"/>
                    </c:manualLayout>
                  </c15:layout>
                </c:ext>
                <c:ext xmlns:c16="http://schemas.microsoft.com/office/drawing/2014/chart" uri="{C3380CC4-5D6E-409C-BE32-E72D297353CC}">
                  <c16:uniqueId val="{00000001-E27B-4ADE-A674-92FE178637CC}"/>
                </c:ext>
              </c:extLst>
            </c:dLbl>
            <c:dLbl>
              <c:idx val="1"/>
              <c:delete val="1"/>
              <c:extLst>
                <c:ext xmlns:c15="http://schemas.microsoft.com/office/drawing/2012/chart" uri="{CE6537A1-D6FC-4f65-9D91-7224C49458BB}"/>
                <c:ext xmlns:c16="http://schemas.microsoft.com/office/drawing/2014/chart" uri="{C3380CC4-5D6E-409C-BE32-E72D297353CC}">
                  <c16:uniqueId val="{00000003-E27B-4ADE-A674-92FE178637C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'Fomulas ExecSum'!$A$45:$A$46</c:f>
              <c:strCache>
                <c:ptCount val="2"/>
                <c:pt idx="0">
                  <c:v>YTD Profitability</c:v>
                </c:pt>
                <c:pt idx="1">
                  <c:v>This value for the chart</c:v>
                </c:pt>
              </c:strCache>
            </c:strRef>
          </c:cat>
          <c:val>
            <c:numRef>
              <c:f>'Fomulas ExecSum'!$B$45:$B$46</c:f>
              <c:numCache>
                <c:formatCode>0.00%</c:formatCode>
                <c:ptCount val="2"/>
                <c:pt idx="0" formatCode="0%">
                  <c:v>4.4169835041935765E-2</c:v>
                </c:pt>
                <c:pt idx="1">
                  <c:v>0.95583016495806428</c:v>
                </c:pt>
              </c:numCache>
            </c:numRef>
          </c:val>
          <c:extLst>
            <c:ext xmlns:c16="http://schemas.microsoft.com/office/drawing/2014/chart" uri="{C3380CC4-5D6E-409C-BE32-E72D297353CC}">
              <c16:uniqueId val="{00000004-E27B-4ADE-A674-92FE178637CC}"/>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b="1"/>
              <a:t>Revenue per 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8246640977853593"/>
          <c:y val="0.22621357610086348"/>
          <c:w val="0.46979266145948623"/>
          <c:h val="0.5791008549673865"/>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B9-4F52-B9C8-B7EF3E590CA4}"/>
              </c:ext>
            </c:extLst>
          </c:dPt>
          <c:dPt>
            <c:idx val="1"/>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3-C7B9-4F52-B9C8-B7EF3E590CA4}"/>
              </c:ext>
            </c:extLst>
          </c:dPt>
          <c:dPt>
            <c:idx val="2"/>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5-C7B9-4F52-B9C8-B7EF3E590CA4}"/>
              </c:ext>
            </c:extLst>
          </c:dPt>
          <c:dLbls>
            <c:dLbl>
              <c:idx val="0"/>
              <c:layout>
                <c:manualLayout>
                  <c:x val="0.14789324800993509"/>
                  <c:y val="0.13021285449533582"/>
                </c:manualLayout>
              </c:layout>
              <c:showLegendKey val="0"/>
              <c:showVal val="0"/>
              <c:showCatName val="1"/>
              <c:showSerName val="0"/>
              <c:showPercent val="1"/>
              <c:showBubbleSize val="0"/>
              <c:extLst>
                <c:ext xmlns:c15="http://schemas.microsoft.com/office/drawing/2012/chart" uri="{CE6537A1-D6FC-4f65-9D91-7224C49458BB}">
                  <c15:layout>
                    <c:manualLayout>
                      <c:w val="0.24781793842034805"/>
                      <c:h val="0.23732699254177386"/>
                    </c:manualLayout>
                  </c15:layout>
                </c:ext>
                <c:ext xmlns:c16="http://schemas.microsoft.com/office/drawing/2014/chart" uri="{C3380CC4-5D6E-409C-BE32-E72D297353CC}">
                  <c16:uniqueId val="{00000001-C7B9-4F52-B9C8-B7EF3E590CA4}"/>
                </c:ext>
              </c:extLst>
            </c:dLbl>
            <c:dLbl>
              <c:idx val="1"/>
              <c:layout>
                <c:manualLayout>
                  <c:x val="9.7772651657979368E-2"/>
                  <c:y val="0.21746976288429271"/>
                </c:manualLayout>
              </c:layout>
              <c:showLegendKey val="0"/>
              <c:showVal val="0"/>
              <c:showCatName val="1"/>
              <c:showSerName val="0"/>
              <c:showPercent val="1"/>
              <c:showBubbleSize val="0"/>
              <c:extLst>
                <c:ext xmlns:c15="http://schemas.microsoft.com/office/drawing/2012/chart" uri="{CE6537A1-D6FC-4f65-9D91-7224C49458BB}">
                  <c15:layout>
                    <c:manualLayout>
                      <c:w val="0.24781793842034805"/>
                      <c:h val="0.23732699254177386"/>
                    </c:manualLayout>
                  </c15:layout>
                </c:ext>
                <c:ext xmlns:c16="http://schemas.microsoft.com/office/drawing/2014/chart" uri="{C3380CC4-5D6E-409C-BE32-E72D297353CC}">
                  <c16:uniqueId val="{00000003-C7B9-4F52-B9C8-B7EF3E590CA4}"/>
                </c:ext>
              </c:extLst>
            </c:dLbl>
            <c:dLbl>
              <c:idx val="2"/>
              <c:layout>
                <c:manualLayout>
                  <c:x val="-9.0083463453497103E-2"/>
                  <c:y val="-9.2786900190298185E-2"/>
                </c:manualLayout>
              </c:layout>
              <c:showLegendKey val="0"/>
              <c:showVal val="0"/>
              <c:showCatName val="1"/>
              <c:showSerName val="0"/>
              <c:showPercent val="1"/>
              <c:showBubbleSize val="0"/>
              <c:extLst>
                <c:ext xmlns:c15="http://schemas.microsoft.com/office/drawing/2012/chart" uri="{CE6537A1-D6FC-4f65-9D91-7224C49458BB}">
                  <c15:layout>
                    <c:manualLayout>
                      <c:w val="0.24670487106017189"/>
                      <c:h val="0.17021131561008862"/>
                    </c:manualLayout>
                  </c15:layout>
                </c:ext>
                <c:ext xmlns:c16="http://schemas.microsoft.com/office/drawing/2014/chart" uri="{C3380CC4-5D6E-409C-BE32-E72D297353CC}">
                  <c16:uniqueId val="{00000005-C7B9-4F52-B9C8-B7EF3E590C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'Fomulas ExecSum'!$A$68:$A$70</c:f>
              <c:strCache>
                <c:ptCount val="3"/>
                <c:pt idx="0">
                  <c:v>Product A</c:v>
                </c:pt>
                <c:pt idx="1">
                  <c:v>Product B</c:v>
                </c:pt>
                <c:pt idx="2">
                  <c:v>Product C</c:v>
                </c:pt>
              </c:strCache>
            </c:strRef>
          </c:cat>
          <c:val>
            <c:numRef>
              <c:f>'Fomulas ExecSum'!$B$68:$B$70</c:f>
              <c:numCache>
                <c:formatCode>#,##0," K$"</c:formatCode>
                <c:ptCount val="3"/>
                <c:pt idx="0">
                  <c:v>5688352</c:v>
                </c:pt>
                <c:pt idx="1">
                  <c:v>2825915</c:v>
                </c:pt>
                <c:pt idx="2">
                  <c:v>2838924</c:v>
                </c:pt>
              </c:numCache>
            </c:numRef>
          </c:val>
          <c:extLst>
            <c:ext xmlns:c16="http://schemas.microsoft.com/office/drawing/2014/chart" uri="{C3380CC4-5D6E-409C-BE32-E72D297353CC}">
              <c16:uniqueId val="{00000006-C7B9-4F52-B9C8-B7EF3E590CA4}"/>
            </c:ext>
          </c:extLst>
        </c:ser>
        <c:dLbls>
          <c:showLegendKey val="0"/>
          <c:showVal val="0"/>
          <c:showCatName val="1"/>
          <c:showSerName val="0"/>
          <c:showPercent val="1"/>
          <c:showBubbleSize val="0"/>
          <c:showLeaderLines val="0"/>
        </c:dLbls>
        <c:firstSliceAng val="0"/>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sz="1400" b="1"/>
              <a:t>TOP</a:t>
            </a:r>
            <a:r>
              <a:rPr lang="fr-FR" sz="1400" b="1" baseline="0"/>
              <a:t> 5 profitable clients per months</a:t>
            </a:r>
          </a:p>
        </c:rich>
      </c:tx>
      <c:layout>
        <c:manualLayout>
          <c:xMode val="edge"/>
          <c:yMode val="edge"/>
          <c:x val="0.32020122484689412"/>
          <c:y val="5.09259259259259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16382255905155"/>
          <c:y val="0.21574422673518553"/>
          <c:w val="0.74556904070895336"/>
          <c:h val="0.72027123581302044"/>
        </c:manualLayout>
      </c:layout>
      <c:barChart>
        <c:barDir val="bar"/>
        <c:grouping val="clustered"/>
        <c:varyColors val="0"/>
        <c:ser>
          <c:idx val="0"/>
          <c:order val="0"/>
          <c:spPr>
            <a:solidFill>
              <a:schemeClr val="accent1"/>
            </a:solidFill>
            <a:ln w="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'Fomulas ExecSum'!$A$75:$A$79</c:f>
              <c:strCache>
                <c:ptCount val="5"/>
                <c:pt idx="0">
                  <c:v>Client 1</c:v>
                </c:pt>
                <c:pt idx="1">
                  <c:v>Client 10</c:v>
                </c:pt>
                <c:pt idx="2">
                  <c:v>Client 5</c:v>
                </c:pt>
                <c:pt idx="3">
                  <c:v>Client 8</c:v>
                </c:pt>
                <c:pt idx="4">
                  <c:v>Client 7</c:v>
                </c:pt>
              </c:strCache>
            </c:strRef>
          </c:cat>
          <c:val>
            <c:numRef>
              <c:f>'Fomulas ExecSum'!$B$75:$B$79</c:f>
              <c:numCache>
                <c:formatCode>#,##0," K$"</c:formatCode>
                <c:ptCount val="5"/>
                <c:pt idx="0">
                  <c:v>2665260</c:v>
                </c:pt>
                <c:pt idx="1">
                  <c:v>1589335</c:v>
                </c:pt>
                <c:pt idx="2">
                  <c:v>1398420</c:v>
                </c:pt>
                <c:pt idx="3">
                  <c:v>1391220</c:v>
                </c:pt>
                <c:pt idx="4">
                  <c:v>1149234</c:v>
                </c:pt>
              </c:numCache>
            </c:numRef>
          </c:val>
          <c:extLst>
            <c:ext xmlns:c16="http://schemas.microsoft.com/office/drawing/2014/chart" uri="{C3380CC4-5D6E-409C-BE32-E72D297353CC}">
              <c16:uniqueId val="{00000000-2AAE-4293-AF6A-0F494056ED67}"/>
            </c:ext>
          </c:extLst>
        </c:ser>
        <c:dLbls>
          <c:showLegendKey val="0"/>
          <c:showVal val="0"/>
          <c:showCatName val="0"/>
          <c:showSerName val="0"/>
          <c:showPercent val="0"/>
          <c:showBubbleSize val="0"/>
        </c:dLbls>
        <c:gapWidth val="70"/>
        <c:axId val="686126992"/>
        <c:axId val="686129872"/>
      </c:barChart>
      <c:catAx>
        <c:axId val="68612699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129872"/>
        <c:crosses val="autoZero"/>
        <c:auto val="1"/>
        <c:lblAlgn val="ctr"/>
        <c:lblOffset val="100"/>
        <c:noMultiLvlLbl val="0"/>
      </c:catAx>
      <c:valAx>
        <c:axId val="686129872"/>
        <c:scaling>
          <c:orientation val="minMax"/>
        </c:scaling>
        <c:delete val="1"/>
        <c:axPos val="t"/>
        <c:numFmt formatCode="#,##0,&quot; K$&quot;" sourceLinked="1"/>
        <c:majorTickMark val="out"/>
        <c:minorTickMark val="none"/>
        <c:tickLblPos val="nextTo"/>
        <c:crossAx val="6861269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b="1"/>
              <a:t>Margin contribution per client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A8-4079-8B4C-338CF4544E5C}"/>
              </c:ext>
            </c:extLst>
          </c:dPt>
          <c:dPt>
            <c:idx val="1"/>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3-9DA8-4079-8B4C-338CF4544E5C}"/>
              </c:ext>
            </c:extLst>
          </c:dPt>
          <c:dPt>
            <c:idx val="2"/>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5-9DA8-4079-8B4C-338CF4544E5C}"/>
              </c:ext>
            </c:extLst>
          </c:dPt>
          <c:dPt>
            <c:idx val="3"/>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7-9DA8-4079-8B4C-338CF4544E5C}"/>
              </c:ext>
            </c:extLst>
          </c:dPt>
          <c:dPt>
            <c:idx val="4"/>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9-9DA8-4079-8B4C-338CF4544E5C}"/>
              </c:ext>
            </c:extLst>
          </c:dPt>
          <c:dPt>
            <c:idx val="5"/>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B-9DA8-4079-8B4C-338CF4544E5C}"/>
              </c:ext>
            </c:extLst>
          </c:dPt>
          <c:dLbls>
            <c:dLbl>
              <c:idx val="0"/>
              <c:layout>
                <c:manualLayout>
                  <c:x val="5.9099091671132732E-2"/>
                  <c:y val="-6.99424591156874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DA8-4079-8B4C-338CF4544E5C}"/>
                </c:ext>
              </c:extLst>
            </c:dLbl>
            <c:dLbl>
              <c:idx val="1"/>
              <c:layout>
                <c:manualLayout>
                  <c:x val="8.2931387503263662E-2"/>
                  <c:y val="1.351857460125164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DA8-4079-8B4C-338CF4544E5C}"/>
                </c:ext>
              </c:extLst>
            </c:dLbl>
            <c:dLbl>
              <c:idx val="2"/>
              <c:layout>
                <c:manualLayout>
                  <c:x val="-2.3446583066005638E-2"/>
                  <c:y val="9.14800449708797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DA8-4079-8B4C-338CF4544E5C}"/>
                </c:ext>
              </c:extLst>
            </c:dLbl>
            <c:dLbl>
              <c:idx val="3"/>
              <c:layout>
                <c:manualLayout>
                  <c:x val="-5.3361056272805213E-2"/>
                  <c:y val="9.139530312700573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DA8-4079-8B4C-338CF4544E5C}"/>
                </c:ext>
              </c:extLst>
            </c:dLbl>
            <c:dLbl>
              <c:idx val="4"/>
              <c:layout>
                <c:manualLayout>
                  <c:x val="-9.1476096467666135E-2"/>
                  <c:y val="2.28488257817513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9DA8-4079-8B4C-338CF4544E5C}"/>
                </c:ext>
              </c:extLst>
            </c:dLbl>
            <c:dLbl>
              <c:idx val="5"/>
              <c:layout>
                <c:manualLayout>
                  <c:x val="-0.12196812862355486"/>
                  <c:y val="-3.427323867262715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9DA8-4079-8B4C-338CF4544E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'Fomulas ExecSum'!$A$84:$A$89</c:f>
              <c:strCache>
                <c:ptCount val="6"/>
                <c:pt idx="0">
                  <c:v>Client 1</c:v>
                </c:pt>
                <c:pt idx="1">
                  <c:v>Client 5</c:v>
                </c:pt>
                <c:pt idx="2">
                  <c:v>Client 8</c:v>
                </c:pt>
                <c:pt idx="3">
                  <c:v>Client 4</c:v>
                </c:pt>
                <c:pt idx="4">
                  <c:v>Client 10</c:v>
                </c:pt>
                <c:pt idx="5">
                  <c:v>Other clients</c:v>
                </c:pt>
              </c:strCache>
            </c:strRef>
          </c:cat>
          <c:val>
            <c:numRef>
              <c:f>'Fomulas ExecSum'!$B$84:$B$89</c:f>
              <c:numCache>
                <c:formatCode>0%</c:formatCode>
                <c:ptCount val="6"/>
                <c:pt idx="0">
                  <c:v>0.20093413281557176</c:v>
                </c:pt>
                <c:pt idx="1">
                  <c:v>0.17584660212738967</c:v>
                </c:pt>
                <c:pt idx="2">
                  <c:v>0.13989972605891665</c:v>
                </c:pt>
                <c:pt idx="3">
                  <c:v>0.13021304382118826</c:v>
                </c:pt>
                <c:pt idx="4">
                  <c:v>0.12101457307624276</c:v>
                </c:pt>
                <c:pt idx="5" formatCode="0.00%">
                  <c:v>0.23209192210069096</c:v>
                </c:pt>
              </c:numCache>
            </c:numRef>
          </c:val>
          <c:extLst>
            <c:ext xmlns:c16="http://schemas.microsoft.com/office/drawing/2014/chart" uri="{C3380CC4-5D6E-409C-BE32-E72D297353CC}">
              <c16:uniqueId val="{0000000C-9DA8-4079-8B4C-338CF4544E5C}"/>
            </c:ext>
          </c:extLst>
        </c:ser>
        <c:dLbls>
          <c:showLegendKey val="0"/>
          <c:showVal val="0"/>
          <c:showCatName val="1"/>
          <c:showSerName val="0"/>
          <c:showPercent val="1"/>
          <c:showBubbleSize val="0"/>
          <c:showLeaderLines val="0"/>
        </c:dLbls>
        <c:firstSliceAng val="0"/>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sz="1400" b="1"/>
              <a:t>TOP</a:t>
            </a:r>
            <a:r>
              <a:rPr lang="fr-FR" sz="1400" b="1" baseline="0"/>
              <a:t> 5 Clients per months</a:t>
            </a:r>
          </a:p>
        </c:rich>
      </c:tx>
      <c:layout>
        <c:manualLayout>
          <c:xMode val="edge"/>
          <c:yMode val="edge"/>
          <c:x val="0.32020122484689412"/>
          <c:y val="5.09259259259259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02805803299918"/>
          <c:y val="0.21570698034589647"/>
          <c:w val="0.73429512996146473"/>
          <c:h val="0.72031952858360304"/>
        </c:manualLayout>
      </c:layout>
      <c:barChart>
        <c:barDir val="bar"/>
        <c:grouping val="clustered"/>
        <c:varyColors val="0"/>
        <c:ser>
          <c:idx val="0"/>
          <c:order val="0"/>
          <c:spPr>
            <a:solidFill>
              <a:schemeClr val="accent1"/>
            </a:solidFill>
            <a:ln w="0">
              <a:solidFill>
                <a:schemeClr val="tx1"/>
              </a:solidFill>
            </a:ln>
            <a:effectLst/>
          </c:spPr>
          <c:invertIfNegative val="0"/>
          <c:dLbls>
            <c:numFmt formatCode="#\ ##0\ &quot; 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'Fomulas ExecSum'!$A$75:$A$79</c:f>
              <c:strCache>
                <c:ptCount val="5"/>
                <c:pt idx="0">
                  <c:v>Client 1</c:v>
                </c:pt>
                <c:pt idx="1">
                  <c:v>Client 10</c:v>
                </c:pt>
                <c:pt idx="2">
                  <c:v>Client 5</c:v>
                </c:pt>
                <c:pt idx="3">
                  <c:v>Client 8</c:v>
                </c:pt>
                <c:pt idx="4">
                  <c:v>Client 7</c:v>
                </c:pt>
              </c:strCache>
            </c:strRef>
          </c:cat>
          <c:val>
            <c:numRef>
              <c:f>'Fomulas ExecSum'!$B$75:$B$79</c:f>
              <c:numCache>
                <c:formatCode>#,##0," K$"</c:formatCode>
                <c:ptCount val="5"/>
                <c:pt idx="0">
                  <c:v>2665260</c:v>
                </c:pt>
                <c:pt idx="1">
                  <c:v>1589335</c:v>
                </c:pt>
                <c:pt idx="2">
                  <c:v>1398420</c:v>
                </c:pt>
                <c:pt idx="3">
                  <c:v>1391220</c:v>
                </c:pt>
                <c:pt idx="4">
                  <c:v>1149234</c:v>
                </c:pt>
              </c:numCache>
            </c:numRef>
          </c:val>
          <c:extLst>
            <c:ext xmlns:c16="http://schemas.microsoft.com/office/drawing/2014/chart" uri="{C3380CC4-5D6E-409C-BE32-E72D297353CC}">
              <c16:uniqueId val="{00000000-085A-4E33-8D12-E532D82467B9}"/>
            </c:ext>
          </c:extLst>
        </c:ser>
        <c:dLbls>
          <c:dLblPos val="outEnd"/>
          <c:showLegendKey val="0"/>
          <c:showVal val="1"/>
          <c:showCatName val="0"/>
          <c:showSerName val="0"/>
          <c:showPercent val="0"/>
          <c:showBubbleSize val="0"/>
        </c:dLbls>
        <c:gapWidth val="70"/>
        <c:axId val="686126992"/>
        <c:axId val="686129872"/>
      </c:barChart>
      <c:catAx>
        <c:axId val="68612699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129872"/>
        <c:crosses val="autoZero"/>
        <c:auto val="1"/>
        <c:lblAlgn val="ctr"/>
        <c:lblOffset val="100"/>
        <c:noMultiLvlLbl val="0"/>
      </c:catAx>
      <c:valAx>
        <c:axId val="686129872"/>
        <c:scaling>
          <c:orientation val="minMax"/>
        </c:scaling>
        <c:delete val="1"/>
        <c:axPos val="t"/>
        <c:numFmt formatCode="#,##0,&quot; K$&quot;" sourceLinked="1"/>
        <c:majorTickMark val="out"/>
        <c:minorTickMark val="none"/>
        <c:tickLblPos val="nextTo"/>
        <c:crossAx val="6861269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266737844210154"/>
          <c:y val="0.1660910343953485"/>
          <c:w val="0.67421371057431378"/>
          <c:h val="0.80037442502785738"/>
        </c:manualLayout>
      </c:layout>
      <c:doughnutChart>
        <c:varyColors val="1"/>
        <c:ser>
          <c:idx val="0"/>
          <c:order val="0"/>
          <c:dPt>
            <c:idx val="0"/>
            <c:bubble3D val="0"/>
            <c:spPr>
              <a:solidFill>
                <a:schemeClr val="accent3"/>
              </a:solidFill>
              <a:ln w="19050">
                <a:solidFill>
                  <a:schemeClr val="lt1"/>
                </a:solidFill>
              </a:ln>
              <a:effectLst/>
            </c:spPr>
            <c:extLst>
              <c:ext xmlns:c16="http://schemas.microsoft.com/office/drawing/2014/chart" uri="{C3380CC4-5D6E-409C-BE32-E72D297353CC}">
                <c16:uniqueId val="{00000001-973E-45E5-B911-63714375FA2A}"/>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973E-45E5-B911-63714375FA2A}"/>
              </c:ext>
            </c:extLst>
          </c:dPt>
          <c:dLbls>
            <c:dLbl>
              <c:idx val="0"/>
              <c:layout>
                <c:manualLayout>
                  <c:x val="-0.10370642362365361"/>
                  <c:y val="0.2176989383998780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3E-45E5-B911-63714375FA2A}"/>
                </c:ext>
              </c:extLst>
            </c:dLbl>
            <c:dLbl>
              <c:idx val="1"/>
              <c:delete val="1"/>
              <c:extLst>
                <c:ext xmlns:c15="http://schemas.microsoft.com/office/drawing/2012/chart" uri="{CE6537A1-D6FC-4f65-9D91-7224C49458BB}"/>
                <c:ext xmlns:c16="http://schemas.microsoft.com/office/drawing/2014/chart" uri="{C3380CC4-5D6E-409C-BE32-E72D297353CC}">
                  <c16:uniqueId val="{00000003-973E-45E5-B911-63714375FA2A}"/>
                </c:ext>
              </c:extLst>
            </c:dLbl>
            <c:spPr>
              <a:noFill/>
              <a:ln>
                <a:noFill/>
              </a:ln>
              <a:effectLst/>
            </c:spPr>
            <c:txPr>
              <a:bodyPr rot="0" spcFirstLastPara="1" vertOverflow="ellipsis" vert="horz" wrap="square" lIns="38100" tIns="19050" rIns="38100" bIns="19050" anchor="ctr" anchorCtr="0">
                <a:spAutoFit/>
              </a:bodyPr>
              <a:lstStyle/>
              <a:p>
                <a:pPr algn="ctr" rtl="0">
                  <a:defRPr lang="en-US" sz="2400" b="0" i="0" u="none" strike="noStrike" kern="1200" baseline="0">
                    <a:solidFill>
                      <a:sysClr val="windowText" lastClr="000000">
                        <a:lumMod val="75000"/>
                        <a:lumOff val="25000"/>
                      </a:sys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'Fomulas ExecSum'!$A$21:$A$22</c:f>
              <c:strCache>
                <c:ptCount val="2"/>
                <c:pt idx="0">
                  <c:v>Margin</c:v>
                </c:pt>
                <c:pt idx="1">
                  <c:v>This value for the chart</c:v>
                </c:pt>
              </c:strCache>
            </c:strRef>
          </c:cat>
          <c:val>
            <c:numRef>
              <c:f>'Fomulas ExecSum'!$B$21:$B$22</c:f>
              <c:numCache>
                <c:formatCode>0.00%</c:formatCode>
                <c:ptCount val="2"/>
                <c:pt idx="0">
                  <c:v>0.26388525234887711</c:v>
                </c:pt>
                <c:pt idx="1">
                  <c:v>0.73611474765112295</c:v>
                </c:pt>
              </c:numCache>
            </c:numRef>
          </c:val>
          <c:extLst>
            <c:ext xmlns:c16="http://schemas.microsoft.com/office/drawing/2014/chart" uri="{C3380CC4-5D6E-409C-BE32-E72D297353CC}">
              <c16:uniqueId val="{00000004-973E-45E5-B911-63714375FA2A}"/>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266737844210149"/>
          <c:y val="0.19962557497214256"/>
          <c:w val="0.67421371057431378"/>
          <c:h val="0.80037442502785738"/>
        </c:manualLayout>
      </c:layout>
      <c:doughnutChart>
        <c:varyColors val="1"/>
        <c:ser>
          <c:idx val="0"/>
          <c:order val="0"/>
          <c:dPt>
            <c:idx val="0"/>
            <c:bubble3D val="0"/>
            <c:spPr>
              <a:solidFill>
                <a:schemeClr val="accent3"/>
              </a:solidFill>
              <a:ln w="19050">
                <a:solidFill>
                  <a:schemeClr val="lt1"/>
                </a:solidFill>
              </a:ln>
              <a:effectLst/>
            </c:spPr>
            <c:extLst>
              <c:ext xmlns:c16="http://schemas.microsoft.com/office/drawing/2014/chart" uri="{C3380CC4-5D6E-409C-BE32-E72D297353CC}">
                <c16:uniqueId val="{00000001-AB0B-49A2-8B92-30799C0A3BB6}"/>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AB0B-49A2-8B92-30799C0A3BB6}"/>
              </c:ext>
            </c:extLst>
          </c:dPt>
          <c:dLbls>
            <c:dLbl>
              <c:idx val="0"/>
              <c:layout>
                <c:manualLayout>
                  <c:x val="-0.17601845850861481"/>
                  <c:y val="0.22229176862332431"/>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7064458263099748"/>
                      <c:h val="0.37407258823933015"/>
                    </c:manualLayout>
                  </c15:layout>
                </c:ext>
                <c:ext xmlns:c16="http://schemas.microsoft.com/office/drawing/2014/chart" uri="{C3380CC4-5D6E-409C-BE32-E72D297353CC}">
                  <c16:uniqueId val="{00000001-AB0B-49A2-8B92-30799C0A3BB6}"/>
                </c:ext>
              </c:extLst>
            </c:dLbl>
            <c:dLbl>
              <c:idx val="1"/>
              <c:delete val="1"/>
              <c:extLst>
                <c:ext xmlns:c15="http://schemas.microsoft.com/office/drawing/2012/chart" uri="{CE6537A1-D6FC-4f65-9D91-7224C49458BB}"/>
                <c:ext xmlns:c16="http://schemas.microsoft.com/office/drawing/2014/chart" uri="{C3380CC4-5D6E-409C-BE32-E72D297353CC}">
                  <c16:uniqueId val="{00000003-AB0B-49A2-8B92-30799C0A3B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'Fomulas ExecSum'!$A$24:$A$25</c:f>
              <c:strCache>
                <c:ptCount val="2"/>
                <c:pt idx="0">
                  <c:v>Budget Margin</c:v>
                </c:pt>
                <c:pt idx="1">
                  <c:v>This value for the chart</c:v>
                </c:pt>
              </c:strCache>
            </c:strRef>
          </c:cat>
          <c:val>
            <c:numRef>
              <c:f>'Fomulas ExecSum'!$B$24:$B$25</c:f>
              <c:numCache>
                <c:formatCode>0.00%</c:formatCode>
                <c:ptCount val="2"/>
                <c:pt idx="0" formatCode="0%">
                  <c:v>0.25194296859980292</c:v>
                </c:pt>
                <c:pt idx="1">
                  <c:v>0.74805703140019708</c:v>
                </c:pt>
              </c:numCache>
            </c:numRef>
          </c:val>
          <c:extLst>
            <c:ext xmlns:c16="http://schemas.microsoft.com/office/drawing/2014/chart" uri="{C3380CC4-5D6E-409C-BE32-E72D297353CC}">
              <c16:uniqueId val="{00000004-AB0B-49A2-8B92-30799C0A3BB6}"/>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0"/>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Entry>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831709595622578"/>
          <c:y val="0.19962557497214256"/>
          <c:w val="0.67421371057431378"/>
          <c:h val="0.80037442502785738"/>
        </c:manualLayout>
      </c:layout>
      <c:doughnutChart>
        <c:varyColors val="1"/>
        <c:ser>
          <c:idx val="0"/>
          <c:order val="0"/>
          <c:explosion val="2"/>
          <c:dPt>
            <c:idx val="0"/>
            <c:bubble3D val="0"/>
            <c:explosion val="0"/>
            <c:spPr>
              <a:solidFill>
                <a:schemeClr val="accent3"/>
              </a:solidFill>
              <a:ln w="19050">
                <a:solidFill>
                  <a:schemeClr val="lt1"/>
                </a:solidFill>
              </a:ln>
              <a:effectLst/>
            </c:spPr>
            <c:extLst>
              <c:ext xmlns:c16="http://schemas.microsoft.com/office/drawing/2014/chart" uri="{C3380CC4-5D6E-409C-BE32-E72D297353CC}">
                <c16:uniqueId val="{00000001-DDBB-411B-A12B-1D1864062799}"/>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DDBB-411B-A12B-1D1864062799}"/>
              </c:ext>
            </c:extLst>
          </c:dPt>
          <c:dLbls>
            <c:dLbl>
              <c:idx val="0"/>
              <c:layout>
                <c:manualLayout>
                  <c:x val="-0.25755633554119589"/>
                  <c:y val="0.12276973152378672"/>
                </c:manualLayout>
              </c:layout>
              <c:showLegendKey val="0"/>
              <c:showVal val="0"/>
              <c:showCatName val="0"/>
              <c:showSerName val="0"/>
              <c:showPercent val="1"/>
              <c:showBubbleSize val="0"/>
              <c:extLst>
                <c:ext xmlns:c15="http://schemas.microsoft.com/office/drawing/2012/chart" uri="{CE6537A1-D6FC-4f65-9D91-7224C49458BB}">
                  <c15:layout>
                    <c:manualLayout>
                      <c:w val="0.2952081004130197"/>
                      <c:h val="0.34724514146949115"/>
                    </c:manualLayout>
                  </c15:layout>
                </c:ext>
                <c:ext xmlns:c16="http://schemas.microsoft.com/office/drawing/2014/chart" uri="{C3380CC4-5D6E-409C-BE32-E72D297353CC}">
                  <c16:uniqueId val="{00000001-DDBB-411B-A12B-1D1864062799}"/>
                </c:ext>
              </c:extLst>
            </c:dLbl>
            <c:dLbl>
              <c:idx val="1"/>
              <c:delete val="1"/>
              <c:extLst>
                <c:ext xmlns:c15="http://schemas.microsoft.com/office/drawing/2012/chart" uri="{CE6537A1-D6FC-4f65-9D91-7224C49458BB}"/>
                <c:ext xmlns:c16="http://schemas.microsoft.com/office/drawing/2014/chart" uri="{C3380CC4-5D6E-409C-BE32-E72D297353CC}">
                  <c16:uniqueId val="{00000003-DDBB-411B-A12B-1D1864062799}"/>
                </c:ext>
              </c:extLst>
            </c:dLbl>
            <c:spPr>
              <a:noFill/>
              <a:ln>
                <a:noFill/>
              </a:ln>
              <a:effectLst/>
            </c:spPr>
            <c:txPr>
              <a:bodyPr rot="0" spcFirstLastPara="1" vertOverflow="overflow" horzOverflow="overflow" vert="horz" wrap="none" lIns="0" tIns="0" rIns="0" bIns="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'Fomulas ExecSum'!$A$27:$A$28</c:f>
              <c:strCache>
                <c:ptCount val="2"/>
                <c:pt idx="0">
                  <c:v>Previous period Margin</c:v>
                </c:pt>
                <c:pt idx="1">
                  <c:v>This value for the chart</c:v>
                </c:pt>
              </c:strCache>
            </c:strRef>
          </c:cat>
          <c:val>
            <c:numRef>
              <c:f>'Fomulas ExecSum'!$B$27:$B$28</c:f>
              <c:numCache>
                <c:formatCode>0.00%</c:formatCode>
                <c:ptCount val="2"/>
                <c:pt idx="0" formatCode="0%">
                  <c:v>0.28638821785534407</c:v>
                </c:pt>
                <c:pt idx="1">
                  <c:v>0.71361178214465593</c:v>
                </c:pt>
              </c:numCache>
            </c:numRef>
          </c:val>
          <c:extLst>
            <c:ext xmlns:c16="http://schemas.microsoft.com/office/drawing/2014/chart" uri="{C3380CC4-5D6E-409C-BE32-E72D297353CC}">
              <c16:uniqueId val="{00000004-DDBB-411B-A12B-1D1864062799}"/>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831709595622578"/>
          <c:y val="0.19962557497214256"/>
          <c:w val="0.67421371057431378"/>
          <c:h val="0.80037442502785738"/>
        </c:manualLayout>
      </c:layout>
      <c:doughnutChart>
        <c:varyColors val="1"/>
        <c:ser>
          <c:idx val="0"/>
          <c:order val="0"/>
          <c:dPt>
            <c:idx val="0"/>
            <c:bubble3D val="0"/>
            <c:spPr>
              <a:solidFill>
                <a:schemeClr val="accent3"/>
              </a:solidFill>
              <a:ln w="19050">
                <a:solidFill>
                  <a:schemeClr val="lt1"/>
                </a:solidFill>
              </a:ln>
              <a:effectLst/>
            </c:spPr>
            <c:extLst>
              <c:ext xmlns:c16="http://schemas.microsoft.com/office/drawing/2014/chart" uri="{C3380CC4-5D6E-409C-BE32-E72D297353CC}">
                <c16:uniqueId val="{00000001-DA46-433B-873C-CAECB90FA95C}"/>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DA46-433B-873C-CAECB90FA95C}"/>
              </c:ext>
            </c:extLst>
          </c:dPt>
          <c:dLbls>
            <c:dLbl>
              <c:idx val="0"/>
              <c:layout>
                <c:manualLayout>
                  <c:x val="-0.19697336689585807"/>
                  <c:y val="0.21340009787839134"/>
                </c:manualLayout>
              </c:layout>
              <c:showLegendKey val="0"/>
              <c:showVal val="0"/>
              <c:showCatName val="0"/>
              <c:showSerName val="0"/>
              <c:showPercent val="1"/>
              <c:showBubbleSize val="0"/>
              <c:extLst>
                <c:ext xmlns:c15="http://schemas.microsoft.com/office/drawing/2012/chart" uri="{CE6537A1-D6FC-4f65-9D91-7224C49458BB}">
                  <c15:layout>
                    <c:manualLayout>
                      <c:w val="0.32873542584323201"/>
                      <c:h val="0.37407258823933015"/>
                    </c:manualLayout>
                  </c15:layout>
                </c:ext>
                <c:ext xmlns:c16="http://schemas.microsoft.com/office/drawing/2014/chart" uri="{C3380CC4-5D6E-409C-BE32-E72D297353CC}">
                  <c16:uniqueId val="{00000001-DA46-433B-873C-CAECB90FA95C}"/>
                </c:ext>
              </c:extLst>
            </c:dLbl>
            <c:dLbl>
              <c:idx val="1"/>
              <c:delete val="1"/>
              <c:extLst>
                <c:ext xmlns:c15="http://schemas.microsoft.com/office/drawing/2012/chart" uri="{CE6537A1-D6FC-4f65-9D91-7224C49458BB}"/>
                <c:ext xmlns:c16="http://schemas.microsoft.com/office/drawing/2014/chart" uri="{C3380CC4-5D6E-409C-BE32-E72D297353CC}">
                  <c16:uniqueId val="{00000003-DA46-433B-873C-CAECB90FA95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'Fomulas ExecSum'!$A$30:$A$31</c:f>
              <c:strCache>
                <c:ptCount val="2"/>
                <c:pt idx="0">
                  <c:v>YTD Margin</c:v>
                </c:pt>
                <c:pt idx="1">
                  <c:v>This value for the chart</c:v>
                </c:pt>
              </c:strCache>
            </c:strRef>
          </c:cat>
          <c:val>
            <c:numRef>
              <c:f>'Fomulas ExecSum'!$B$30:$B$31</c:f>
              <c:numCache>
                <c:formatCode>0.00%</c:formatCode>
                <c:ptCount val="2"/>
                <c:pt idx="0" formatCode="0%">
                  <c:v>0.25696186584272623</c:v>
                </c:pt>
                <c:pt idx="1">
                  <c:v>0.74303813415727382</c:v>
                </c:pt>
              </c:numCache>
            </c:numRef>
          </c:val>
          <c:extLst>
            <c:ext xmlns:c16="http://schemas.microsoft.com/office/drawing/2014/chart" uri="{C3380CC4-5D6E-409C-BE32-E72D297353CC}">
              <c16:uniqueId val="{00000004-DA46-433B-873C-CAECB90FA95C}"/>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8266737844210154"/>
          <c:y val="0.1660910343953485"/>
          <c:w val="0.67421371057431378"/>
          <c:h val="0.80037442502785738"/>
        </c:manualLayout>
      </c:layout>
      <c:doughnutChart>
        <c:varyColors val="1"/>
        <c:ser>
          <c:idx val="0"/>
          <c:order val="0"/>
          <c:dPt>
            <c:idx val="0"/>
            <c:bubble3D val="0"/>
            <c:spPr>
              <a:solidFill>
                <a:schemeClr val="tx2"/>
              </a:solidFill>
              <a:ln w="19050">
                <a:solidFill>
                  <a:schemeClr val="lt1"/>
                </a:solidFill>
              </a:ln>
              <a:effectLst/>
            </c:spPr>
            <c:extLst>
              <c:ext xmlns:c16="http://schemas.microsoft.com/office/drawing/2014/chart" uri="{C3380CC4-5D6E-409C-BE32-E72D297353CC}">
                <c16:uniqueId val="{00000001-D3BB-4C38-B8ED-181F4099322C}"/>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D3BB-4C38-B8ED-181F4099322C}"/>
              </c:ext>
            </c:extLst>
          </c:dPt>
          <c:dLbls>
            <c:dLbl>
              <c:idx val="0"/>
              <c:layout>
                <c:manualLayout>
                  <c:x val="-4.9302622087641329E-2"/>
                  <c:y val="0.28702109438520196"/>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8211600623494779"/>
                      <c:h val="0.23524653848306509"/>
                    </c:manualLayout>
                  </c15:layout>
                </c:ext>
                <c:ext xmlns:c16="http://schemas.microsoft.com/office/drawing/2014/chart" uri="{C3380CC4-5D6E-409C-BE32-E72D297353CC}">
                  <c16:uniqueId val="{00000001-D3BB-4C38-B8ED-181F409932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'Fomulas ExecSum'!$A$53:$A$54</c:f>
              <c:strCache>
                <c:ptCount val="2"/>
                <c:pt idx="0">
                  <c:v>ROE</c:v>
                </c:pt>
                <c:pt idx="1">
                  <c:v>This value for the chart</c:v>
                </c:pt>
              </c:strCache>
            </c:strRef>
          </c:cat>
          <c:val>
            <c:numRef>
              <c:f>'Fomulas ExecSum'!$B$53:$B$54</c:f>
              <c:numCache>
                <c:formatCode>0.00%</c:formatCode>
                <c:ptCount val="2"/>
                <c:pt idx="0">
                  <c:v>0.10639304382152671</c:v>
                </c:pt>
                <c:pt idx="1">
                  <c:v>0.8936069561784733</c:v>
                </c:pt>
              </c:numCache>
            </c:numRef>
          </c:val>
          <c:extLst>
            <c:ext xmlns:c16="http://schemas.microsoft.com/office/drawing/2014/chart" uri="{C3380CC4-5D6E-409C-BE32-E72D297353CC}">
              <c16:uniqueId val="{00000004-D3BB-4C38-B8ED-181F4099322C}"/>
            </c:ext>
          </c:extLst>
        </c:ser>
        <c:dLbls>
          <c:showLegendKey val="0"/>
          <c:showVal val="0"/>
          <c:showCatName val="0"/>
          <c:showSerName val="0"/>
          <c:showPercent val="1"/>
          <c:showBubbleSize val="0"/>
          <c:showLeaderLines val="1"/>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8266737844210154"/>
          <c:y val="0.1660910343953485"/>
          <c:w val="0.67421371057431378"/>
          <c:h val="0.80037442502785738"/>
        </c:manualLayout>
      </c:layout>
      <c:doughnutChart>
        <c:varyColors val="1"/>
        <c:ser>
          <c:idx val="0"/>
          <c:order val="0"/>
          <c:dPt>
            <c:idx val="0"/>
            <c:bubble3D val="0"/>
            <c:spPr>
              <a:solidFill>
                <a:schemeClr val="tx2"/>
              </a:solidFill>
              <a:ln w="19050">
                <a:solidFill>
                  <a:schemeClr val="lt1"/>
                </a:solidFill>
              </a:ln>
              <a:effectLst/>
            </c:spPr>
            <c:extLst>
              <c:ext xmlns:c16="http://schemas.microsoft.com/office/drawing/2014/chart" uri="{C3380CC4-5D6E-409C-BE32-E72D297353CC}">
                <c16:uniqueId val="{00000001-05C8-4900-9FAB-BBDA0B8C5DF4}"/>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05C8-4900-9FAB-BBDA0B8C5DF4}"/>
              </c:ext>
            </c:extLst>
          </c:dPt>
          <c:dLbls>
            <c:dLbl>
              <c:idx val="0"/>
              <c:layout>
                <c:manualLayout>
                  <c:x val="-0.15890613451589067"/>
                  <c:y val="0.26075420687206885"/>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987435328898742"/>
                      <c:h val="0.35386869300348178"/>
                    </c:manualLayout>
                  </c15:layout>
                </c:ext>
                <c:ext xmlns:c16="http://schemas.microsoft.com/office/drawing/2014/chart" uri="{C3380CC4-5D6E-409C-BE32-E72D297353CC}">
                  <c16:uniqueId val="{00000001-05C8-4900-9FAB-BBDA0B8C5D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'Fomulas ExecSum'!$A$105:$A$106</c:f>
              <c:strCache>
                <c:ptCount val="2"/>
                <c:pt idx="0">
                  <c:v>Ratio Debt to equity</c:v>
                </c:pt>
                <c:pt idx="1">
                  <c:v>This value for the chart</c:v>
                </c:pt>
              </c:strCache>
            </c:strRef>
          </c:cat>
          <c:val>
            <c:numRef>
              <c:f>'Fomulas ExecSum'!$B$105:$B$106</c:f>
              <c:numCache>
                <c:formatCode>0.00%</c:formatCode>
                <c:ptCount val="2"/>
                <c:pt idx="0">
                  <c:v>0.20862938143913098</c:v>
                </c:pt>
                <c:pt idx="1">
                  <c:v>0.79137061856086899</c:v>
                </c:pt>
              </c:numCache>
            </c:numRef>
          </c:val>
          <c:extLst>
            <c:ext xmlns:c16="http://schemas.microsoft.com/office/drawing/2014/chart" uri="{C3380CC4-5D6E-409C-BE32-E72D297353CC}">
              <c16:uniqueId val="{00000004-05C8-4900-9FAB-BBDA0B8C5DF4}"/>
            </c:ext>
          </c:extLst>
        </c:ser>
        <c:dLbls>
          <c:showLegendKey val="0"/>
          <c:showVal val="0"/>
          <c:showCatName val="0"/>
          <c:showSerName val="0"/>
          <c:showPercent val="1"/>
          <c:showBubbleSize val="0"/>
          <c:showLeaderLines val="1"/>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8266737844210154"/>
          <c:y val="0.1660910343953485"/>
          <c:w val="0.67421371057431378"/>
          <c:h val="0.80037442502785738"/>
        </c:manualLayout>
      </c:layout>
      <c:doughnutChart>
        <c:varyColors val="1"/>
        <c:ser>
          <c:idx val="0"/>
          <c:order val="0"/>
          <c:dPt>
            <c:idx val="0"/>
            <c:bubble3D val="0"/>
            <c:spPr>
              <a:solidFill>
                <a:schemeClr val="tx2"/>
              </a:solidFill>
              <a:ln w="19050">
                <a:solidFill>
                  <a:schemeClr val="lt1"/>
                </a:solidFill>
              </a:ln>
              <a:effectLst/>
            </c:spPr>
            <c:extLst>
              <c:ext xmlns:c16="http://schemas.microsoft.com/office/drawing/2014/chart" uri="{C3380CC4-5D6E-409C-BE32-E72D297353CC}">
                <c16:uniqueId val="{00000001-A3FD-478D-AAEE-DA4CA1527CD3}"/>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A3FD-478D-AAEE-DA4CA1527CD3}"/>
              </c:ext>
            </c:extLst>
          </c:dPt>
          <c:dLbls>
            <c:dLbl>
              <c:idx val="0"/>
              <c:layout>
                <c:manualLayout>
                  <c:x val="3.4095635481006677E-3"/>
                  <c:y val="0.29093369988192291"/>
                </c:manualLayout>
              </c:layout>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1836834121333585"/>
                      <c:h val="0.27254576938620151"/>
                    </c:manualLayout>
                  </c15:layout>
                </c:ext>
                <c:ext xmlns:c16="http://schemas.microsoft.com/office/drawing/2014/chart" uri="{C3380CC4-5D6E-409C-BE32-E72D297353CC}">
                  <c16:uniqueId val="{00000001-A3FD-478D-AAEE-DA4CA1527C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'Fomulas ExecSum'!$A$61:$A$62</c:f>
              <c:strCache>
                <c:ptCount val="2"/>
                <c:pt idx="0">
                  <c:v>ROA</c:v>
                </c:pt>
                <c:pt idx="1">
                  <c:v>This value for the chart</c:v>
                </c:pt>
              </c:strCache>
            </c:strRef>
          </c:cat>
          <c:val>
            <c:numRef>
              <c:f>'Fomulas ExecSum'!$B$61:$B$62</c:f>
              <c:numCache>
                <c:formatCode>0.00%</c:formatCode>
                <c:ptCount val="2"/>
                <c:pt idx="0">
                  <c:v>3.6862621829659013E-2</c:v>
                </c:pt>
                <c:pt idx="1">
                  <c:v>0.96313737817034095</c:v>
                </c:pt>
              </c:numCache>
            </c:numRef>
          </c:val>
          <c:extLst>
            <c:ext xmlns:c16="http://schemas.microsoft.com/office/drawing/2014/chart" uri="{C3380CC4-5D6E-409C-BE32-E72D297353CC}">
              <c16:uniqueId val="{00000004-A3FD-478D-AAEE-DA4CA1527CD3}"/>
            </c:ext>
          </c:extLst>
        </c:ser>
        <c:dLbls>
          <c:showLegendKey val="0"/>
          <c:showVal val="0"/>
          <c:showCatName val="0"/>
          <c:showSerName val="0"/>
          <c:showPercent val="1"/>
          <c:showBubbleSize val="0"/>
          <c:showLeaderLines val="1"/>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8266737844210154"/>
          <c:y val="0.1660910343953485"/>
          <c:w val="0.67421371057431378"/>
          <c:h val="0.80037442502785738"/>
        </c:manualLayout>
      </c:layout>
      <c:doughnutChart>
        <c:varyColors val="1"/>
        <c:ser>
          <c:idx val="0"/>
          <c:order val="0"/>
          <c:dPt>
            <c:idx val="0"/>
            <c:bubble3D val="0"/>
            <c:spPr>
              <a:solidFill>
                <a:schemeClr val="tx2"/>
              </a:solidFill>
              <a:ln w="19050">
                <a:solidFill>
                  <a:schemeClr val="lt1"/>
                </a:solidFill>
              </a:ln>
              <a:effectLst/>
            </c:spPr>
            <c:extLst>
              <c:ext xmlns:c16="http://schemas.microsoft.com/office/drawing/2014/chart" uri="{C3380CC4-5D6E-409C-BE32-E72D297353CC}">
                <c16:uniqueId val="{00000001-8AAD-4F0E-95AE-70D77E220094}"/>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8AAD-4F0E-95AE-70D77E220094}"/>
              </c:ext>
            </c:extLst>
          </c:dPt>
          <c:dLbls>
            <c:dLbl>
              <c:idx val="0"/>
              <c:layout>
                <c:manualLayout>
                  <c:x val="1.3035399131143089E-2"/>
                  <c:y val="0.2600143396709557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0480276452299149"/>
                      <c:h val="0.32154588336966322"/>
                    </c:manualLayout>
                  </c15:layout>
                </c:ext>
                <c:ext xmlns:c16="http://schemas.microsoft.com/office/drawing/2014/chart" uri="{C3380CC4-5D6E-409C-BE32-E72D297353CC}">
                  <c16:uniqueId val="{00000001-8AAD-4F0E-95AE-70D77E220094}"/>
                </c:ext>
              </c:extLst>
            </c:dLbl>
            <c:dLbl>
              <c:idx val="1"/>
              <c:delete val="1"/>
              <c:extLst>
                <c:ext xmlns:c15="http://schemas.microsoft.com/office/drawing/2012/chart" uri="{CE6537A1-D6FC-4f65-9D91-7224C49458BB}"/>
                <c:ext xmlns:c16="http://schemas.microsoft.com/office/drawing/2014/chart" uri="{C3380CC4-5D6E-409C-BE32-E72D297353CC}">
                  <c16:uniqueId val="{00000003-8AAD-4F0E-95AE-70D77E2200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'Fomulas ExecSum'!$A$95:$A$96</c:f>
              <c:strCache>
                <c:ptCount val="2"/>
                <c:pt idx="0">
                  <c:v>Credit line utilisation</c:v>
                </c:pt>
                <c:pt idx="1">
                  <c:v>Credit line available</c:v>
                </c:pt>
              </c:strCache>
            </c:strRef>
          </c:cat>
          <c:val>
            <c:numRef>
              <c:f>'Fomulas ExecSum'!$B$95:$B$96</c:f>
              <c:numCache>
                <c:formatCode>#,##0.00," K$"</c:formatCode>
                <c:ptCount val="2"/>
                <c:pt idx="0">
                  <c:v>0</c:v>
                </c:pt>
                <c:pt idx="1">
                  <c:v>10000000</c:v>
                </c:pt>
              </c:numCache>
            </c:numRef>
          </c:val>
          <c:extLst>
            <c:ext xmlns:c16="http://schemas.microsoft.com/office/drawing/2014/chart" uri="{C3380CC4-5D6E-409C-BE32-E72D297353CC}">
              <c16:uniqueId val="{00000004-8AAD-4F0E-95AE-70D77E220094}"/>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8266737844210154"/>
          <c:y val="0.1660910343953485"/>
          <c:w val="0.67421371057431378"/>
          <c:h val="0.80037442502785738"/>
        </c:manualLayout>
      </c:layout>
      <c:doughnutChart>
        <c:varyColors val="1"/>
        <c:ser>
          <c:idx val="0"/>
          <c:order val="0"/>
          <c:dPt>
            <c:idx val="0"/>
            <c:bubble3D val="0"/>
            <c:spPr>
              <a:solidFill>
                <a:schemeClr val="tx2"/>
              </a:solidFill>
              <a:ln w="19050">
                <a:solidFill>
                  <a:schemeClr val="lt1"/>
                </a:solidFill>
              </a:ln>
              <a:effectLst/>
            </c:spPr>
            <c:extLst>
              <c:ext xmlns:c16="http://schemas.microsoft.com/office/drawing/2014/chart" uri="{C3380CC4-5D6E-409C-BE32-E72D297353CC}">
                <c16:uniqueId val="{00000001-23A2-4979-B362-4ED269C7D168}"/>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23A2-4979-B362-4ED269C7D168}"/>
              </c:ext>
            </c:extLst>
          </c:dPt>
          <c:dLbls>
            <c:dLbl>
              <c:idx val="0"/>
              <c:layout>
                <c:manualLayout>
                  <c:x val="-0.25537435028737682"/>
                  <c:y val="-0.15594762334968157"/>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1755329364317264"/>
                      <c:h val="0.22698266252762689"/>
                    </c:manualLayout>
                  </c15:layout>
                </c:ext>
                <c:ext xmlns:c16="http://schemas.microsoft.com/office/drawing/2014/chart" uri="{C3380CC4-5D6E-409C-BE32-E72D297353CC}">
                  <c16:uniqueId val="{00000001-23A2-4979-B362-4ED269C7D168}"/>
                </c:ext>
              </c:extLst>
            </c:dLbl>
            <c:dLbl>
              <c:idx val="1"/>
              <c:delete val="1"/>
              <c:extLst>
                <c:ext xmlns:c15="http://schemas.microsoft.com/office/drawing/2012/chart" uri="{CE6537A1-D6FC-4f65-9D91-7224C49458BB}"/>
                <c:ext xmlns:c16="http://schemas.microsoft.com/office/drawing/2014/chart" uri="{C3380CC4-5D6E-409C-BE32-E72D297353CC}">
                  <c16:uniqueId val="{00000003-23A2-4979-B362-4ED269C7D1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'Fomulas ExecSum'!$A$114:$A$115</c:f>
              <c:strCache>
                <c:ptCount val="2"/>
                <c:pt idx="0">
                  <c:v>Quick Ratio (Liquidity)</c:v>
                </c:pt>
                <c:pt idx="1">
                  <c:v>This value for the chart</c:v>
                </c:pt>
              </c:strCache>
            </c:strRef>
          </c:cat>
          <c:val>
            <c:numRef>
              <c:f>'Fomulas ExecSum'!$B$114:$B$115</c:f>
              <c:numCache>
                <c:formatCode>0.00%</c:formatCode>
                <c:ptCount val="2"/>
                <c:pt idx="0">
                  <c:v>0.63226579487791634</c:v>
                </c:pt>
                <c:pt idx="1">
                  <c:v>0.36773420512208366</c:v>
                </c:pt>
              </c:numCache>
            </c:numRef>
          </c:val>
          <c:extLst>
            <c:ext xmlns:c16="http://schemas.microsoft.com/office/drawing/2014/chart" uri="{C3380CC4-5D6E-409C-BE32-E72D297353CC}">
              <c16:uniqueId val="{00000004-23A2-4979-B362-4ED269C7D168}"/>
            </c:ext>
          </c:extLst>
        </c:ser>
        <c:dLbls>
          <c:showLegendKey val="0"/>
          <c:showVal val="0"/>
          <c:showCatName val="0"/>
          <c:showSerName val="0"/>
          <c:showPercent val="1"/>
          <c:showBubbleSize val="0"/>
          <c:showLeaderLines val="0"/>
        </c:dLbls>
        <c:firstSliceAng val="0"/>
        <c:holeSize val="73"/>
      </c:doughnutChart>
      <c:spPr>
        <a:noFill/>
        <a:ln>
          <a:noFill/>
        </a:ln>
        <a:effectLst/>
      </c:spPr>
    </c:plotArea>
    <c:legend>
      <c:legendPos val="t"/>
      <c:legendEntry>
        <c:idx val="1"/>
        <c:delete val="1"/>
      </c:legendEntry>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chemeClr val="tx2"/>
                </a:solidFill>
                <a:latin typeface="+mn-lt"/>
                <a:ea typeface="+mn-ea"/>
                <a:cs typeface="+mn-cs"/>
              </a:defRPr>
            </a:pPr>
            <a:r>
              <a:rPr lang="fr-FR" b="1" u="sng">
                <a:solidFill>
                  <a:schemeClr val="tx2"/>
                </a:solidFill>
              </a:rPr>
              <a:t>Revenue evolution analysis</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'Revenue analysis'!$F$23</c:f>
              <c:strCache>
                <c:ptCount val="1"/>
                <c:pt idx="0">
                  <c:v>Variance</c:v>
                </c:pt>
              </c:strCache>
            </c:strRef>
          </c:tx>
          <c:spPr>
            <a:solidFill>
              <a:schemeClr val="accent1"/>
            </a:solidFill>
            <a:ln>
              <a:noFill/>
            </a:ln>
            <a:effectLst/>
          </c:spPr>
          <c:invertIfNegative val="0"/>
          <c:dPt>
            <c:idx val="1"/>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3-4600-4462-B7F9-847A8B544D71}"/>
              </c:ext>
            </c:extLst>
          </c:dPt>
          <c:dPt>
            <c:idx val="2"/>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2-4600-4462-B7F9-847A8B544D71}"/>
              </c:ext>
            </c:extLst>
          </c:dPt>
          <c:cat>
            <c:strRef>
              <c:f>'Revenue analysis'!$C$24:$C$26</c:f>
              <c:strCache>
                <c:ptCount val="3"/>
                <c:pt idx="0">
                  <c:v>Previous period</c:v>
                </c:pt>
                <c:pt idx="1">
                  <c:v>Volume effect</c:v>
                </c:pt>
                <c:pt idx="2">
                  <c:v>Price effect</c:v>
                </c:pt>
              </c:strCache>
            </c:strRef>
          </c:cat>
          <c:val>
            <c:numRef>
              <c:f>'Revenue analysis'!$F$24:$F$26</c:f>
              <c:numCache>
                <c:formatCode>#,##0," K$"</c:formatCode>
                <c:ptCount val="3"/>
                <c:pt idx="0">
                  <c:v>-134395</c:v>
                </c:pt>
                <c:pt idx="1">
                  <c:v>-27489.476016241333</c:v>
                </c:pt>
                <c:pt idx="2">
                  <c:v>-106905.52398375774</c:v>
                </c:pt>
              </c:numCache>
            </c:numRef>
          </c:val>
          <c:extLst>
            <c:ext xmlns:c16="http://schemas.microsoft.com/office/drawing/2014/chart" uri="{C3380CC4-5D6E-409C-BE32-E72D297353CC}">
              <c16:uniqueId val="{00000000-4600-4462-B7F9-847A8B544D71}"/>
            </c:ext>
          </c:extLst>
        </c:ser>
        <c:ser>
          <c:idx val="1"/>
          <c:order val="1"/>
          <c:tx>
            <c:strRef>
              <c:f>'Revenue analysis'!$G$23</c:f>
              <c:strCache>
                <c:ptCount val="1"/>
              </c:strCache>
            </c:strRef>
          </c:tx>
          <c:spPr>
            <a:solidFill>
              <a:schemeClr val="accent2"/>
            </a:solidFill>
            <a:ln>
              <a:noFill/>
            </a:ln>
            <a:effectLst/>
          </c:spPr>
          <c:invertIfNegative val="0"/>
          <c:cat>
            <c:strRef>
              <c:f>'Revenue analysis'!$C$24:$C$26</c:f>
              <c:strCache>
                <c:ptCount val="3"/>
                <c:pt idx="0">
                  <c:v>Previous period</c:v>
                </c:pt>
                <c:pt idx="1">
                  <c:v>Volume effect</c:v>
                </c:pt>
                <c:pt idx="2">
                  <c:v>Price effect</c:v>
                </c:pt>
              </c:strCache>
            </c:strRef>
          </c:cat>
          <c:val>
            <c:numRef>
              <c:f>'Revenue analysis'!$G$24:$G$26</c:f>
              <c:numCache>
                <c:formatCode>#,##0," K$"</c:formatCode>
                <c:ptCount val="3"/>
              </c:numCache>
            </c:numRef>
          </c:val>
          <c:extLst>
            <c:ext xmlns:c16="http://schemas.microsoft.com/office/drawing/2014/chart" uri="{C3380CC4-5D6E-409C-BE32-E72D297353CC}">
              <c16:uniqueId val="{00000001-4600-4462-B7F9-847A8B544D71}"/>
            </c:ext>
          </c:extLst>
        </c:ser>
        <c:dLbls>
          <c:showLegendKey val="0"/>
          <c:showVal val="0"/>
          <c:showCatName val="0"/>
          <c:showSerName val="0"/>
          <c:showPercent val="0"/>
          <c:showBubbleSize val="0"/>
        </c:dLbls>
        <c:gapWidth val="219"/>
        <c:overlap val="-27"/>
        <c:axId val="1239304800"/>
        <c:axId val="1239305280"/>
      </c:barChart>
      <c:catAx>
        <c:axId val="1239304800"/>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39305280"/>
        <c:crosses val="autoZero"/>
        <c:auto val="1"/>
        <c:lblAlgn val="l"/>
        <c:lblOffset val="100"/>
        <c:noMultiLvlLbl val="0"/>
      </c:catAx>
      <c:valAx>
        <c:axId val="1239305280"/>
        <c:scaling>
          <c:orientation val="minMax"/>
        </c:scaling>
        <c:delete val="0"/>
        <c:axPos val="l"/>
        <c:majorGridlines>
          <c:spPr>
            <a:ln w="9525" cap="flat" cmpd="sng" algn="ctr">
              <a:solidFill>
                <a:schemeClr val="tx1">
                  <a:lumMod val="15000"/>
                  <a:lumOff val="85000"/>
                </a:schemeClr>
              </a:solidFill>
              <a:round/>
            </a:ln>
            <a:effectLst/>
          </c:spPr>
        </c:majorGridlines>
        <c:numFmt formatCode="#,##0,&quot; 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30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69386789151356076"/>
          <c:y val="1.1090573012939002E-2"/>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13073053368329"/>
          <c:y val="0.16401327375667688"/>
          <c:w val="0.55516338582677172"/>
          <c:h val="0.73884960775466846"/>
        </c:manualLayout>
      </c:layout>
      <c:pieChart>
        <c:varyColors val="1"/>
        <c:ser>
          <c:idx val="1"/>
          <c:order val="1"/>
          <c:tx>
            <c:strRef>
              <c:f>'Revenue analysis'!$E$33</c:f>
              <c:strCache>
                <c:ptCount val="1"/>
                <c:pt idx="0">
                  <c:v>Revenue contrib</c:v>
                </c:pt>
              </c:strCache>
            </c:strRef>
          </c:tx>
          <c:explosion val="2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62D-4F49-8D1B-296B676603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2D-4F49-8D1B-296B676603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C7-4BFE-826A-2A1BB44A37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6C7-4BFE-826A-2A1BB44A370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6C7-4BFE-826A-2A1BB44A370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8-462D-4F49-8D1B-296B6766030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4-462D-4F49-8D1B-296B6766030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5-462D-4F49-8D1B-296B6766030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6-462D-4F49-8D1B-296B6766030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7-462D-4F49-8D1B-296B67660306}"/>
              </c:ext>
            </c:extLst>
          </c:dPt>
          <c:dLbls>
            <c:dLbl>
              <c:idx val="5"/>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8-462D-4F49-8D1B-296B67660306}"/>
                </c:ext>
              </c:extLst>
            </c:dLbl>
            <c:dLbl>
              <c:idx val="6"/>
              <c:layout>
                <c:manualLayout>
                  <c:x val="-4.2744641294838147E-2"/>
                  <c:y val="7.7178998349235915E-3"/>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62D-4F49-8D1B-296B67660306}"/>
                </c:ext>
              </c:extLst>
            </c:dLbl>
            <c:dLbl>
              <c:idx val="7"/>
              <c:layout>
                <c:manualLayout>
                  <c:x val="-0.1223254593175853"/>
                  <c:y val="-3.7340968056266979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62D-4F49-8D1B-296B67660306}"/>
                </c:ext>
              </c:extLst>
            </c:dLbl>
            <c:dLbl>
              <c:idx val="8"/>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6-462D-4F49-8D1B-296B67660306}"/>
                </c:ext>
              </c:extLst>
            </c:dLbl>
            <c:dLbl>
              <c:idx val="9"/>
              <c:layout>
                <c:manualLayout>
                  <c:x val="6.0215004374453193E-2"/>
                  <c:y val="-1.7573046237483608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62D-4F49-8D1B-296B67660306}"/>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analysis'!$C$34:$C$43</c:f>
              <c:strCache>
                <c:ptCount val="10"/>
                <c:pt idx="0">
                  <c:v>Client 1</c:v>
                </c:pt>
                <c:pt idx="1">
                  <c:v>Client 10</c:v>
                </c:pt>
                <c:pt idx="2">
                  <c:v>Client 5</c:v>
                </c:pt>
                <c:pt idx="3">
                  <c:v>Client 8</c:v>
                </c:pt>
                <c:pt idx="4">
                  <c:v>Client 7</c:v>
                </c:pt>
                <c:pt idx="5">
                  <c:v>Client 9</c:v>
                </c:pt>
                <c:pt idx="6">
                  <c:v>Client 4</c:v>
                </c:pt>
                <c:pt idx="7">
                  <c:v>Client 6</c:v>
                </c:pt>
                <c:pt idx="8">
                  <c:v>Client 2</c:v>
                </c:pt>
                <c:pt idx="9">
                  <c:v>Client 3</c:v>
                </c:pt>
              </c:strCache>
            </c:strRef>
          </c:cat>
          <c:val>
            <c:numRef>
              <c:f>'Revenue analysis'!$E$34:$E$43</c:f>
              <c:numCache>
                <c:formatCode>0%</c:formatCode>
                <c:ptCount val="10"/>
                <c:pt idx="0">
                  <c:v>0.23475866828982267</c:v>
                </c:pt>
                <c:pt idx="1">
                  <c:v>0.13999015783315899</c:v>
                </c:pt>
                <c:pt idx="2">
                  <c:v>0.12317418072152578</c:v>
                </c:pt>
                <c:pt idx="3">
                  <c:v>0.12253999778564459</c:v>
                </c:pt>
                <c:pt idx="4">
                  <c:v>0.10122563779645741</c:v>
                </c:pt>
                <c:pt idx="5">
                  <c:v>9.9126492278690637E-2</c:v>
                </c:pt>
                <c:pt idx="6">
                  <c:v>8.341531468994047E-2</c:v>
                </c:pt>
                <c:pt idx="7">
                  <c:v>4.2954002975903426E-2</c:v>
                </c:pt>
                <c:pt idx="8">
                  <c:v>3.7519055215401553E-2</c:v>
                </c:pt>
                <c:pt idx="9">
                  <c:v>1.5296492413454509E-2</c:v>
                </c:pt>
              </c:numCache>
            </c:numRef>
          </c:val>
          <c:extLst>
            <c:ext xmlns:c16="http://schemas.microsoft.com/office/drawing/2014/chart" uri="{C3380CC4-5D6E-409C-BE32-E72D297353CC}">
              <c16:uniqueId val="{00000001-462D-4F49-8D1B-296B67660306}"/>
            </c:ext>
          </c:extLst>
        </c:ser>
        <c:dLbls>
          <c:showLegendKey val="0"/>
          <c:showVal val="0"/>
          <c:showCatName val="1"/>
          <c:showSerName val="0"/>
          <c:showPercent val="1"/>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'Revenue analysis'!$D$33</c15:sqref>
                        </c15:formulaRef>
                      </c:ext>
                    </c:extLst>
                    <c:strCache>
                      <c:ptCount val="1"/>
                      <c:pt idx="0">
                        <c:v>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C6C7-4BFE-826A-2A1BB44A37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C6C7-4BFE-826A-2A1BB44A37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9-C6C7-4BFE-826A-2A1BB44A37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B-C6C7-4BFE-826A-2A1BB44A370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D-C6C7-4BFE-826A-2A1BB44A370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F-C6C7-4BFE-826A-2A1BB44A370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1-C6C7-4BFE-826A-2A1BB44A370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3-C6C7-4BFE-826A-2A1BB44A370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5-C6C7-4BFE-826A-2A1BB44A370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7-C6C7-4BFE-826A-2A1BB44A37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'Revenue analysis'!$C$34:$C$43</c15:sqref>
                        </c15:formulaRef>
                      </c:ext>
                    </c:extLst>
                    <c:strCache>
                      <c:ptCount val="10"/>
                      <c:pt idx="0">
                        <c:v>Client 1</c:v>
                      </c:pt>
                      <c:pt idx="1">
                        <c:v>Client 10</c:v>
                      </c:pt>
                      <c:pt idx="2">
                        <c:v>Client 5</c:v>
                      </c:pt>
                      <c:pt idx="3">
                        <c:v>Client 8</c:v>
                      </c:pt>
                      <c:pt idx="4">
                        <c:v>Client 7</c:v>
                      </c:pt>
                      <c:pt idx="5">
                        <c:v>Client 9</c:v>
                      </c:pt>
                      <c:pt idx="6">
                        <c:v>Client 4</c:v>
                      </c:pt>
                      <c:pt idx="7">
                        <c:v>Client 6</c:v>
                      </c:pt>
                      <c:pt idx="8">
                        <c:v>Client 2</c:v>
                      </c:pt>
                      <c:pt idx="9">
                        <c:v>Client 3</c:v>
                      </c:pt>
                    </c:strCache>
                  </c:strRef>
                </c:cat>
                <c:val>
                  <c:numRef>
                    <c:extLst>
                      <c:ext uri="{02D57815-91ED-43cb-92C2-25804820EDAC}">
                        <c15:formulaRef>
                          <c15:sqref>'Revenue analysis'!$D$34:$D$43</c15:sqref>
                        </c15:formulaRef>
                      </c:ext>
                    </c:extLst>
                    <c:numCache>
                      <c:formatCode>#,##0," K$"</c:formatCode>
                      <c:ptCount val="10"/>
                      <c:pt idx="0">
                        <c:v>2665260</c:v>
                      </c:pt>
                      <c:pt idx="1">
                        <c:v>1589335</c:v>
                      </c:pt>
                      <c:pt idx="2">
                        <c:v>1398420</c:v>
                      </c:pt>
                      <c:pt idx="3">
                        <c:v>1391220</c:v>
                      </c:pt>
                      <c:pt idx="4">
                        <c:v>1149234</c:v>
                      </c:pt>
                      <c:pt idx="5">
                        <c:v>1125402</c:v>
                      </c:pt>
                      <c:pt idx="6">
                        <c:v>947030</c:v>
                      </c:pt>
                      <c:pt idx="7">
                        <c:v>487665</c:v>
                      </c:pt>
                      <c:pt idx="8">
                        <c:v>425961</c:v>
                      </c:pt>
                      <c:pt idx="9">
                        <c:v>173664</c:v>
                      </c:pt>
                    </c:numCache>
                  </c:numRef>
                </c:val>
                <c:extLst>
                  <c:ext xmlns:c16="http://schemas.microsoft.com/office/drawing/2014/chart" uri="{C3380CC4-5D6E-409C-BE32-E72D297353CC}">
                    <c16:uniqueId val="{00000000-462D-4F49-8D1B-296B67660306}"/>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69386789151356076"/>
          <c:y val="1.1090573012939002E-2"/>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13073053368329"/>
          <c:y val="0.16401327375667688"/>
          <c:w val="0.55516338582677172"/>
          <c:h val="0.73884960775466846"/>
        </c:manualLayout>
      </c:layout>
      <c:pieChart>
        <c:varyColors val="1"/>
        <c:ser>
          <c:idx val="1"/>
          <c:order val="1"/>
          <c:tx>
            <c:strRef>
              <c:f>'Revenue analysis'!$E$33</c:f>
              <c:strCache>
                <c:ptCount val="1"/>
                <c:pt idx="0">
                  <c:v>Revenue contrib</c:v>
                </c:pt>
              </c:strCache>
            </c:strRef>
          </c:tx>
          <c:explosion val="2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CD-4FD7-8A79-4338812808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CD-4FD7-8A79-4338812808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CD-4FD7-8A79-43388128083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CD-4FD7-8A79-43388128083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CD-4FD7-8A79-43388128083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BCD-4FD7-8A79-43388128083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BCD-4FD7-8A79-43388128083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BCD-4FD7-8A79-43388128083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BCD-4FD7-8A79-43388128083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BCD-4FD7-8A79-43388128083C}"/>
              </c:ext>
            </c:extLst>
          </c:dPt>
          <c:dLbls>
            <c:dLbl>
              <c:idx val="5"/>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B-9BCD-4FD7-8A79-43388128083C}"/>
                </c:ext>
              </c:extLst>
            </c:dLbl>
            <c:dLbl>
              <c:idx val="6"/>
              <c:layout>
                <c:manualLayout>
                  <c:x val="-4.2744641294838147E-2"/>
                  <c:y val="7.7178998349235915E-3"/>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9BCD-4FD7-8A79-43388128083C}"/>
                </c:ext>
              </c:extLst>
            </c:dLbl>
            <c:dLbl>
              <c:idx val="7"/>
              <c:layout>
                <c:manualLayout>
                  <c:x val="-0.1223254593175853"/>
                  <c:y val="-3.7340968056266979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9BCD-4FD7-8A79-43388128083C}"/>
                </c:ext>
              </c:extLst>
            </c:dLbl>
            <c:dLbl>
              <c:idx val="8"/>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11-9BCD-4FD7-8A79-43388128083C}"/>
                </c:ext>
              </c:extLst>
            </c:dLbl>
            <c:dLbl>
              <c:idx val="9"/>
              <c:layout>
                <c:manualLayout>
                  <c:x val="6.0215004374453193E-2"/>
                  <c:y val="-1.7573046237483608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9BCD-4FD7-8A79-43388128083C}"/>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analysis'!$C$34:$C$43</c:f>
              <c:strCache>
                <c:ptCount val="10"/>
                <c:pt idx="0">
                  <c:v>Client 1</c:v>
                </c:pt>
                <c:pt idx="1">
                  <c:v>Client 10</c:v>
                </c:pt>
                <c:pt idx="2">
                  <c:v>Client 5</c:v>
                </c:pt>
                <c:pt idx="3">
                  <c:v>Client 8</c:v>
                </c:pt>
                <c:pt idx="4">
                  <c:v>Client 7</c:v>
                </c:pt>
                <c:pt idx="5">
                  <c:v>Client 9</c:v>
                </c:pt>
                <c:pt idx="6">
                  <c:v>Client 4</c:v>
                </c:pt>
                <c:pt idx="7">
                  <c:v>Client 6</c:v>
                </c:pt>
                <c:pt idx="8">
                  <c:v>Client 2</c:v>
                </c:pt>
                <c:pt idx="9">
                  <c:v>Client 3</c:v>
                </c:pt>
              </c:strCache>
            </c:strRef>
          </c:cat>
          <c:val>
            <c:numRef>
              <c:f>'Revenue analysis'!$E$34:$E$43</c:f>
              <c:numCache>
                <c:formatCode>0%</c:formatCode>
                <c:ptCount val="10"/>
                <c:pt idx="0">
                  <c:v>0.23475866828982267</c:v>
                </c:pt>
                <c:pt idx="1">
                  <c:v>0.13999015783315899</c:v>
                </c:pt>
                <c:pt idx="2">
                  <c:v>0.12317418072152578</c:v>
                </c:pt>
                <c:pt idx="3">
                  <c:v>0.12253999778564459</c:v>
                </c:pt>
                <c:pt idx="4">
                  <c:v>0.10122563779645741</c:v>
                </c:pt>
                <c:pt idx="5">
                  <c:v>9.9126492278690637E-2</c:v>
                </c:pt>
                <c:pt idx="6">
                  <c:v>8.341531468994047E-2</c:v>
                </c:pt>
                <c:pt idx="7">
                  <c:v>4.2954002975903426E-2</c:v>
                </c:pt>
                <c:pt idx="8">
                  <c:v>3.7519055215401553E-2</c:v>
                </c:pt>
                <c:pt idx="9">
                  <c:v>1.5296492413454509E-2</c:v>
                </c:pt>
              </c:numCache>
            </c:numRef>
          </c:val>
          <c:extLst>
            <c:ext xmlns:c16="http://schemas.microsoft.com/office/drawing/2014/chart" uri="{C3380CC4-5D6E-409C-BE32-E72D297353CC}">
              <c16:uniqueId val="{00000014-9BCD-4FD7-8A79-43388128083C}"/>
            </c:ext>
          </c:extLst>
        </c:ser>
        <c:dLbls>
          <c:showLegendKey val="0"/>
          <c:showVal val="0"/>
          <c:showCatName val="1"/>
          <c:showSerName val="0"/>
          <c:showPercent val="1"/>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'Revenue analysis'!$D$33</c15:sqref>
                        </c15:formulaRef>
                      </c:ext>
                    </c:extLst>
                    <c:strCache>
                      <c:ptCount val="1"/>
                      <c:pt idx="0">
                        <c:v>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9BCD-4FD7-8A79-4338812808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9BCD-4FD7-8A79-4338812808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9BCD-4FD7-8A79-43388128083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C-9BCD-4FD7-8A79-43388128083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9BCD-4FD7-8A79-43388128083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0-9BCD-4FD7-8A79-43388128083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2-9BCD-4FD7-8A79-43388128083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4-9BCD-4FD7-8A79-43388128083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6-9BCD-4FD7-8A79-43388128083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8-9BCD-4FD7-8A79-4338812808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'Revenue analysis'!$C$34:$C$43</c15:sqref>
                        </c15:formulaRef>
                      </c:ext>
                    </c:extLst>
                    <c:strCache>
                      <c:ptCount val="10"/>
                      <c:pt idx="0">
                        <c:v>Client 1</c:v>
                      </c:pt>
                      <c:pt idx="1">
                        <c:v>Client 10</c:v>
                      </c:pt>
                      <c:pt idx="2">
                        <c:v>Client 5</c:v>
                      </c:pt>
                      <c:pt idx="3">
                        <c:v>Client 8</c:v>
                      </c:pt>
                      <c:pt idx="4">
                        <c:v>Client 7</c:v>
                      </c:pt>
                      <c:pt idx="5">
                        <c:v>Client 9</c:v>
                      </c:pt>
                      <c:pt idx="6">
                        <c:v>Client 4</c:v>
                      </c:pt>
                      <c:pt idx="7">
                        <c:v>Client 6</c:v>
                      </c:pt>
                      <c:pt idx="8">
                        <c:v>Client 2</c:v>
                      </c:pt>
                      <c:pt idx="9">
                        <c:v>Client 3</c:v>
                      </c:pt>
                    </c:strCache>
                  </c:strRef>
                </c:cat>
                <c:val>
                  <c:numRef>
                    <c:extLst>
                      <c:ext uri="{02D57815-91ED-43cb-92C2-25804820EDAC}">
                        <c15:formulaRef>
                          <c15:sqref>'Revenue analysis'!$D$34:$D$43</c15:sqref>
                        </c15:formulaRef>
                      </c:ext>
                    </c:extLst>
                    <c:numCache>
                      <c:formatCode>#,##0," K$"</c:formatCode>
                      <c:ptCount val="10"/>
                      <c:pt idx="0">
                        <c:v>2665260</c:v>
                      </c:pt>
                      <c:pt idx="1">
                        <c:v>1589335</c:v>
                      </c:pt>
                      <c:pt idx="2">
                        <c:v>1398420</c:v>
                      </c:pt>
                      <c:pt idx="3">
                        <c:v>1391220</c:v>
                      </c:pt>
                      <c:pt idx="4">
                        <c:v>1149234</c:v>
                      </c:pt>
                      <c:pt idx="5">
                        <c:v>1125402</c:v>
                      </c:pt>
                      <c:pt idx="6">
                        <c:v>947030</c:v>
                      </c:pt>
                      <c:pt idx="7">
                        <c:v>487665</c:v>
                      </c:pt>
                      <c:pt idx="8">
                        <c:v>425961</c:v>
                      </c:pt>
                      <c:pt idx="9">
                        <c:v>173664</c:v>
                      </c:pt>
                    </c:numCache>
                  </c:numRef>
                </c:val>
                <c:extLst>
                  <c:ext xmlns:c16="http://schemas.microsoft.com/office/drawing/2014/chart" uri="{C3380CC4-5D6E-409C-BE32-E72D297353CC}">
                    <c16:uniqueId val="{00000029-9BCD-4FD7-8A79-43388128083C}"/>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Cash</a:t>
            </a:r>
            <a:r>
              <a:rPr lang="fr-FR" baseline="0"/>
              <a:t> Conversion Cycle evolution (Days)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3"/>
          <c:order val="0"/>
          <c:tx>
            <c:strRef>
              <c:f>'Working capital evolution'!$C$38</c:f>
              <c:strCache>
                <c:ptCount val="1"/>
                <c:pt idx="0">
                  <c:v>DSO</c:v>
                </c:pt>
              </c:strCache>
            </c:strRef>
          </c:tx>
          <c:spPr>
            <a:solidFill>
              <a:schemeClr val="accent4"/>
            </a:solidFill>
            <a:ln>
              <a:noFill/>
            </a:ln>
            <a:effectLst/>
          </c:spPr>
          <c:invertIfNegative val="0"/>
          <c:cat>
            <c:strRef>
              <c:f>'Working capital evolution'!$D$34:$O$34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'Working capital evolution'!$D$38:$O$38</c:f>
              <c:numCache>
                <c:formatCode>0</c:formatCode>
                <c:ptCount val="12"/>
                <c:pt idx="0">
                  <c:v>34.364999195748901</c:v>
                </c:pt>
                <c:pt idx="1">
                  <c:v>63.170591127120879</c:v>
                </c:pt>
                <c:pt idx="2">
                  <c:v>84.180384607685866</c:v>
                </c:pt>
                <c:pt idx="3">
                  <c:v>64.038102274834188</c:v>
                </c:pt>
                <c:pt idx="4">
                  <c:v>70.192604730726558</c:v>
                </c:pt>
                <c:pt idx="5">
                  <c:v>78.58607721637901</c:v>
                </c:pt>
                <c:pt idx="6">
                  <c:v>75.379835043954799</c:v>
                </c:pt>
                <c:pt idx="7">
                  <c:v>78.146001683947034</c:v>
                </c:pt>
                <c:pt idx="8">
                  <c:v>80.270290522238199</c:v>
                </c:pt>
                <c:pt idx="9">
                  <c:v>68.614582982194293</c:v>
                </c:pt>
                <c:pt idx="10">
                  <c:v>74.248473096024483</c:v>
                </c:pt>
                <c:pt idx="11">
                  <c:v>69.068015351372139</c:v>
                </c:pt>
              </c:numCache>
            </c:numRef>
          </c:val>
          <c:extLst>
            <c:ext xmlns:c16="http://schemas.microsoft.com/office/drawing/2014/chart" uri="{C3380CC4-5D6E-409C-BE32-E72D297353CC}">
              <c16:uniqueId val="{00000003-97E9-485A-85C5-1931A45A183C}"/>
            </c:ext>
          </c:extLst>
        </c:ser>
        <c:ser>
          <c:idx val="8"/>
          <c:order val="1"/>
          <c:tx>
            <c:strRef>
              <c:f>'Working capital evolution'!$C$43</c:f>
              <c:strCache>
                <c:ptCount val="1"/>
                <c:pt idx="0">
                  <c:v>DIO</c:v>
                </c:pt>
              </c:strCache>
            </c:strRef>
          </c:tx>
          <c:spPr>
            <a:solidFill>
              <a:schemeClr val="accent3">
                <a:lumMod val="60000"/>
              </a:schemeClr>
            </a:solidFill>
            <a:ln>
              <a:noFill/>
            </a:ln>
            <a:effectLst/>
          </c:spPr>
          <c:invertIfNegative val="0"/>
          <c:cat>
            <c:strRef>
              <c:f>'Working capital evolution'!$D$34:$O$34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'Working capital evolution'!$D$43:$O$43</c:f>
              <c:numCache>
                <c:formatCode>0</c:formatCode>
                <c:ptCount val="12"/>
                <c:pt idx="0">
                  <c:v>3.4574436467379317</c:v>
                </c:pt>
                <c:pt idx="1">
                  <c:v>2.9574454265189423</c:v>
                </c:pt>
                <c:pt idx="2">
                  <c:v>8.6400221933191972</c:v>
                </c:pt>
                <c:pt idx="3">
                  <c:v>9.749733152862559</c:v>
                </c:pt>
                <c:pt idx="4">
                  <c:v>10.769308056263759</c:v>
                </c:pt>
                <c:pt idx="5">
                  <c:v>15.473041292314146</c:v>
                </c:pt>
                <c:pt idx="6">
                  <c:v>16.957495586848911</c:v>
                </c:pt>
                <c:pt idx="7">
                  <c:v>17.508267053999926</c:v>
                </c:pt>
                <c:pt idx="8">
                  <c:v>19.663390809157995</c:v>
                </c:pt>
                <c:pt idx="9">
                  <c:v>22.538998297104317</c:v>
                </c:pt>
                <c:pt idx="10">
                  <c:v>22.245852573598167</c:v>
                </c:pt>
                <c:pt idx="11">
                  <c:v>25.455140366169701</c:v>
                </c:pt>
              </c:numCache>
            </c:numRef>
          </c:val>
          <c:extLst>
            <c:ext xmlns:c16="http://schemas.microsoft.com/office/drawing/2014/chart" uri="{C3380CC4-5D6E-409C-BE32-E72D297353CC}">
              <c16:uniqueId val="{00000008-97E9-485A-85C5-1931A45A183C}"/>
            </c:ext>
          </c:extLst>
        </c:ser>
        <c:ser>
          <c:idx val="14"/>
          <c:order val="2"/>
          <c:tx>
            <c:strRef>
              <c:f>'Working capital evolution'!$C$49</c:f>
              <c:strCache>
                <c:ptCount val="1"/>
                <c:pt idx="0">
                  <c:v>DPO</c:v>
                </c:pt>
              </c:strCache>
            </c:strRef>
          </c:tx>
          <c:spPr>
            <a:solidFill>
              <a:schemeClr val="tx2">
                <a:lumMod val="25000"/>
                <a:lumOff val="75000"/>
                <a:alpha val="39000"/>
              </a:schemeClr>
            </a:solidFill>
            <a:ln>
              <a:solidFill>
                <a:schemeClr val="bg1"/>
              </a:solidFill>
            </a:ln>
            <a:effectLst/>
          </c:spPr>
          <c:invertIfNegative val="0"/>
          <c:cat>
            <c:strRef>
              <c:f>'Working capital evolution'!$D$34:$O$34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'Working capital evolution'!$D$49:$O$49</c:f>
              <c:numCache>
                <c:formatCode>0</c:formatCode>
                <c:ptCount val="12"/>
                <c:pt idx="0">
                  <c:v>62.010788954430794</c:v>
                </c:pt>
                <c:pt idx="1">
                  <c:v>90.816359424412539</c:v>
                </c:pt>
                <c:pt idx="2">
                  <c:v>102.29294237022663</c:v>
                </c:pt>
                <c:pt idx="3">
                  <c:v>110.98101948036374</c:v>
                </c:pt>
                <c:pt idx="4">
                  <c:v>95.26260261524007</c:v>
                </c:pt>
                <c:pt idx="5">
                  <c:v>89.222662054240445</c:v>
                </c:pt>
                <c:pt idx="6">
                  <c:v>109.34704827743337</c:v>
                </c:pt>
                <c:pt idx="7">
                  <c:v>121.91492339146811</c:v>
                </c:pt>
                <c:pt idx="8">
                  <c:v>79.692931179505024</c:v>
                </c:pt>
                <c:pt idx="9">
                  <c:v>108.68206382480858</c:v>
                </c:pt>
                <c:pt idx="10">
                  <c:v>110.15120181397371</c:v>
                </c:pt>
                <c:pt idx="11">
                  <c:v>101.26305741099506</c:v>
                </c:pt>
              </c:numCache>
            </c:numRef>
          </c:val>
          <c:extLst>
            <c:ext xmlns:c16="http://schemas.microsoft.com/office/drawing/2014/chart" uri="{C3380CC4-5D6E-409C-BE32-E72D297353CC}">
              <c16:uniqueId val="{0000000E-97E9-485A-85C5-1931A45A183C}"/>
            </c:ext>
          </c:extLst>
        </c:ser>
        <c:dLbls>
          <c:showLegendKey val="0"/>
          <c:showVal val="0"/>
          <c:showCatName val="0"/>
          <c:showSerName val="0"/>
          <c:showPercent val="0"/>
          <c:showBubbleSize val="0"/>
        </c:dLbls>
        <c:gapWidth val="150"/>
        <c:axId val="869288320"/>
        <c:axId val="869285440"/>
      </c:barChart>
      <c:lineChart>
        <c:grouping val="standard"/>
        <c:varyColors val="0"/>
        <c:ser>
          <c:idx val="16"/>
          <c:order val="3"/>
          <c:tx>
            <c:strRef>
              <c:f>'Working capital evolution'!$C$51</c:f>
              <c:strCache>
                <c:ptCount val="1"/>
                <c:pt idx="0">
                  <c:v>Cash Conversion Cycle</c:v>
                </c:pt>
              </c:strCache>
            </c:strRef>
          </c:tx>
          <c:spPr>
            <a:ln w="28575" cap="rnd">
              <a:solidFill>
                <a:srgbClr val="C00000"/>
              </a:solidFill>
              <a:round/>
            </a:ln>
            <a:effectLst/>
          </c:spPr>
          <c:marker>
            <c:symbol val="none"/>
          </c:marker>
          <c:cat>
            <c:strRef>
              <c:f>'Working capital evolution'!$D$34:$O$34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'Working capital evolution'!$D$51:$O$51</c:f>
              <c:numCache>
                <c:formatCode>0</c:formatCode>
                <c:ptCount val="12"/>
                <c:pt idx="0">
                  <c:v>-24.188346111943964</c:v>
                </c:pt>
                <c:pt idx="1">
                  <c:v>-24.688322870772723</c:v>
                </c:pt>
                <c:pt idx="2">
                  <c:v>-9.4725355692215629</c:v>
                </c:pt>
                <c:pt idx="3">
                  <c:v>-37.193184052666993</c:v>
                </c:pt>
                <c:pt idx="4">
                  <c:v>-14.300689828249759</c:v>
                </c:pt>
                <c:pt idx="5">
                  <c:v>4.8364564544527155</c:v>
                </c:pt>
                <c:pt idx="6">
                  <c:v>-17.009717646629667</c:v>
                </c:pt>
                <c:pt idx="7">
                  <c:v>-26.260654653521144</c:v>
                </c:pt>
                <c:pt idx="8">
                  <c:v>20.240750151891177</c:v>
                </c:pt>
                <c:pt idx="9">
                  <c:v>-17.528482545509974</c:v>
                </c:pt>
                <c:pt idx="10">
                  <c:v>-13.65687614435106</c:v>
                </c:pt>
                <c:pt idx="11">
                  <c:v>-6.7399016934532199</c:v>
                </c:pt>
              </c:numCache>
            </c:numRef>
          </c:val>
          <c:smooth val="0"/>
          <c:extLst>
            <c:ext xmlns:c16="http://schemas.microsoft.com/office/drawing/2014/chart" uri="{C3380CC4-5D6E-409C-BE32-E72D297353CC}">
              <c16:uniqueId val="{00000010-97E9-485A-85C5-1931A45A183C}"/>
            </c:ext>
          </c:extLst>
        </c:ser>
        <c:dLbls>
          <c:showLegendKey val="0"/>
          <c:showVal val="0"/>
          <c:showCatName val="0"/>
          <c:showSerName val="0"/>
          <c:showPercent val="0"/>
          <c:showBubbleSize val="0"/>
        </c:dLbls>
        <c:marker val="1"/>
        <c:smooth val="0"/>
        <c:axId val="869288320"/>
        <c:axId val="869285440"/>
      </c:lineChart>
      <c:catAx>
        <c:axId val="86928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85440"/>
        <c:crosses val="autoZero"/>
        <c:auto val="1"/>
        <c:lblAlgn val="ctr"/>
        <c:lblOffset val="100"/>
        <c:noMultiLvlLbl val="0"/>
      </c:catAx>
      <c:valAx>
        <c:axId val="8692854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288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'Indepth WC DSO'!$H$40</c:f>
              <c:strCache>
                <c:ptCount val="1"/>
                <c:pt idx="0">
                  <c:v>May</c:v>
                </c:pt>
              </c:strCache>
            </c:strRef>
          </c:tx>
          <c:dPt>
            <c:idx val="0"/>
            <c:bubble3D val="0"/>
            <c:explosion val="14"/>
            <c:spPr>
              <a:solidFill>
                <a:schemeClr val="accent1"/>
              </a:solidFill>
              <a:ln w="19050">
                <a:solidFill>
                  <a:schemeClr val="lt1"/>
                </a:solidFill>
              </a:ln>
              <a:effectLst/>
            </c:spPr>
            <c:extLst>
              <c:ext xmlns:c16="http://schemas.microsoft.com/office/drawing/2014/chart" uri="{C3380CC4-5D6E-409C-BE32-E72D297353CC}">
                <c16:uniqueId val="{00000002-0CBE-460A-95BC-5F441CB89B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F2-4E7B-8317-F16D34376A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F2-4E7B-8317-F16D34376A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AF2-4E7B-8317-F16D34376AD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AF2-4E7B-8317-F16D34376AD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AF2-4E7B-8317-F16D34376AD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AF2-4E7B-8317-F16D34376AD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AF2-4E7B-8317-F16D34376AD7}"/>
              </c:ext>
            </c:extLst>
          </c:dPt>
          <c:dPt>
            <c:idx val="8"/>
            <c:bubble3D val="0"/>
            <c:explosion val="8"/>
            <c:spPr>
              <a:solidFill>
                <a:schemeClr val="accent3">
                  <a:lumMod val="60000"/>
                </a:schemeClr>
              </a:solidFill>
              <a:ln w="19050">
                <a:solidFill>
                  <a:schemeClr val="lt1"/>
                </a:solidFill>
              </a:ln>
              <a:effectLst/>
            </c:spPr>
            <c:extLst>
              <c:ext xmlns:c16="http://schemas.microsoft.com/office/drawing/2014/chart" uri="{C3380CC4-5D6E-409C-BE32-E72D297353CC}">
                <c16:uniqueId val="{00000003-0CBE-460A-95BC-5F441CB89BA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AF2-4E7B-8317-F16D34376AD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'Indepth WC DSO'!$C$57:$C$66</c:f>
              <c:strCache>
                <c:ptCount val="10"/>
                <c:pt idx="0">
                  <c:v>Client 1</c:v>
                </c:pt>
                <c:pt idx="1">
                  <c:v>Client 2</c:v>
                </c:pt>
                <c:pt idx="2">
                  <c:v>Client 3</c:v>
                </c:pt>
                <c:pt idx="3">
                  <c:v>Client 4</c:v>
                </c:pt>
                <c:pt idx="4">
                  <c:v>Client 5</c:v>
                </c:pt>
                <c:pt idx="5">
                  <c:v>Client 6</c:v>
                </c:pt>
                <c:pt idx="6">
                  <c:v>Client 7</c:v>
                </c:pt>
                <c:pt idx="7">
                  <c:v>Client 8</c:v>
                </c:pt>
                <c:pt idx="8">
                  <c:v>Client 9</c:v>
                </c:pt>
                <c:pt idx="9">
                  <c:v>Client 10</c:v>
                </c:pt>
              </c:strCache>
            </c:strRef>
          </c:cat>
          <c:val>
            <c:numRef>
              <c:f>'Indepth WC DSO'!$H$57:$H$66</c:f>
              <c:numCache>
                <c:formatCode>#,##0.00," K$"</c:formatCode>
                <c:ptCount val="10"/>
                <c:pt idx="0">
                  <c:v>6609510</c:v>
                </c:pt>
                <c:pt idx="1">
                  <c:v>3382850</c:v>
                </c:pt>
                <c:pt idx="2">
                  <c:v>1640395</c:v>
                </c:pt>
                <c:pt idx="3">
                  <c:v>2780841</c:v>
                </c:pt>
                <c:pt idx="4">
                  <c:v>1817875</c:v>
                </c:pt>
                <c:pt idx="5">
                  <c:v>1755354</c:v>
                </c:pt>
                <c:pt idx="6">
                  <c:v>1374009</c:v>
                </c:pt>
                <c:pt idx="7">
                  <c:v>2064221</c:v>
                </c:pt>
                <c:pt idx="8">
                  <c:v>3556080</c:v>
                </c:pt>
                <c:pt idx="9">
                  <c:v>2434652</c:v>
                </c:pt>
              </c:numCache>
            </c:numRef>
          </c:val>
          <c:extLst>
            <c:ext xmlns:c16="http://schemas.microsoft.com/office/drawing/2014/chart" uri="{C3380CC4-5D6E-409C-BE32-E72D297353CC}">
              <c16:uniqueId val="{00000000-0CBE-460A-95BC-5F441CB89BA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'Indepth WC DSO'!$H$40</c:f>
              <c:strCache>
                <c:ptCount val="1"/>
                <c:pt idx="0">
                  <c:v>May</c:v>
                </c:pt>
              </c:strCache>
            </c:strRef>
          </c:tx>
          <c:spPr>
            <a:solidFill>
              <a:srgbClr val="62ACC6"/>
            </a:solidFill>
            <a:ln>
              <a:noFill/>
            </a:ln>
            <a:effectLst/>
          </c:spPr>
          <c:invertIfNegative val="0"/>
          <c:dPt>
            <c:idx val="10"/>
            <c:invertIfNegative val="0"/>
            <c:bubble3D val="0"/>
            <c:spPr>
              <a:solidFill>
                <a:schemeClr val="tx2"/>
              </a:solidFill>
              <a:ln>
                <a:noFill/>
              </a:ln>
              <a:effectLst/>
            </c:spPr>
            <c:extLst>
              <c:ext xmlns:c16="http://schemas.microsoft.com/office/drawing/2014/chart" uri="{C3380CC4-5D6E-409C-BE32-E72D297353CC}">
                <c16:uniqueId val="{00000001-03E9-4764-AB9E-81CDC6A24A68}"/>
              </c:ext>
            </c:extLst>
          </c:dPt>
          <c:cat>
            <c:strRef>
              <c:f>'Indepth WC DSO'!$C$68:$C$78</c:f>
              <c:strCache>
                <c:ptCount val="11"/>
                <c:pt idx="0">
                  <c:v>Client 1</c:v>
                </c:pt>
                <c:pt idx="1">
                  <c:v>Client 2</c:v>
                </c:pt>
                <c:pt idx="2">
                  <c:v>Client 3</c:v>
                </c:pt>
                <c:pt idx="3">
                  <c:v>Client 4</c:v>
                </c:pt>
                <c:pt idx="4">
                  <c:v>Client 5</c:v>
                </c:pt>
                <c:pt idx="5">
                  <c:v>Client 6</c:v>
                </c:pt>
                <c:pt idx="6">
                  <c:v>Client 7</c:v>
                </c:pt>
                <c:pt idx="7">
                  <c:v>Client 8</c:v>
                </c:pt>
                <c:pt idx="8">
                  <c:v>Client 9</c:v>
                </c:pt>
                <c:pt idx="9">
                  <c:v>Client 10</c:v>
                </c:pt>
                <c:pt idx="10">
                  <c:v>Company DSO</c:v>
                </c:pt>
              </c:strCache>
            </c:strRef>
          </c:cat>
          <c:val>
            <c:numRef>
              <c:f>'Indepth WC DSO'!$H$68:$H$78</c:f>
              <c:numCache>
                <c:formatCode>0</c:formatCode>
                <c:ptCount val="11"/>
                <c:pt idx="0">
                  <c:v>57.296364661906161</c:v>
                </c:pt>
                <c:pt idx="1">
                  <c:v>90</c:v>
                </c:pt>
                <c:pt idx="2">
                  <c:v>51.654848858478807</c:v>
                </c:pt>
                <c:pt idx="3">
                  <c:v>90</c:v>
                </c:pt>
                <c:pt idx="4">
                  <c:v>73.048360250244215</c:v>
                </c:pt>
                <c:pt idx="5">
                  <c:v>85.052859961614146</c:v>
                </c:pt>
                <c:pt idx="6">
                  <c:v>67.908672604472187</c:v>
                </c:pt>
                <c:pt idx="7">
                  <c:v>53.582403110769242</c:v>
                </c:pt>
                <c:pt idx="8">
                  <c:v>90</c:v>
                </c:pt>
                <c:pt idx="9">
                  <c:v>78.066579307956545</c:v>
                </c:pt>
                <c:pt idx="10">
                  <c:v>70.192604730726558</c:v>
                </c:pt>
              </c:numCache>
            </c:numRef>
          </c:val>
          <c:extLst>
            <c:ext xmlns:c16="http://schemas.microsoft.com/office/drawing/2014/chart" uri="{C3380CC4-5D6E-409C-BE32-E72D297353CC}">
              <c16:uniqueId val="{00000000-03E9-4764-AB9E-81CDC6A24A68}"/>
            </c:ext>
          </c:extLst>
        </c:ser>
        <c:dLbls>
          <c:showLegendKey val="0"/>
          <c:showVal val="0"/>
          <c:showCatName val="0"/>
          <c:showSerName val="0"/>
          <c:showPercent val="0"/>
          <c:showBubbleSize val="0"/>
        </c:dLbls>
        <c:gapWidth val="182"/>
        <c:axId val="1024750448"/>
        <c:axId val="1024751408"/>
      </c:barChart>
      <c:catAx>
        <c:axId val="1024750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751408"/>
        <c:crosses val="autoZero"/>
        <c:auto val="1"/>
        <c:lblAlgn val="ctr"/>
        <c:lblOffset val="100"/>
        <c:noMultiLvlLbl val="0"/>
      </c:catAx>
      <c:valAx>
        <c:axId val="10247514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75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'Indepth WC DIO'!$H$40</c:f>
              <c:strCache>
                <c:ptCount val="1"/>
                <c:pt idx="0">
                  <c:v>May</c:v>
                </c:pt>
              </c:strCache>
            </c:strRef>
          </c:tx>
          <c:dPt>
            <c:idx val="0"/>
            <c:bubble3D val="0"/>
            <c:explosion val="14"/>
            <c:spPr>
              <a:solidFill>
                <a:schemeClr val="accent1"/>
              </a:solidFill>
              <a:ln w="19050">
                <a:solidFill>
                  <a:schemeClr val="lt1"/>
                </a:solidFill>
              </a:ln>
              <a:effectLst/>
            </c:spPr>
            <c:extLst>
              <c:ext xmlns:c16="http://schemas.microsoft.com/office/drawing/2014/chart" uri="{C3380CC4-5D6E-409C-BE32-E72D297353CC}">
                <c16:uniqueId val="{00000001-D476-440C-B47A-CC0B7CE8D8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76-440C-B47A-CC0B7CE8D8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76-440C-B47A-CC0B7CE8D81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76-440C-B47A-CC0B7CE8D81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476-440C-B47A-CC0B7CE8D81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476-440C-B47A-CC0B7CE8D81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'Indepth WC DIO'!$C$53:$C$58</c:f>
              <c:strCache>
                <c:ptCount val="6"/>
                <c:pt idx="0">
                  <c:v>Component 1</c:v>
                </c:pt>
                <c:pt idx="1">
                  <c:v>Component 2</c:v>
                </c:pt>
                <c:pt idx="2">
                  <c:v>Component 3</c:v>
                </c:pt>
                <c:pt idx="3">
                  <c:v>Component 4</c:v>
                </c:pt>
                <c:pt idx="4">
                  <c:v>Component 5</c:v>
                </c:pt>
                <c:pt idx="5">
                  <c:v>Component 6</c:v>
                </c:pt>
              </c:strCache>
            </c:strRef>
          </c:cat>
          <c:val>
            <c:numRef>
              <c:f>'Indepth WC DIO'!$H$53:$H$58</c:f>
              <c:numCache>
                <c:formatCode>#,##0.00," K$"</c:formatCode>
                <c:ptCount val="6"/>
                <c:pt idx="0">
                  <c:v>661583.20000000007</c:v>
                </c:pt>
                <c:pt idx="1">
                  <c:v>957947.75999999989</c:v>
                </c:pt>
                <c:pt idx="2">
                  <c:v>2363213.31</c:v>
                </c:pt>
                <c:pt idx="3">
                  <c:v>1875578</c:v>
                </c:pt>
                <c:pt idx="4">
                  <c:v>1080370</c:v>
                </c:pt>
                <c:pt idx="5">
                  <c:v>2306429</c:v>
                </c:pt>
              </c:numCache>
            </c:numRef>
          </c:val>
          <c:extLst>
            <c:ext xmlns:c16="http://schemas.microsoft.com/office/drawing/2014/chart" uri="{C3380CC4-5D6E-409C-BE32-E72D297353CC}">
              <c16:uniqueId val="{00000014-D476-440C-B47A-CC0B7CE8D81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'Indepth WC DIO'!$H$40</c:f>
              <c:strCache>
                <c:ptCount val="1"/>
                <c:pt idx="0">
                  <c:v>May</c:v>
                </c:pt>
              </c:strCache>
            </c:strRef>
          </c:tx>
          <c:spPr>
            <a:solidFill>
              <a:srgbClr val="62ACC6"/>
            </a:solidFill>
            <a:ln>
              <a:noFill/>
            </a:ln>
            <a:effectLst/>
          </c:spPr>
          <c:invertIfNegative val="0"/>
          <c:dPt>
            <c:idx val="6"/>
            <c:invertIfNegative val="0"/>
            <c:bubble3D val="0"/>
            <c:spPr>
              <a:solidFill>
                <a:schemeClr val="tx2"/>
              </a:solidFill>
              <a:ln>
                <a:noFill/>
              </a:ln>
              <a:effectLst/>
            </c:spPr>
            <c:extLst>
              <c:ext xmlns:c16="http://schemas.microsoft.com/office/drawing/2014/chart" uri="{C3380CC4-5D6E-409C-BE32-E72D297353CC}">
                <c16:uniqueId val="{00000001-D1E4-42E0-A944-34EE515614EA}"/>
              </c:ext>
            </c:extLst>
          </c:dPt>
          <c:cat>
            <c:strRef>
              <c:f>'Indepth WC DIO'!$C$60:$C$66</c:f>
              <c:strCache>
                <c:ptCount val="7"/>
                <c:pt idx="0">
                  <c:v>Component 1</c:v>
                </c:pt>
                <c:pt idx="1">
                  <c:v>Component 2</c:v>
                </c:pt>
                <c:pt idx="2">
                  <c:v>Component 3</c:v>
                </c:pt>
                <c:pt idx="3">
                  <c:v>Component 4</c:v>
                </c:pt>
                <c:pt idx="4">
                  <c:v>Component 5</c:v>
                </c:pt>
                <c:pt idx="5">
                  <c:v>Component 6</c:v>
                </c:pt>
                <c:pt idx="6">
                  <c:v>Company DIO</c:v>
                </c:pt>
              </c:strCache>
            </c:strRef>
          </c:cat>
          <c:val>
            <c:numRef>
              <c:f>'Indepth WC DIO'!$H$60:$H$66</c:f>
              <c:numCache>
                <c:formatCode>0</c:formatCode>
                <c:ptCount val="7"/>
                <c:pt idx="0">
                  <c:v>23.933878305679237</c:v>
                </c:pt>
                <c:pt idx="1">
                  <c:v>13.029667285585898</c:v>
                </c:pt>
                <c:pt idx="2">
                  <c:v>0.89352266278722647</c:v>
                </c:pt>
                <c:pt idx="3">
                  <c:v>39.076456040165162</c:v>
                </c:pt>
                <c:pt idx="4">
                  <c:v>2.0145741690959391</c:v>
                </c:pt>
                <c:pt idx="5">
                  <c:v>2.5589488334605814</c:v>
                </c:pt>
                <c:pt idx="6">
                  <c:v>10.769308056263759</c:v>
                </c:pt>
              </c:numCache>
            </c:numRef>
          </c:val>
          <c:extLst>
            <c:ext xmlns:c16="http://schemas.microsoft.com/office/drawing/2014/chart" uri="{C3380CC4-5D6E-409C-BE32-E72D297353CC}">
              <c16:uniqueId val="{00000002-BC16-489F-B6A1-EF73ACA5A953}"/>
            </c:ext>
          </c:extLst>
        </c:ser>
        <c:dLbls>
          <c:showLegendKey val="0"/>
          <c:showVal val="0"/>
          <c:showCatName val="0"/>
          <c:showSerName val="0"/>
          <c:showPercent val="0"/>
          <c:showBubbleSize val="0"/>
        </c:dLbls>
        <c:gapWidth val="182"/>
        <c:axId val="1024750448"/>
        <c:axId val="1024751408"/>
      </c:barChart>
      <c:catAx>
        <c:axId val="1024750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751408"/>
        <c:crosses val="autoZero"/>
        <c:auto val="1"/>
        <c:lblAlgn val="ctr"/>
        <c:lblOffset val="100"/>
        <c:noMultiLvlLbl val="0"/>
      </c:catAx>
      <c:valAx>
        <c:axId val="10247514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75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'Indepth WC DPO'!$H$41</c:f>
              <c:strCache>
                <c:ptCount val="1"/>
                <c:pt idx="0">
                  <c:v>May</c:v>
                </c:pt>
              </c:strCache>
            </c:strRef>
          </c:tx>
          <c:dPt>
            <c:idx val="0"/>
            <c:bubble3D val="0"/>
            <c:explosion val="14"/>
            <c:spPr>
              <a:solidFill>
                <a:schemeClr val="accent1"/>
              </a:solidFill>
              <a:ln w="19050">
                <a:solidFill>
                  <a:schemeClr val="lt1"/>
                </a:solidFill>
              </a:ln>
              <a:effectLst/>
            </c:spPr>
            <c:extLst>
              <c:ext xmlns:c16="http://schemas.microsoft.com/office/drawing/2014/chart" uri="{C3380CC4-5D6E-409C-BE32-E72D297353CC}">
                <c16:uniqueId val="{00000001-C1D8-41F3-A1FB-174E08E320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D8-41F3-A1FB-174E08E320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D8-41F3-A1FB-174E08E3204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'Indepth WC DPO'!$C$51:$C$53</c:f>
              <c:strCache>
                <c:ptCount val="3"/>
                <c:pt idx="0">
                  <c:v>Supplier A</c:v>
                </c:pt>
                <c:pt idx="1">
                  <c:v>Supplier B</c:v>
                </c:pt>
                <c:pt idx="2">
                  <c:v>Supplier D</c:v>
                </c:pt>
              </c:strCache>
            </c:strRef>
          </c:cat>
          <c:val>
            <c:numRef>
              <c:f>'Indepth WC DPO'!$H$51:$H$53</c:f>
              <c:numCache>
                <c:formatCode>#,##0.00," K$"</c:formatCode>
                <c:ptCount val="3"/>
                <c:pt idx="0">
                  <c:v>14850000</c:v>
                </c:pt>
                <c:pt idx="1">
                  <c:v>10944000</c:v>
                </c:pt>
                <c:pt idx="2">
                  <c:v>3285495</c:v>
                </c:pt>
              </c:numCache>
            </c:numRef>
          </c:val>
          <c:extLst>
            <c:ext xmlns:c16="http://schemas.microsoft.com/office/drawing/2014/chart" uri="{C3380CC4-5D6E-409C-BE32-E72D297353CC}">
              <c16:uniqueId val="{00000014-C1D8-41F3-A1FB-174E08E3204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'Indepth WC DPO'!$H$41</c:f>
              <c:strCache>
                <c:ptCount val="1"/>
                <c:pt idx="0">
                  <c:v>May</c:v>
                </c:pt>
              </c:strCache>
            </c:strRef>
          </c:tx>
          <c:spPr>
            <a:solidFill>
              <a:srgbClr val="62ACC6"/>
            </a:solidFill>
            <a:ln>
              <a:noFill/>
            </a:ln>
            <a:effectLst/>
          </c:spPr>
          <c:invertIfNegative val="0"/>
          <c:dPt>
            <c:idx val="3"/>
            <c:invertIfNegative val="0"/>
            <c:bubble3D val="0"/>
            <c:spPr>
              <a:solidFill>
                <a:schemeClr val="tx2"/>
              </a:solidFill>
              <a:ln>
                <a:noFill/>
              </a:ln>
              <a:effectLst/>
            </c:spPr>
            <c:extLst>
              <c:ext xmlns:c16="http://schemas.microsoft.com/office/drawing/2014/chart" uri="{C3380CC4-5D6E-409C-BE32-E72D297353CC}">
                <c16:uniqueId val="{00000001-ABB0-48A3-A9DE-4ECF3BCC8B8F}"/>
              </c:ext>
            </c:extLst>
          </c:dPt>
          <c:cat>
            <c:strRef>
              <c:f>'Indepth WC DPO'!$C$55:$C$58</c:f>
              <c:strCache>
                <c:ptCount val="4"/>
                <c:pt idx="0">
                  <c:v>Supplier A</c:v>
                </c:pt>
                <c:pt idx="1">
                  <c:v>Supplier B</c:v>
                </c:pt>
                <c:pt idx="2">
                  <c:v>Supplier D</c:v>
                </c:pt>
                <c:pt idx="3">
                  <c:v>Company DPO</c:v>
                </c:pt>
              </c:strCache>
            </c:strRef>
          </c:cat>
          <c:val>
            <c:numRef>
              <c:f>'Indepth WC DPO'!$H$55:$H$58</c:f>
              <c:numCache>
                <c:formatCode>0</c:formatCode>
                <c:ptCount val="4"/>
                <c:pt idx="0">
                  <c:v>118.61762766438068</c:v>
                </c:pt>
                <c:pt idx="1">
                  <c:v>209.09660230758618</c:v>
                </c:pt>
                <c:pt idx="2">
                  <c:v>27.414185077446064</c:v>
                </c:pt>
                <c:pt idx="3">
                  <c:v>95.26260261524007</c:v>
                </c:pt>
              </c:numCache>
            </c:numRef>
          </c:val>
          <c:extLst>
            <c:ext xmlns:c16="http://schemas.microsoft.com/office/drawing/2014/chart" uri="{C3380CC4-5D6E-409C-BE32-E72D297353CC}">
              <c16:uniqueId val="{00000002-38E9-4E86-8ECA-1B1D002D0F8A}"/>
            </c:ext>
          </c:extLst>
        </c:ser>
        <c:dLbls>
          <c:showLegendKey val="0"/>
          <c:showVal val="0"/>
          <c:showCatName val="0"/>
          <c:showSerName val="0"/>
          <c:showPercent val="0"/>
          <c:showBubbleSize val="0"/>
        </c:dLbls>
        <c:gapWidth val="182"/>
        <c:axId val="1024750448"/>
        <c:axId val="1024751408"/>
      </c:barChart>
      <c:catAx>
        <c:axId val="1024750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751408"/>
        <c:crosses val="autoZero"/>
        <c:auto val="1"/>
        <c:lblAlgn val="ctr"/>
        <c:lblOffset val="100"/>
        <c:noMultiLvlLbl val="0"/>
      </c:catAx>
      <c:valAx>
        <c:axId val="10247514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75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chemeClr val="tx2"/>
                </a:solidFill>
                <a:latin typeface="+mn-lt"/>
                <a:ea typeface="+mn-ea"/>
                <a:cs typeface="+mn-cs"/>
              </a:defRPr>
            </a:pPr>
            <a:r>
              <a:rPr lang="fr-FR" b="1" u="sng">
                <a:solidFill>
                  <a:schemeClr val="tx2"/>
                </a:solidFill>
              </a:rPr>
              <a:t>Cost evolution analysis</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'Cost analysis'!$F$21</c:f>
              <c:strCache>
                <c:ptCount val="1"/>
                <c:pt idx="0">
                  <c:v>Variance</c:v>
                </c:pt>
              </c:strCache>
            </c:strRef>
          </c:tx>
          <c:spPr>
            <a:solidFill>
              <a:schemeClr val="accent1"/>
            </a:solidFill>
            <a:ln>
              <a:noFill/>
            </a:ln>
            <a:effectLst/>
          </c:spPr>
          <c:invertIfNegative val="0"/>
          <c:dPt>
            <c:idx val="1"/>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1-5BBA-4601-9D4D-0F86EFA08C9B}"/>
              </c:ext>
            </c:extLst>
          </c:dPt>
          <c:dPt>
            <c:idx val="2"/>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3-5BBA-4601-9D4D-0F86EFA08C9B}"/>
              </c:ext>
            </c:extLst>
          </c:dPt>
          <c:cat>
            <c:strRef>
              <c:f>'Cost analysis'!$C$22:$C$24</c:f>
              <c:strCache>
                <c:ptCount val="3"/>
                <c:pt idx="0">
                  <c:v>Previous period</c:v>
                </c:pt>
                <c:pt idx="1">
                  <c:v>Volume effect</c:v>
                </c:pt>
                <c:pt idx="2">
                  <c:v>Price effect</c:v>
                </c:pt>
              </c:strCache>
            </c:strRef>
          </c:cat>
          <c:val>
            <c:numRef>
              <c:f>'Cost analysis'!$F$22:$F$24</c:f>
              <c:numCache>
                <c:formatCode>#,##0," K$"</c:formatCode>
                <c:ptCount val="3"/>
                <c:pt idx="0">
                  <c:v>-742446.14400000032</c:v>
                </c:pt>
                <c:pt idx="1">
                  <c:v>-149790.19759538778</c:v>
                </c:pt>
                <c:pt idx="2">
                  <c:v>-592655.94640461274</c:v>
                </c:pt>
              </c:numCache>
            </c:numRef>
          </c:val>
          <c:extLst>
            <c:ext xmlns:c16="http://schemas.microsoft.com/office/drawing/2014/chart" uri="{C3380CC4-5D6E-409C-BE32-E72D297353CC}">
              <c16:uniqueId val="{00000004-5BBA-4601-9D4D-0F86EFA08C9B}"/>
            </c:ext>
          </c:extLst>
        </c:ser>
        <c:ser>
          <c:idx val="1"/>
          <c:order val="1"/>
          <c:tx>
            <c:strRef>
              <c:f>'Cost analysis'!$G$21</c:f>
              <c:strCache>
                <c:ptCount val="1"/>
              </c:strCache>
            </c:strRef>
          </c:tx>
          <c:spPr>
            <a:solidFill>
              <a:schemeClr val="accent2"/>
            </a:solidFill>
            <a:ln>
              <a:noFill/>
            </a:ln>
            <a:effectLst/>
          </c:spPr>
          <c:invertIfNegative val="0"/>
          <c:cat>
            <c:strRef>
              <c:f>'Cost analysis'!$C$22:$C$24</c:f>
              <c:strCache>
                <c:ptCount val="3"/>
                <c:pt idx="0">
                  <c:v>Previous period</c:v>
                </c:pt>
                <c:pt idx="1">
                  <c:v>Volume effect</c:v>
                </c:pt>
                <c:pt idx="2">
                  <c:v>Price effect</c:v>
                </c:pt>
              </c:strCache>
            </c:strRef>
          </c:cat>
          <c:val>
            <c:numRef>
              <c:f>'Cost analysis'!$G$22:$G$24</c:f>
              <c:numCache>
                <c:formatCode>#,##0," K$"</c:formatCode>
                <c:ptCount val="3"/>
              </c:numCache>
            </c:numRef>
          </c:val>
          <c:extLst>
            <c:ext xmlns:c16="http://schemas.microsoft.com/office/drawing/2014/chart" uri="{C3380CC4-5D6E-409C-BE32-E72D297353CC}">
              <c16:uniqueId val="{00000005-5BBA-4601-9D4D-0F86EFA08C9B}"/>
            </c:ext>
          </c:extLst>
        </c:ser>
        <c:dLbls>
          <c:showLegendKey val="0"/>
          <c:showVal val="0"/>
          <c:showCatName val="0"/>
          <c:showSerName val="0"/>
          <c:showPercent val="0"/>
          <c:showBubbleSize val="0"/>
        </c:dLbls>
        <c:gapWidth val="219"/>
        <c:overlap val="-27"/>
        <c:axId val="1239304800"/>
        <c:axId val="1239305280"/>
      </c:barChart>
      <c:catAx>
        <c:axId val="1239304800"/>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39305280"/>
        <c:crosses val="autoZero"/>
        <c:auto val="1"/>
        <c:lblAlgn val="l"/>
        <c:lblOffset val="100"/>
        <c:noMultiLvlLbl val="0"/>
      </c:catAx>
      <c:valAx>
        <c:axId val="1239305280"/>
        <c:scaling>
          <c:orientation val="minMax"/>
        </c:scaling>
        <c:delete val="0"/>
        <c:axPos val="l"/>
        <c:majorGridlines>
          <c:spPr>
            <a:ln w="9525" cap="flat" cmpd="sng" algn="ctr">
              <a:solidFill>
                <a:schemeClr val="tx1">
                  <a:lumMod val="15000"/>
                  <a:lumOff val="85000"/>
                </a:schemeClr>
              </a:solidFill>
              <a:round/>
            </a:ln>
            <a:effectLst/>
          </c:spPr>
        </c:majorGridlines>
        <c:numFmt formatCode="#,##0,&quot; 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30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13073053368329"/>
          <c:y val="0.16401327375667688"/>
          <c:w val="0.55516338582677172"/>
          <c:h val="0.73884960775466846"/>
        </c:manualLayout>
      </c:layout>
      <c:pieChart>
        <c:varyColors val="1"/>
        <c:ser>
          <c:idx val="0"/>
          <c:order val="0"/>
          <c:explosion val="19"/>
          <c:dPt>
            <c:idx val="0"/>
            <c:bubble3D val="0"/>
            <c:spPr>
              <a:solidFill>
                <a:schemeClr val="accent1"/>
              </a:solidFill>
              <a:ln w="19050">
                <a:solidFill>
                  <a:schemeClr val="lt1"/>
                </a:solidFill>
              </a:ln>
              <a:effectLst/>
            </c:spPr>
            <c:extLst>
              <c:ext xmlns:c16="http://schemas.microsoft.com/office/drawing/2014/chart" uri="{C3380CC4-5D6E-409C-BE32-E72D297353CC}">
                <c16:uniqueId val="{00000016-1DA6-45BE-8404-DFF1F13371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1DA6-45BE-8404-DFF1F13371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1DA6-45BE-8404-DFF1F13371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C-1DA6-45BE-8404-DFF1F13371E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1DA6-45BE-8404-DFF1F13371E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0-1DA6-45BE-8404-DFF1F13371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f>'Cost analysis'!$X$43:$X$48</c:f>
              <c:strCache>
                <c:ptCount val="6"/>
                <c:pt idx="0">
                  <c:v>Component 1</c:v>
                </c:pt>
                <c:pt idx="1">
                  <c:v>Component 2</c:v>
                </c:pt>
                <c:pt idx="2">
                  <c:v>Component 3</c:v>
                </c:pt>
                <c:pt idx="3">
                  <c:v>Component 4</c:v>
                </c:pt>
                <c:pt idx="4">
                  <c:v>Component 5</c:v>
                </c:pt>
                <c:pt idx="5">
                  <c:v>Component 6</c:v>
                </c:pt>
              </c:strCache>
            </c:strRef>
          </c:cat>
          <c:val>
            <c:numRef>
              <c:f>'Cost analysis'!$Y$43:$Y$48</c:f>
              <c:numCache>
                <c:formatCode>#,##0.00," K$"</c:formatCode>
                <c:ptCount val="6"/>
                <c:pt idx="0">
                  <c:v>715560.8</c:v>
                </c:pt>
                <c:pt idx="1">
                  <c:v>843424.5</c:v>
                </c:pt>
                <c:pt idx="2">
                  <c:v>2132295.12</c:v>
                </c:pt>
                <c:pt idx="3">
                  <c:v>1633814</c:v>
                </c:pt>
                <c:pt idx="4">
                  <c:v>845158</c:v>
                </c:pt>
                <c:pt idx="5">
                  <c:v>1805512</c:v>
                </c:pt>
              </c:numCache>
            </c:numRef>
          </c:val>
          <c:extLst>
            <c:ext xmlns:c16="http://schemas.microsoft.com/office/drawing/2014/chart" uri="{C3380CC4-5D6E-409C-BE32-E72D297353CC}">
              <c16:uniqueId val="{00000029-1DA6-45BE-8404-DFF1F13371E9}"/>
            </c:ext>
          </c:extLst>
        </c:ser>
        <c:dLbls>
          <c:showLegendKey val="0"/>
          <c:showVal val="0"/>
          <c:showCatName val="1"/>
          <c:showSerName val="0"/>
          <c:showPercent val="1"/>
          <c:showBubbleSize val="0"/>
          <c:showLeaderLines val="1"/>
        </c:dLbls>
        <c:firstSliceAng val="0"/>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69386789151356076"/>
          <c:y val="1.1090573012939002E-2"/>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13073053368329"/>
          <c:y val="0.16401327375667688"/>
          <c:w val="0.55516338582677172"/>
          <c:h val="0.73884960775466846"/>
        </c:manualLayout>
      </c:layout>
      <c:pieChart>
        <c:varyColors val="1"/>
        <c:ser>
          <c:idx val="1"/>
          <c:order val="1"/>
          <c:tx>
            <c:strRef>
              <c:f>'Cost analysis'!$E$43</c:f>
              <c:strCache>
                <c:ptCount val="1"/>
                <c:pt idx="0">
                  <c:v>Cost impact</c:v>
                </c:pt>
              </c:strCache>
            </c:strRef>
          </c:tx>
          <c:explosion val="2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34-4F29-A742-890A13DE87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34-4F29-A742-890A13DE87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34-4F29-A742-890A13DE87A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34-4F29-A742-890A13DE87A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C34-4F29-A742-890A13DE87A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C34-4F29-A742-890A13DE87A5}"/>
              </c:ext>
            </c:extLst>
          </c:dPt>
          <c:dLbls>
            <c:dLbl>
              <c:idx val="5"/>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B-CC34-4F29-A742-890A13DE87A5}"/>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'Cost analysis'!$C$44:$C$49</c:f>
              <c:strCache>
                <c:ptCount val="6"/>
                <c:pt idx="0">
                  <c:v>Component 3</c:v>
                </c:pt>
                <c:pt idx="1">
                  <c:v>Component 6</c:v>
                </c:pt>
                <c:pt idx="2">
                  <c:v>Component 4</c:v>
                </c:pt>
                <c:pt idx="3">
                  <c:v>Component 5</c:v>
                </c:pt>
                <c:pt idx="4">
                  <c:v>Component 2</c:v>
                </c:pt>
                <c:pt idx="5">
                  <c:v>Component 1</c:v>
                </c:pt>
              </c:strCache>
            </c:strRef>
          </c:cat>
          <c:val>
            <c:numRef>
              <c:f>'Cost analysis'!$E$44:$E$49</c:f>
              <c:numCache>
                <c:formatCode>0%</c:formatCode>
                <c:ptCount val="6"/>
                <c:pt idx="0">
                  <c:v>0.26010968636004222</c:v>
                </c:pt>
                <c:pt idx="1">
                  <c:v>0.22024679212288989</c:v>
                </c:pt>
                <c:pt idx="2">
                  <c:v>0.19930207743037276</c:v>
                </c:pt>
                <c:pt idx="3">
                  <c:v>0.10309725902513933</c:v>
                </c:pt>
                <c:pt idx="4">
                  <c:v>0.10288579667310566</c:v>
                </c:pt>
                <c:pt idx="5">
                  <c:v>8.728824331762336E-2</c:v>
                </c:pt>
              </c:numCache>
            </c:numRef>
          </c:val>
          <c:extLst>
            <c:ext xmlns:c16="http://schemas.microsoft.com/office/drawing/2014/chart" uri="{C3380CC4-5D6E-409C-BE32-E72D297353CC}">
              <c16:uniqueId val="{00000014-CC34-4F29-A742-890A13DE87A5}"/>
            </c:ext>
          </c:extLst>
        </c:ser>
        <c:dLbls>
          <c:showLegendKey val="0"/>
          <c:showVal val="0"/>
          <c:showCatName val="1"/>
          <c:showSerName val="0"/>
          <c:showPercent val="1"/>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'Cost analysis'!$D$43</c15:sqref>
                        </c15:formulaRef>
                      </c:ext>
                    </c:extLst>
                    <c:strCache>
                      <c:ptCount val="1"/>
                      <c:pt idx="0">
                        <c:v>Cost Impact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CC34-4F29-A742-890A13DE87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CC34-4F29-A742-890A13DE87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CC34-4F29-A742-890A13DE87A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C-CC34-4F29-A742-890A13DE87A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CC34-4F29-A742-890A13DE87A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0-CC34-4F29-A742-890A13DE87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'Cost analysis'!$C$44:$C$49</c15:sqref>
                        </c15:formulaRef>
                      </c:ext>
                    </c:extLst>
                    <c:strCache>
                      <c:ptCount val="6"/>
                      <c:pt idx="0">
                        <c:v>Component 3</c:v>
                      </c:pt>
                      <c:pt idx="1">
                        <c:v>Component 6</c:v>
                      </c:pt>
                      <c:pt idx="2">
                        <c:v>Component 4</c:v>
                      </c:pt>
                      <c:pt idx="3">
                        <c:v>Component 5</c:v>
                      </c:pt>
                      <c:pt idx="4">
                        <c:v>Component 2</c:v>
                      </c:pt>
                      <c:pt idx="5">
                        <c:v>Component 1</c:v>
                      </c:pt>
                    </c:strCache>
                  </c:strRef>
                </c:cat>
                <c:val>
                  <c:numRef>
                    <c:extLst>
                      <c:ext uri="{02D57815-91ED-43cb-92C2-25804820EDAC}">
                        <c15:formulaRef>
                          <c15:sqref>'Cost analysis'!$D$44:$D$49</c15:sqref>
                        </c15:formulaRef>
                      </c:ext>
                    </c:extLst>
                    <c:numCache>
                      <c:formatCode>#,##0," K$"</c:formatCode>
                      <c:ptCount val="6"/>
                      <c:pt idx="0">
                        <c:v>2132295.12</c:v>
                      </c:pt>
                      <c:pt idx="1">
                        <c:v>1805512</c:v>
                      </c:pt>
                      <c:pt idx="2">
                        <c:v>1633814</c:v>
                      </c:pt>
                      <c:pt idx="3">
                        <c:v>845158</c:v>
                      </c:pt>
                      <c:pt idx="4">
                        <c:v>843424.5</c:v>
                      </c:pt>
                      <c:pt idx="5">
                        <c:v>715560.8</c:v>
                      </c:pt>
                    </c:numCache>
                  </c:numRef>
                </c:val>
                <c:extLst>
                  <c:ext xmlns:c16="http://schemas.microsoft.com/office/drawing/2014/chart" uri="{C3380CC4-5D6E-409C-BE32-E72D297353CC}">
                    <c16:uniqueId val="{00000029-CC34-4F29-A742-890A13DE87A5}"/>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69386789151356076"/>
          <c:y val="1.1090573012939002E-2"/>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13073053368329"/>
          <c:y val="0.16401327375667688"/>
          <c:w val="0.55516338582677172"/>
          <c:h val="0.73884960775466846"/>
        </c:manualLayout>
      </c:layout>
      <c:pieChart>
        <c:varyColors val="1"/>
        <c:ser>
          <c:idx val="1"/>
          <c:order val="1"/>
          <c:tx>
            <c:strRef>
              <c:f>'Cost analysis'!$E$43</c:f>
              <c:strCache>
                <c:ptCount val="1"/>
                <c:pt idx="0">
                  <c:v>Cost impact</c:v>
                </c:pt>
              </c:strCache>
            </c:strRef>
          </c:tx>
          <c:explosion val="2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A9-434D-A706-7EFA948181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A9-434D-A706-7EFA948181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A9-434D-A706-7EFA948181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A9-434D-A706-7EFA9481810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3A9-434D-A706-7EFA9481810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3A9-434D-A706-7EFA9481810C}"/>
              </c:ext>
            </c:extLst>
          </c:dPt>
          <c:dLbls>
            <c:dLbl>
              <c:idx val="5"/>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B-33A9-434D-A706-7EFA9481810C}"/>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'Cost analysis'!$C$44:$C$49</c:f>
              <c:strCache>
                <c:ptCount val="6"/>
                <c:pt idx="0">
                  <c:v>Component 3</c:v>
                </c:pt>
                <c:pt idx="1">
                  <c:v>Component 6</c:v>
                </c:pt>
                <c:pt idx="2">
                  <c:v>Component 4</c:v>
                </c:pt>
                <c:pt idx="3">
                  <c:v>Component 5</c:v>
                </c:pt>
                <c:pt idx="4">
                  <c:v>Component 2</c:v>
                </c:pt>
                <c:pt idx="5">
                  <c:v>Component 1</c:v>
                </c:pt>
              </c:strCache>
            </c:strRef>
          </c:cat>
          <c:val>
            <c:numRef>
              <c:f>'Cost analysis'!$E$44:$E$49</c:f>
              <c:numCache>
                <c:formatCode>0%</c:formatCode>
                <c:ptCount val="6"/>
                <c:pt idx="0">
                  <c:v>0.26010968636004222</c:v>
                </c:pt>
                <c:pt idx="1">
                  <c:v>0.22024679212288989</c:v>
                </c:pt>
                <c:pt idx="2">
                  <c:v>0.19930207743037276</c:v>
                </c:pt>
                <c:pt idx="3">
                  <c:v>0.10309725902513933</c:v>
                </c:pt>
                <c:pt idx="4">
                  <c:v>0.10288579667310566</c:v>
                </c:pt>
                <c:pt idx="5">
                  <c:v>8.728824331762336E-2</c:v>
                </c:pt>
              </c:numCache>
            </c:numRef>
          </c:val>
          <c:extLst>
            <c:ext xmlns:c16="http://schemas.microsoft.com/office/drawing/2014/chart" uri="{C3380CC4-5D6E-409C-BE32-E72D297353CC}">
              <c16:uniqueId val="{00000014-33A9-434D-A706-7EFA9481810C}"/>
            </c:ext>
          </c:extLst>
        </c:ser>
        <c:dLbls>
          <c:showLegendKey val="0"/>
          <c:showVal val="0"/>
          <c:showCatName val="1"/>
          <c:showSerName val="0"/>
          <c:showPercent val="1"/>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'Cost analysis'!$D$43</c15:sqref>
                        </c15:formulaRef>
                      </c:ext>
                    </c:extLst>
                    <c:strCache>
                      <c:ptCount val="1"/>
                      <c:pt idx="0">
                        <c:v>Cost Impact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33A9-434D-A706-7EFA948181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33A9-434D-A706-7EFA948181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33A9-434D-A706-7EFA948181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C-33A9-434D-A706-7EFA9481810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33A9-434D-A706-7EFA9481810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0-33A9-434D-A706-7EFA948181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'Cost analysis'!$C$44:$C$49</c15:sqref>
                        </c15:formulaRef>
                      </c:ext>
                    </c:extLst>
                    <c:strCache>
                      <c:ptCount val="6"/>
                      <c:pt idx="0">
                        <c:v>Component 3</c:v>
                      </c:pt>
                      <c:pt idx="1">
                        <c:v>Component 6</c:v>
                      </c:pt>
                      <c:pt idx="2">
                        <c:v>Component 4</c:v>
                      </c:pt>
                      <c:pt idx="3">
                        <c:v>Component 5</c:v>
                      </c:pt>
                      <c:pt idx="4">
                        <c:v>Component 2</c:v>
                      </c:pt>
                      <c:pt idx="5">
                        <c:v>Component 1</c:v>
                      </c:pt>
                    </c:strCache>
                  </c:strRef>
                </c:cat>
                <c:val>
                  <c:numRef>
                    <c:extLst>
                      <c:ext uri="{02D57815-91ED-43cb-92C2-25804820EDAC}">
                        <c15:formulaRef>
                          <c15:sqref>'Cost analysis'!$D$44:$D$49</c15:sqref>
                        </c15:formulaRef>
                      </c:ext>
                    </c:extLst>
                    <c:numCache>
                      <c:formatCode>#,##0," K$"</c:formatCode>
                      <c:ptCount val="6"/>
                      <c:pt idx="0">
                        <c:v>2132295.12</c:v>
                      </c:pt>
                      <c:pt idx="1">
                        <c:v>1805512</c:v>
                      </c:pt>
                      <c:pt idx="2">
                        <c:v>1633814</c:v>
                      </c:pt>
                      <c:pt idx="3">
                        <c:v>845158</c:v>
                      </c:pt>
                      <c:pt idx="4">
                        <c:v>843424.5</c:v>
                      </c:pt>
                      <c:pt idx="5">
                        <c:v>715560.8</c:v>
                      </c:pt>
                    </c:numCache>
                  </c:numRef>
                </c:val>
                <c:extLst>
                  <c:ext xmlns:c16="http://schemas.microsoft.com/office/drawing/2014/chart" uri="{C3380CC4-5D6E-409C-BE32-E72D297353CC}">
                    <c16:uniqueId val="{00000029-33A9-434D-A706-7EFA9481810C}"/>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'Last 12M'!$G$7:$R$7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'Last 12M'!$G$8:$R$8</c:f>
              <c:numCache>
                <c:formatCode>_-[$$-409]* #,##0.00_ ;_-[$$-409]* \-#,##0.00\ ;_-[$$-409]* "-"??_ ;_-@_ </c:formatCode>
                <c:ptCount val="12"/>
                <c:pt idx="0">
                  <c:v>13745707</c:v>
                </c:pt>
                <c:pt idx="1">
                  <c:v>12726467</c:v>
                </c:pt>
                <c:pt idx="2">
                  <c:v>10796660</c:v>
                </c:pt>
                <c:pt idx="3">
                  <c:v>12478398</c:v>
                </c:pt>
                <c:pt idx="4">
                  <c:v>11877090</c:v>
                </c:pt>
                <c:pt idx="5">
                  <c:v>12577816</c:v>
                </c:pt>
                <c:pt idx="6">
                  <c:v>13117891</c:v>
                </c:pt>
                <c:pt idx="7">
                  <c:v>11066732</c:v>
                </c:pt>
                <c:pt idx="8">
                  <c:v>11487586</c:v>
                </c:pt>
                <c:pt idx="9">
                  <c:v>11353191</c:v>
                </c:pt>
                <c:pt idx="10">
                  <c:v>11279738</c:v>
                </c:pt>
                <c:pt idx="11">
                  <c:v>10797568</c:v>
                </c:pt>
              </c:numCache>
            </c:numRef>
          </c:val>
          <c:smooth val="1"/>
          <c:extLst>
            <c:ext xmlns:c16="http://schemas.microsoft.com/office/drawing/2014/chart" uri="{C3380CC4-5D6E-409C-BE32-E72D297353CC}">
              <c16:uniqueId val="{00000000-C3FF-4FF8-8700-8B301E474351}"/>
            </c:ext>
          </c:extLst>
        </c:ser>
        <c:dLbls>
          <c:showLegendKey val="0"/>
          <c:showVal val="0"/>
          <c:showCatName val="0"/>
          <c:showSerName val="0"/>
          <c:showPercent val="0"/>
          <c:showBubbleSize val="0"/>
        </c:dLbls>
        <c:smooth val="0"/>
        <c:axId val="357901903"/>
        <c:axId val="357912463"/>
      </c:lineChart>
      <c:catAx>
        <c:axId val="35790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912463"/>
        <c:crosses val="autoZero"/>
        <c:auto val="1"/>
        <c:lblAlgn val="ctr"/>
        <c:lblOffset val="100"/>
        <c:noMultiLvlLbl val="0"/>
      </c:catAx>
      <c:valAx>
        <c:axId val="35791246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90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Reversed" id="25">
  <a:schemeClr val="accent5"/>
</cs:colorStyle>
</file>

<file path=xl/charts/colors24.xml><?xml version="1.0" encoding="utf-8"?>
<cs:colorStyle xmlns:cs="http://schemas.microsoft.com/office/drawing/2012/chartStyle" xmlns:a="http://schemas.openxmlformats.org/drawingml/2006/main" meth="withinLinearReversed" id="25">
  <a:schemeClr val="accent5"/>
</cs:colorStyle>
</file>

<file path=xl/charts/colors25.xml><?xml version="1.0" encoding="utf-8"?>
<cs:colorStyle xmlns:cs="http://schemas.microsoft.com/office/drawing/2012/chartStyle" xmlns:a="http://schemas.openxmlformats.org/drawingml/2006/main" meth="withinLinearReversed" id="25">
  <a:schemeClr val="accent5"/>
</cs:colorStyle>
</file>

<file path=xl/charts/colors26.xml><?xml version="1.0" encoding="utf-8"?>
<cs:colorStyle xmlns:cs="http://schemas.microsoft.com/office/drawing/2012/chartStyle" xmlns:a="http://schemas.openxmlformats.org/drawingml/2006/main" meth="withinLinearReversed" id="25">
  <a:schemeClr val="accent5"/>
</cs:colorStyle>
</file>

<file path=xl/charts/colors27.xml><?xml version="1.0" encoding="utf-8"?>
<cs:colorStyle xmlns:cs="http://schemas.microsoft.com/office/drawing/2012/chartStyle" xmlns:a="http://schemas.openxmlformats.org/drawingml/2006/main" meth="withinLinearReversed" id="25">
  <a:schemeClr val="accent5"/>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C7B174C-9290-43D7-A6A2-C3702F4F50C0}">
  <sheetPr/>
  <sheetViews>
    <sheetView zoomScale="7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7DE1F6D-D420-427F-8276-E537A19DE5AA}">
  <sheetPr codeName="Chart27"/>
  <sheetViews>
    <sheetView zoomScale="6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Dashboard Aifina'!A1"/><Relationship Id="rId2" Type="http://schemas.microsoft.com/office/2007/relationships/hdphoto" Target="../media/hdphoto1.wdp"/><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8" Type="http://schemas.openxmlformats.org/officeDocument/2006/relationships/hyperlink" Target="#'Indepth WC DSO'!A1"/><Relationship Id="rId13" Type="http://schemas.openxmlformats.org/officeDocument/2006/relationships/hyperlink" Target="#'P&amp;L Page YTD'!A1"/><Relationship Id="rId18" Type="http://schemas.openxmlformats.org/officeDocument/2006/relationships/hyperlink" Target="#'Benchmark - Financial analytics'!A1"/><Relationship Id="rId3" Type="http://schemas.openxmlformats.org/officeDocument/2006/relationships/chart" Target="../charts/chart4.xml"/><Relationship Id="rId21" Type="http://schemas.openxmlformats.org/officeDocument/2006/relationships/image" Target="../media/image1.png"/><Relationship Id="rId7" Type="http://schemas.openxmlformats.org/officeDocument/2006/relationships/hyperlink" Target="#'Working capital evolution'!A1"/><Relationship Id="rId12" Type="http://schemas.openxmlformats.org/officeDocument/2006/relationships/hyperlink" Target="#'Monthly CashFlow'!A1"/><Relationship Id="rId17" Type="http://schemas.openxmlformats.org/officeDocument/2006/relationships/hyperlink" Target="#'Benchmark - General'!A1"/><Relationship Id="rId2" Type="http://schemas.openxmlformats.org/officeDocument/2006/relationships/chart" Target="../charts/chart3.xml"/><Relationship Id="rId16" Type="http://schemas.openxmlformats.org/officeDocument/2006/relationships/hyperlink" Target="#'Forecasted P&amp;L'!A1"/><Relationship Id="rId20" Type="http://schemas.openxmlformats.org/officeDocument/2006/relationships/hyperlink" Target="#'Dashboard Aifina'!A1"/><Relationship Id="rId1" Type="http://schemas.openxmlformats.org/officeDocument/2006/relationships/chart" Target="../charts/chart2.xml"/><Relationship Id="rId6" Type="http://schemas.openxmlformats.org/officeDocument/2006/relationships/hyperlink" Target="#'Revenue analysis'!A1"/><Relationship Id="rId11" Type="http://schemas.openxmlformats.org/officeDocument/2006/relationships/hyperlink" Target="#'Balance Sheet'!A1"/><Relationship Id="rId5" Type="http://schemas.openxmlformats.org/officeDocument/2006/relationships/chart" Target="../charts/chart6.xml"/><Relationship Id="rId15" Type="http://schemas.openxmlformats.org/officeDocument/2006/relationships/hyperlink" Target="#'P&amp;L Budget'!A1"/><Relationship Id="rId10" Type="http://schemas.openxmlformats.org/officeDocument/2006/relationships/hyperlink" Target="#'P&amp;L Page'!A1"/><Relationship Id="rId19" Type="http://schemas.openxmlformats.org/officeDocument/2006/relationships/hyperlink" Target="#'Benchmark - Strategic inputs'!A1"/><Relationship Id="rId4" Type="http://schemas.openxmlformats.org/officeDocument/2006/relationships/chart" Target="../charts/chart5.xml"/><Relationship Id="rId9" Type="http://schemas.openxmlformats.org/officeDocument/2006/relationships/hyperlink" Target="#'Executive summary'!A1"/><Relationship Id="rId14" Type="http://schemas.openxmlformats.org/officeDocument/2006/relationships/hyperlink" Target="#'LTM P&amp;L'!A1"/><Relationship Id="rId22" Type="http://schemas.microsoft.com/office/2007/relationships/hdphoto" Target="../media/hdphoto1.wdp"/></Relationships>
</file>

<file path=xl/drawings/_rels/drawing6.xml.rels><?xml version="1.0" encoding="UTF-8" standalone="yes"?>
<Relationships xmlns="http://schemas.openxmlformats.org/package/2006/relationships"><Relationship Id="rId13" Type="http://schemas.openxmlformats.org/officeDocument/2006/relationships/chart" Target="../charts/chart19.xml"/><Relationship Id="rId18" Type="http://schemas.openxmlformats.org/officeDocument/2006/relationships/chart" Target="../charts/chart24.xml"/><Relationship Id="rId26" Type="http://schemas.openxmlformats.org/officeDocument/2006/relationships/hyperlink" Target="#'P&amp;L Page'!A1"/><Relationship Id="rId21" Type="http://schemas.openxmlformats.org/officeDocument/2006/relationships/chart" Target="../charts/chart27.xml"/><Relationship Id="rId34" Type="http://schemas.openxmlformats.org/officeDocument/2006/relationships/hyperlink" Target="#'Benchmark - Financial analytics'!A1"/><Relationship Id="rId7" Type="http://schemas.openxmlformats.org/officeDocument/2006/relationships/chart" Target="../charts/chart13.xml"/><Relationship Id="rId12" Type="http://schemas.openxmlformats.org/officeDocument/2006/relationships/chart" Target="../charts/chart18.xml"/><Relationship Id="rId17" Type="http://schemas.openxmlformats.org/officeDocument/2006/relationships/chart" Target="../charts/chart23.xml"/><Relationship Id="rId25" Type="http://schemas.openxmlformats.org/officeDocument/2006/relationships/hyperlink" Target="#'Executive summary'!A1"/><Relationship Id="rId33" Type="http://schemas.openxmlformats.org/officeDocument/2006/relationships/hyperlink" Target="#'Benchmark - General'!A1"/><Relationship Id="rId38" Type="http://schemas.microsoft.com/office/2007/relationships/hdphoto" Target="../media/hdphoto1.wdp"/><Relationship Id="rId2" Type="http://schemas.openxmlformats.org/officeDocument/2006/relationships/chart" Target="../charts/chart8.xml"/><Relationship Id="rId16" Type="http://schemas.openxmlformats.org/officeDocument/2006/relationships/chart" Target="../charts/chart22.xml"/><Relationship Id="rId20" Type="http://schemas.openxmlformats.org/officeDocument/2006/relationships/chart" Target="../charts/chart26.xml"/><Relationship Id="rId29" Type="http://schemas.openxmlformats.org/officeDocument/2006/relationships/hyperlink" Target="#'P&amp;L Page YTD'!A1"/><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24" Type="http://schemas.openxmlformats.org/officeDocument/2006/relationships/hyperlink" Target="#'Indepth WC DSO'!A1"/><Relationship Id="rId32" Type="http://schemas.openxmlformats.org/officeDocument/2006/relationships/hyperlink" Target="#'Forecasted P&amp;L'!A1"/><Relationship Id="rId37" Type="http://schemas.openxmlformats.org/officeDocument/2006/relationships/image" Target="../media/image1.png"/><Relationship Id="rId5" Type="http://schemas.openxmlformats.org/officeDocument/2006/relationships/chart" Target="../charts/chart11.xml"/><Relationship Id="rId15" Type="http://schemas.openxmlformats.org/officeDocument/2006/relationships/chart" Target="../charts/chart21.xml"/><Relationship Id="rId23" Type="http://schemas.openxmlformats.org/officeDocument/2006/relationships/hyperlink" Target="#'Working capital evolution'!A1"/><Relationship Id="rId28" Type="http://schemas.openxmlformats.org/officeDocument/2006/relationships/hyperlink" Target="#'Monthly CashFlow'!A1"/><Relationship Id="rId36" Type="http://schemas.openxmlformats.org/officeDocument/2006/relationships/hyperlink" Target="#'Dashboard Aifina'!A1"/><Relationship Id="rId10" Type="http://schemas.openxmlformats.org/officeDocument/2006/relationships/chart" Target="../charts/chart16.xml"/><Relationship Id="rId19" Type="http://schemas.openxmlformats.org/officeDocument/2006/relationships/chart" Target="../charts/chart25.xml"/><Relationship Id="rId31" Type="http://schemas.openxmlformats.org/officeDocument/2006/relationships/hyperlink" Target="#'P&amp;L Budget'!A1"/><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chart" Target="../charts/chart20.xml"/><Relationship Id="rId22" Type="http://schemas.openxmlformats.org/officeDocument/2006/relationships/hyperlink" Target="#'Revenue analysis'!A1"/><Relationship Id="rId27" Type="http://schemas.openxmlformats.org/officeDocument/2006/relationships/hyperlink" Target="#'Balance Sheet'!A1"/><Relationship Id="rId30" Type="http://schemas.openxmlformats.org/officeDocument/2006/relationships/hyperlink" Target="#'LTM P&amp;L'!A1"/><Relationship Id="rId35" Type="http://schemas.openxmlformats.org/officeDocument/2006/relationships/hyperlink" Target="#'Benchmark - Strategic inputs'!A1"/><Relationship Id="rId8" Type="http://schemas.openxmlformats.org/officeDocument/2006/relationships/chart" Target="../charts/chart14.xml"/><Relationship Id="rId3"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8.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9.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10.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11.xml.rels><?xml version="1.0" encoding="UTF-8" standalone="yes"?>
<Relationships xmlns="http://schemas.openxmlformats.org/package/2006/relationships"><Relationship Id="rId8" Type="http://schemas.openxmlformats.org/officeDocument/2006/relationships/hyperlink" Target="#'P&amp;L Page'!A1"/><Relationship Id="rId13" Type="http://schemas.openxmlformats.org/officeDocument/2006/relationships/hyperlink" Target="#'P&amp;L Budget'!A1"/><Relationship Id="rId18" Type="http://schemas.openxmlformats.org/officeDocument/2006/relationships/hyperlink" Target="#'Dashboard Aifina'!A1"/><Relationship Id="rId3" Type="http://schemas.openxmlformats.org/officeDocument/2006/relationships/chart" Target="../charts/chart30.xml"/><Relationship Id="rId7" Type="http://schemas.openxmlformats.org/officeDocument/2006/relationships/hyperlink" Target="#'Executive summary'!A1"/><Relationship Id="rId12" Type="http://schemas.openxmlformats.org/officeDocument/2006/relationships/hyperlink" Target="#'LTM P&amp;L'!A1"/><Relationship Id="rId17" Type="http://schemas.openxmlformats.org/officeDocument/2006/relationships/hyperlink" Target="#'Benchmark - Strategic inputs'!A1"/><Relationship Id="rId2" Type="http://schemas.openxmlformats.org/officeDocument/2006/relationships/chart" Target="../charts/chart29.xml"/><Relationship Id="rId16" Type="http://schemas.openxmlformats.org/officeDocument/2006/relationships/hyperlink" Target="#'Benchmark - Financial analytics'!A1"/><Relationship Id="rId20" Type="http://schemas.microsoft.com/office/2007/relationships/hdphoto" Target="../media/hdphoto1.wdp"/><Relationship Id="rId1" Type="http://schemas.openxmlformats.org/officeDocument/2006/relationships/chart" Target="../charts/chart28.xml"/><Relationship Id="rId6" Type="http://schemas.openxmlformats.org/officeDocument/2006/relationships/hyperlink" Target="#'Indepth WC DSO'!A1"/><Relationship Id="rId11" Type="http://schemas.openxmlformats.org/officeDocument/2006/relationships/hyperlink" Target="#'P&amp;L Page YTD'!A1"/><Relationship Id="rId5" Type="http://schemas.openxmlformats.org/officeDocument/2006/relationships/hyperlink" Target="#'Working capital evolution'!A1"/><Relationship Id="rId15" Type="http://schemas.openxmlformats.org/officeDocument/2006/relationships/hyperlink" Target="#'Benchmark - General'!A1"/><Relationship Id="rId10" Type="http://schemas.openxmlformats.org/officeDocument/2006/relationships/hyperlink" Target="#'Monthly CashFlow'!A1"/><Relationship Id="rId19" Type="http://schemas.openxmlformats.org/officeDocument/2006/relationships/image" Target="../media/image1.png"/><Relationship Id="rId4" Type="http://schemas.openxmlformats.org/officeDocument/2006/relationships/hyperlink" Target="#'Revenue analysis'!A1"/><Relationship Id="rId9" Type="http://schemas.openxmlformats.org/officeDocument/2006/relationships/hyperlink" Target="#'Balance Sheet'!A1"/><Relationship Id="rId14" Type="http://schemas.openxmlformats.org/officeDocument/2006/relationships/hyperlink" Target="#'Forecasted P&amp;L'!A1"/></Relationships>
</file>

<file path=xl/drawings/_rels/drawing12.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13.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14.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15.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16.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17.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18.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19.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20.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21.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22.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23.xml.rels><?xml version="1.0" encoding="UTF-8" standalone="yes"?>
<Relationships xmlns="http://schemas.openxmlformats.org/package/2006/relationships"><Relationship Id="rId8" Type="http://schemas.openxmlformats.org/officeDocument/2006/relationships/hyperlink" Target="#'P&amp;L Page YTD'!A1"/><Relationship Id="rId13" Type="http://schemas.openxmlformats.org/officeDocument/2006/relationships/hyperlink" Target="#'Benchmark - Financial analytics'!A1"/><Relationship Id="rId3" Type="http://schemas.openxmlformats.org/officeDocument/2006/relationships/hyperlink" Target="#'Indepth WC DSO'!A1"/><Relationship Id="rId7" Type="http://schemas.openxmlformats.org/officeDocument/2006/relationships/hyperlink" Target="#'Monthly CashFlow'!A1"/><Relationship Id="rId12" Type="http://schemas.openxmlformats.org/officeDocument/2006/relationships/hyperlink" Target="#'Benchmark - General'!A1"/><Relationship Id="rId17" Type="http://schemas.microsoft.com/office/2007/relationships/hdphoto" Target="../media/hdphoto1.wdp"/><Relationship Id="rId2" Type="http://schemas.openxmlformats.org/officeDocument/2006/relationships/hyperlink" Target="#'Working capital evolution'!A1"/><Relationship Id="rId16" Type="http://schemas.openxmlformats.org/officeDocument/2006/relationships/image" Target="../media/image1.png"/><Relationship Id="rId1" Type="http://schemas.openxmlformats.org/officeDocument/2006/relationships/hyperlink" Target="#'Revenue analysis'!A1"/><Relationship Id="rId6" Type="http://schemas.openxmlformats.org/officeDocument/2006/relationships/hyperlink" Target="#'Balance Sheet'!A1"/><Relationship Id="rId11" Type="http://schemas.openxmlformats.org/officeDocument/2006/relationships/hyperlink" Target="#'Forecasted P&amp;L'!A1"/><Relationship Id="rId5" Type="http://schemas.openxmlformats.org/officeDocument/2006/relationships/hyperlink" Target="#'P&amp;L Page'!A1"/><Relationship Id="rId15" Type="http://schemas.openxmlformats.org/officeDocument/2006/relationships/hyperlink" Target="#'Dashboard Aifina'!A1"/><Relationship Id="rId10" Type="http://schemas.openxmlformats.org/officeDocument/2006/relationships/hyperlink" Target="#'P&amp;L Budget'!A1"/><Relationship Id="rId4" Type="http://schemas.openxmlformats.org/officeDocument/2006/relationships/hyperlink" Target="#'Executive summary'!A1"/><Relationship Id="rId9" Type="http://schemas.openxmlformats.org/officeDocument/2006/relationships/hyperlink" Target="#'LTM P&amp;L'!A1"/><Relationship Id="rId14" Type="http://schemas.openxmlformats.org/officeDocument/2006/relationships/hyperlink" Target="#'Benchmark - Strategic inputs'!A1"/></Relationships>
</file>

<file path=xl/drawings/_rels/drawing24.xml.rels><?xml version="1.0" encoding="UTF-8" standalone="yes"?>
<Relationships xmlns="http://schemas.openxmlformats.org/package/2006/relationships"><Relationship Id="rId8" Type="http://schemas.openxmlformats.org/officeDocument/2006/relationships/hyperlink" Target="#'Monthly CashFlow'!A1"/><Relationship Id="rId13" Type="http://schemas.openxmlformats.org/officeDocument/2006/relationships/hyperlink" Target="#'Benchmark - General'!A1"/><Relationship Id="rId18" Type="http://schemas.microsoft.com/office/2007/relationships/hdphoto" Target="../media/hdphoto1.wdp"/><Relationship Id="rId3" Type="http://schemas.openxmlformats.org/officeDocument/2006/relationships/hyperlink" Target="#'Working capital evolution'!A1"/><Relationship Id="rId7" Type="http://schemas.openxmlformats.org/officeDocument/2006/relationships/hyperlink" Target="#'Balance Sheet'!A1"/><Relationship Id="rId12" Type="http://schemas.openxmlformats.org/officeDocument/2006/relationships/hyperlink" Target="#'Forecasted P&amp;L'!A1"/><Relationship Id="rId17" Type="http://schemas.openxmlformats.org/officeDocument/2006/relationships/image" Target="../media/image1.png"/><Relationship Id="rId2" Type="http://schemas.openxmlformats.org/officeDocument/2006/relationships/hyperlink" Target="#'Revenue analysis'!A1"/><Relationship Id="rId16" Type="http://schemas.openxmlformats.org/officeDocument/2006/relationships/hyperlink" Target="#'Dashboard Aifina'!A1"/><Relationship Id="rId1" Type="http://schemas.openxmlformats.org/officeDocument/2006/relationships/chart" Target="../charts/chart31.xml"/><Relationship Id="rId6" Type="http://schemas.openxmlformats.org/officeDocument/2006/relationships/hyperlink" Target="#'P&amp;L Page'!A1"/><Relationship Id="rId11" Type="http://schemas.openxmlformats.org/officeDocument/2006/relationships/hyperlink" Target="#'P&amp;L Budget'!A1"/><Relationship Id="rId5" Type="http://schemas.openxmlformats.org/officeDocument/2006/relationships/hyperlink" Target="#'Executive summary'!A1"/><Relationship Id="rId15" Type="http://schemas.openxmlformats.org/officeDocument/2006/relationships/hyperlink" Target="#'Benchmark - Strategic inputs'!A1"/><Relationship Id="rId10" Type="http://schemas.openxmlformats.org/officeDocument/2006/relationships/hyperlink" Target="#'LTM P&amp;L'!A1"/><Relationship Id="rId4" Type="http://schemas.openxmlformats.org/officeDocument/2006/relationships/hyperlink" Target="#'Indepth WC DSO'!A1"/><Relationship Id="rId9" Type="http://schemas.openxmlformats.org/officeDocument/2006/relationships/hyperlink" Target="#'P&amp;L Page YTD'!A1"/><Relationship Id="rId14" Type="http://schemas.openxmlformats.org/officeDocument/2006/relationships/hyperlink" Target="#'Benchmark - Financial analytics'!A1"/></Relationships>
</file>

<file path=xl/drawings/_rels/drawing25.xml.rels><?xml version="1.0" encoding="UTF-8" standalone="yes"?>
<Relationships xmlns="http://schemas.openxmlformats.org/package/2006/relationships"><Relationship Id="rId8" Type="http://schemas.openxmlformats.org/officeDocument/2006/relationships/hyperlink" Target="#'Balance Sheet'!A1"/><Relationship Id="rId13" Type="http://schemas.openxmlformats.org/officeDocument/2006/relationships/hyperlink" Target="#'Forecasted P&amp;L'!A1"/><Relationship Id="rId18" Type="http://schemas.openxmlformats.org/officeDocument/2006/relationships/image" Target="../media/image1.png"/><Relationship Id="rId3" Type="http://schemas.openxmlformats.org/officeDocument/2006/relationships/hyperlink" Target="#'Revenue analysis'!A1"/><Relationship Id="rId7" Type="http://schemas.openxmlformats.org/officeDocument/2006/relationships/hyperlink" Target="#'P&amp;L Page'!A1"/><Relationship Id="rId12" Type="http://schemas.openxmlformats.org/officeDocument/2006/relationships/hyperlink" Target="#'P&amp;L Budget'!A1"/><Relationship Id="rId17" Type="http://schemas.openxmlformats.org/officeDocument/2006/relationships/hyperlink" Target="#'Dashboard Aifina'!A1"/><Relationship Id="rId2" Type="http://schemas.openxmlformats.org/officeDocument/2006/relationships/chart" Target="../charts/chart33.xml"/><Relationship Id="rId16" Type="http://schemas.openxmlformats.org/officeDocument/2006/relationships/hyperlink" Target="#'Benchmark - Strategic inputs'!A1"/><Relationship Id="rId1" Type="http://schemas.openxmlformats.org/officeDocument/2006/relationships/chart" Target="../charts/chart32.xml"/><Relationship Id="rId6" Type="http://schemas.openxmlformats.org/officeDocument/2006/relationships/hyperlink" Target="#'Executive summary'!A1"/><Relationship Id="rId11" Type="http://schemas.openxmlformats.org/officeDocument/2006/relationships/hyperlink" Target="#'LTM P&amp;L'!A1"/><Relationship Id="rId5" Type="http://schemas.openxmlformats.org/officeDocument/2006/relationships/hyperlink" Target="#'Indepth WC DSO'!A1"/><Relationship Id="rId15" Type="http://schemas.openxmlformats.org/officeDocument/2006/relationships/hyperlink" Target="#'Benchmark - Financial analytics'!A1"/><Relationship Id="rId10" Type="http://schemas.openxmlformats.org/officeDocument/2006/relationships/hyperlink" Target="#'P&amp;L Page YTD'!A1"/><Relationship Id="rId19" Type="http://schemas.microsoft.com/office/2007/relationships/hdphoto" Target="../media/hdphoto1.wdp"/><Relationship Id="rId4" Type="http://schemas.openxmlformats.org/officeDocument/2006/relationships/hyperlink" Target="#'Working capital evolution'!A1"/><Relationship Id="rId9" Type="http://schemas.openxmlformats.org/officeDocument/2006/relationships/hyperlink" Target="#'Monthly CashFlow'!A1"/><Relationship Id="rId14" Type="http://schemas.openxmlformats.org/officeDocument/2006/relationships/hyperlink" Target="#'Benchmark - General'!A1"/></Relationships>
</file>

<file path=xl/drawings/_rels/drawing26.xml.rels><?xml version="1.0" encoding="UTF-8" standalone="yes"?>
<Relationships xmlns="http://schemas.openxmlformats.org/package/2006/relationships"><Relationship Id="rId8" Type="http://schemas.openxmlformats.org/officeDocument/2006/relationships/hyperlink" Target="#'Balance Sheet'!A1"/><Relationship Id="rId13" Type="http://schemas.openxmlformats.org/officeDocument/2006/relationships/hyperlink" Target="#'Forecasted P&amp;L'!A1"/><Relationship Id="rId18" Type="http://schemas.openxmlformats.org/officeDocument/2006/relationships/image" Target="../media/image1.png"/><Relationship Id="rId3" Type="http://schemas.openxmlformats.org/officeDocument/2006/relationships/hyperlink" Target="#'Revenue analysis'!A1"/><Relationship Id="rId7" Type="http://schemas.openxmlformats.org/officeDocument/2006/relationships/hyperlink" Target="#'P&amp;L Page'!A1"/><Relationship Id="rId12" Type="http://schemas.openxmlformats.org/officeDocument/2006/relationships/hyperlink" Target="#'P&amp;L Budget'!A1"/><Relationship Id="rId17" Type="http://schemas.openxmlformats.org/officeDocument/2006/relationships/hyperlink" Target="#'Dashboard Aifina'!A1"/><Relationship Id="rId2" Type="http://schemas.openxmlformats.org/officeDocument/2006/relationships/chart" Target="../charts/chart35.xml"/><Relationship Id="rId16" Type="http://schemas.openxmlformats.org/officeDocument/2006/relationships/hyperlink" Target="#'Benchmark - Strategic inputs'!A1"/><Relationship Id="rId1" Type="http://schemas.openxmlformats.org/officeDocument/2006/relationships/chart" Target="../charts/chart34.xml"/><Relationship Id="rId6" Type="http://schemas.openxmlformats.org/officeDocument/2006/relationships/hyperlink" Target="#'Executive summary'!A1"/><Relationship Id="rId11" Type="http://schemas.openxmlformats.org/officeDocument/2006/relationships/hyperlink" Target="#'LTM P&amp;L'!A1"/><Relationship Id="rId5" Type="http://schemas.openxmlformats.org/officeDocument/2006/relationships/hyperlink" Target="#'Indepth WC DSO'!A1"/><Relationship Id="rId15" Type="http://schemas.openxmlformats.org/officeDocument/2006/relationships/hyperlink" Target="#'Benchmark - Financial analytics'!A1"/><Relationship Id="rId10" Type="http://schemas.openxmlformats.org/officeDocument/2006/relationships/hyperlink" Target="#'P&amp;L Page YTD'!A1"/><Relationship Id="rId19" Type="http://schemas.microsoft.com/office/2007/relationships/hdphoto" Target="../media/hdphoto1.wdp"/><Relationship Id="rId4" Type="http://schemas.openxmlformats.org/officeDocument/2006/relationships/hyperlink" Target="#'Working capital evolution'!A1"/><Relationship Id="rId9" Type="http://schemas.openxmlformats.org/officeDocument/2006/relationships/hyperlink" Target="#'Monthly CashFlow'!A1"/><Relationship Id="rId14" Type="http://schemas.openxmlformats.org/officeDocument/2006/relationships/hyperlink" Target="#'Benchmark - General'!A1"/></Relationships>
</file>

<file path=xl/drawings/_rels/drawing27.xml.rels><?xml version="1.0" encoding="UTF-8" standalone="yes"?>
<Relationships xmlns="http://schemas.openxmlformats.org/package/2006/relationships"><Relationship Id="rId8" Type="http://schemas.openxmlformats.org/officeDocument/2006/relationships/hyperlink" Target="#'Balance Sheet'!A1"/><Relationship Id="rId13" Type="http://schemas.openxmlformats.org/officeDocument/2006/relationships/hyperlink" Target="#'Forecasted P&amp;L'!A1"/><Relationship Id="rId18" Type="http://schemas.openxmlformats.org/officeDocument/2006/relationships/image" Target="../media/image1.png"/><Relationship Id="rId3" Type="http://schemas.openxmlformats.org/officeDocument/2006/relationships/hyperlink" Target="#'Revenue analysis'!A1"/><Relationship Id="rId7" Type="http://schemas.openxmlformats.org/officeDocument/2006/relationships/hyperlink" Target="#'P&amp;L Page'!A1"/><Relationship Id="rId12" Type="http://schemas.openxmlformats.org/officeDocument/2006/relationships/hyperlink" Target="#'P&amp;L Budget'!A1"/><Relationship Id="rId17" Type="http://schemas.openxmlformats.org/officeDocument/2006/relationships/hyperlink" Target="#'Dashboard Aifina'!A1"/><Relationship Id="rId2" Type="http://schemas.openxmlformats.org/officeDocument/2006/relationships/chart" Target="../charts/chart37.xml"/><Relationship Id="rId16" Type="http://schemas.openxmlformats.org/officeDocument/2006/relationships/hyperlink" Target="#'Benchmark - Strategic inputs'!A1"/><Relationship Id="rId1" Type="http://schemas.openxmlformats.org/officeDocument/2006/relationships/chart" Target="../charts/chart36.xml"/><Relationship Id="rId6" Type="http://schemas.openxmlformats.org/officeDocument/2006/relationships/hyperlink" Target="#'Executive summary'!A1"/><Relationship Id="rId11" Type="http://schemas.openxmlformats.org/officeDocument/2006/relationships/hyperlink" Target="#'LTM P&amp;L'!A1"/><Relationship Id="rId5" Type="http://schemas.openxmlformats.org/officeDocument/2006/relationships/hyperlink" Target="#'Indepth WC DSO'!A1"/><Relationship Id="rId15" Type="http://schemas.openxmlformats.org/officeDocument/2006/relationships/hyperlink" Target="#'Benchmark - Financial analytics'!A1"/><Relationship Id="rId10" Type="http://schemas.openxmlformats.org/officeDocument/2006/relationships/hyperlink" Target="#'P&amp;L Page YTD'!A1"/><Relationship Id="rId19" Type="http://schemas.microsoft.com/office/2007/relationships/hdphoto" Target="../media/hdphoto1.wdp"/><Relationship Id="rId4" Type="http://schemas.openxmlformats.org/officeDocument/2006/relationships/hyperlink" Target="#'Working capital evolution'!A1"/><Relationship Id="rId9" Type="http://schemas.openxmlformats.org/officeDocument/2006/relationships/hyperlink" Target="#'Monthly CashFlow'!A1"/><Relationship Id="rId14" Type="http://schemas.openxmlformats.org/officeDocument/2006/relationships/hyperlink" Target="#'Benchmark - General'!A1"/></Relationships>
</file>

<file path=xl/drawings/_rels/drawing28.xml.rels><?xml version="1.0" encoding="UTF-8" standalone="yes"?>
<Relationships xmlns="http://schemas.openxmlformats.org/package/2006/relationships"><Relationship Id="rId8" Type="http://schemas.openxmlformats.org/officeDocument/2006/relationships/hyperlink" Target="#'Executive summary'!A1"/><Relationship Id="rId13" Type="http://schemas.openxmlformats.org/officeDocument/2006/relationships/hyperlink" Target="#'LTM P&amp;L'!A1"/><Relationship Id="rId18" Type="http://schemas.openxmlformats.org/officeDocument/2006/relationships/hyperlink" Target="#'Benchmark - Strategic inputs'!A1"/><Relationship Id="rId3" Type="http://schemas.openxmlformats.org/officeDocument/2006/relationships/chart" Target="../charts/chart40.xml"/><Relationship Id="rId21" Type="http://schemas.microsoft.com/office/2007/relationships/hdphoto" Target="../media/hdphoto1.wdp"/><Relationship Id="rId7" Type="http://schemas.openxmlformats.org/officeDocument/2006/relationships/hyperlink" Target="#'Indepth WC DSO'!A1"/><Relationship Id="rId12" Type="http://schemas.openxmlformats.org/officeDocument/2006/relationships/hyperlink" Target="#'P&amp;L Page YTD'!A1"/><Relationship Id="rId17" Type="http://schemas.openxmlformats.org/officeDocument/2006/relationships/hyperlink" Target="#'Benchmark - Financial analytics'!A1"/><Relationship Id="rId2" Type="http://schemas.openxmlformats.org/officeDocument/2006/relationships/chart" Target="../charts/chart39.xml"/><Relationship Id="rId16" Type="http://schemas.openxmlformats.org/officeDocument/2006/relationships/hyperlink" Target="#'Benchmark - General'!A1"/><Relationship Id="rId20" Type="http://schemas.openxmlformats.org/officeDocument/2006/relationships/image" Target="../media/image1.png"/><Relationship Id="rId1" Type="http://schemas.openxmlformats.org/officeDocument/2006/relationships/chart" Target="../charts/chart38.xml"/><Relationship Id="rId6" Type="http://schemas.openxmlformats.org/officeDocument/2006/relationships/hyperlink" Target="#'Working capital evolution'!A1"/><Relationship Id="rId11" Type="http://schemas.openxmlformats.org/officeDocument/2006/relationships/hyperlink" Target="#'Monthly CashFlow'!A1"/><Relationship Id="rId5" Type="http://schemas.openxmlformats.org/officeDocument/2006/relationships/hyperlink" Target="#'Revenue analysis'!A1"/><Relationship Id="rId15" Type="http://schemas.openxmlformats.org/officeDocument/2006/relationships/hyperlink" Target="#'Forecasted P&amp;L'!A1"/><Relationship Id="rId10" Type="http://schemas.openxmlformats.org/officeDocument/2006/relationships/hyperlink" Target="#'Balance Sheet'!A1"/><Relationship Id="rId19" Type="http://schemas.openxmlformats.org/officeDocument/2006/relationships/hyperlink" Target="#'Dashboard Aifina'!A1"/><Relationship Id="rId4" Type="http://schemas.openxmlformats.org/officeDocument/2006/relationships/chart" Target="../charts/chart41.xml"/><Relationship Id="rId9" Type="http://schemas.openxmlformats.org/officeDocument/2006/relationships/hyperlink" Target="#'P&amp;L Page'!A1"/><Relationship Id="rId14" Type="http://schemas.openxmlformats.org/officeDocument/2006/relationships/hyperlink" Target="#'P&amp;L Budget'!A1"/></Relationships>
</file>

<file path=xl/drawings/_rels/drawing2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6.xml.rels><?xml version="1.0" encoding="UTF-8" standalone="yes"?>
<Relationships xmlns="http://schemas.openxmlformats.org/package/2006/relationships"><Relationship Id="rId1" Type="http://schemas.openxmlformats.org/officeDocument/2006/relationships/chart" Target="../charts/chart42.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8.emf"/><Relationship Id="rId7" Type="http://schemas.openxmlformats.org/officeDocument/2006/relationships/image" Target="../media/image12.emf"/><Relationship Id="rId2" Type="http://schemas.openxmlformats.org/officeDocument/2006/relationships/image" Target="../media/image7.emf"/><Relationship Id="rId1" Type="http://schemas.openxmlformats.org/officeDocument/2006/relationships/image" Target="../media/image6.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4.emf"/><Relationship Id="rId1" Type="http://schemas.openxmlformats.org/officeDocument/2006/relationships/image" Target="../media/image13.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6.emf"/><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xdr:from>
      <xdr:col>14</xdr:col>
      <xdr:colOff>547313</xdr:colOff>
      <xdr:row>21</xdr:row>
      <xdr:rowOff>174334</xdr:rowOff>
    </xdr:from>
    <xdr:to>
      <xdr:col>15</xdr:col>
      <xdr:colOff>695962</xdr:colOff>
      <xdr:row>28</xdr:row>
      <xdr:rowOff>33869</xdr:rowOff>
    </xdr:to>
    <xdr:sp macro="" textlink="">
      <xdr:nvSpPr>
        <xdr:cNvPr id="73742" name="Rectangle: Rounded Corners 73741">
          <a:extLst>
            <a:ext uri="{FF2B5EF4-FFF2-40B4-BE49-F238E27FC236}">
              <a16:creationId xmlns:a16="http://schemas.microsoft.com/office/drawing/2014/main" id="{8CE85C78-EE00-80EA-BF4C-A631D6260E1C}"/>
            </a:ext>
          </a:extLst>
        </xdr:cNvPr>
        <xdr:cNvSpPr/>
      </xdr:nvSpPr>
      <xdr:spPr>
        <a:xfrm>
          <a:off x="8311246" y="4085934"/>
          <a:ext cx="758249" cy="1163402"/>
        </a:xfrm>
        <a:prstGeom prst="roundRect">
          <a:avLst>
            <a:gd name="adj" fmla="val 8327"/>
          </a:avLst>
        </a:prstGeom>
        <a:solidFill>
          <a:srgbClr val="62ACC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800"/>
        </a:p>
      </xdr:txBody>
    </xdr:sp>
    <xdr:clientData/>
  </xdr:twoCellAnchor>
  <xdr:twoCellAnchor>
    <xdr:from>
      <xdr:col>0</xdr:col>
      <xdr:colOff>8467</xdr:colOff>
      <xdr:row>1</xdr:row>
      <xdr:rowOff>38100</xdr:rowOff>
    </xdr:from>
    <xdr:to>
      <xdr:col>24</xdr:col>
      <xdr:colOff>571140</xdr:colOff>
      <xdr:row>15</xdr:row>
      <xdr:rowOff>13547</xdr:rowOff>
    </xdr:to>
    <xdr:grpSp>
      <xdr:nvGrpSpPr>
        <xdr:cNvPr id="73757" name="Group 73756">
          <a:extLst>
            <a:ext uri="{FF2B5EF4-FFF2-40B4-BE49-F238E27FC236}">
              <a16:creationId xmlns:a16="http://schemas.microsoft.com/office/drawing/2014/main" id="{C91FE011-28DF-7497-5077-90D69D5E9C29}"/>
            </a:ext>
          </a:extLst>
        </xdr:cNvPr>
        <xdr:cNvGrpSpPr/>
      </xdr:nvGrpSpPr>
      <xdr:grpSpPr>
        <a:xfrm>
          <a:off x="8467" y="228600"/>
          <a:ext cx="15739173" cy="2642447"/>
          <a:chOff x="8467" y="224367"/>
          <a:chExt cx="14219406" cy="2583181"/>
        </a:xfrm>
      </xdr:grpSpPr>
      <xdr:pic>
        <xdr:nvPicPr>
          <xdr:cNvPr id="2" name="Picture 1">
            <a:extLst>
              <a:ext uri="{FF2B5EF4-FFF2-40B4-BE49-F238E27FC236}">
                <a16:creationId xmlns:a16="http://schemas.microsoft.com/office/drawing/2014/main" id="{8369BC4C-A3F8-4810-ACCD-E5ECE17039D8}"/>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83820" y="224367"/>
            <a:ext cx="1590162" cy="396043"/>
          </a:xfrm>
          <a:prstGeom prst="rect">
            <a:avLst/>
          </a:prstGeom>
        </xdr:spPr>
      </xdr:pic>
      <xdr:grpSp>
        <xdr:nvGrpSpPr>
          <xdr:cNvPr id="73756" name="Group 73755">
            <a:extLst>
              <a:ext uri="{FF2B5EF4-FFF2-40B4-BE49-F238E27FC236}">
                <a16:creationId xmlns:a16="http://schemas.microsoft.com/office/drawing/2014/main" id="{BA78C684-BA27-06A9-0413-9D8AAC5C4C9A}"/>
              </a:ext>
            </a:extLst>
          </xdr:cNvPr>
          <xdr:cNvGrpSpPr/>
        </xdr:nvGrpSpPr>
        <xdr:grpSpPr>
          <a:xfrm>
            <a:off x="8467" y="478791"/>
            <a:ext cx="14219406" cy="2328757"/>
            <a:chOff x="0" y="758191"/>
            <a:chExt cx="14219406" cy="2328757"/>
          </a:xfrm>
        </xdr:grpSpPr>
        <xdr:sp macro="" textlink="">
          <xdr:nvSpPr>
            <xdr:cNvPr id="73752" name="Rectangle: Rounded Corners 73751">
              <a:extLst>
                <a:ext uri="{FF2B5EF4-FFF2-40B4-BE49-F238E27FC236}">
                  <a16:creationId xmlns:a16="http://schemas.microsoft.com/office/drawing/2014/main" id="{416872EE-5199-4D56-9305-D5CBB7A249F6}"/>
                </a:ext>
              </a:extLst>
            </xdr:cNvPr>
            <xdr:cNvSpPr/>
          </xdr:nvSpPr>
          <xdr:spPr>
            <a:xfrm>
              <a:off x="11364323" y="762348"/>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900"/>
                <a:t>Connected</a:t>
              </a:r>
            </a:p>
          </xdr:txBody>
        </xdr:sp>
        <xdr:grpSp>
          <xdr:nvGrpSpPr>
            <xdr:cNvPr id="73741" name="Group 73740">
              <a:extLst>
                <a:ext uri="{FF2B5EF4-FFF2-40B4-BE49-F238E27FC236}">
                  <a16:creationId xmlns:a16="http://schemas.microsoft.com/office/drawing/2014/main" id="{55F08BFA-32D6-A470-086B-4FCE2C55982E}"/>
                </a:ext>
              </a:extLst>
            </xdr:cNvPr>
            <xdr:cNvGrpSpPr/>
          </xdr:nvGrpSpPr>
          <xdr:grpSpPr>
            <a:xfrm>
              <a:off x="0" y="977054"/>
              <a:ext cx="14212993" cy="2109894"/>
              <a:chOff x="15240" y="3223261"/>
              <a:chExt cx="14188440" cy="2072640"/>
            </a:xfrm>
          </xdr:grpSpPr>
          <xdr:sp macro="" textlink="">
            <xdr:nvSpPr>
              <xdr:cNvPr id="73740" name="Rectangle 73739">
                <a:extLst>
                  <a:ext uri="{FF2B5EF4-FFF2-40B4-BE49-F238E27FC236}">
                    <a16:creationId xmlns:a16="http://schemas.microsoft.com/office/drawing/2014/main" id="{CC71425A-6CC0-7232-5F4D-6FDA4F24DBB4}"/>
                  </a:ext>
                </a:extLst>
              </xdr:cNvPr>
              <xdr:cNvSpPr/>
            </xdr:nvSpPr>
            <xdr:spPr>
              <a:xfrm>
                <a:off x="15240" y="3223261"/>
                <a:ext cx="14188440"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200"/>
              </a:p>
            </xdr:txBody>
          </xdr:sp>
          <xdr:grpSp>
            <xdr:nvGrpSpPr>
              <xdr:cNvPr id="73739" name="Group 73738">
                <a:extLst>
                  <a:ext uri="{FF2B5EF4-FFF2-40B4-BE49-F238E27FC236}">
                    <a16:creationId xmlns:a16="http://schemas.microsoft.com/office/drawing/2014/main" id="{9CB15A25-FE30-E323-D09F-1D6696B898E9}"/>
                  </a:ext>
                </a:extLst>
              </xdr:cNvPr>
              <xdr:cNvGrpSpPr/>
            </xdr:nvGrpSpPr>
            <xdr:grpSpPr>
              <a:xfrm>
                <a:off x="121920" y="3291840"/>
                <a:ext cx="13708380" cy="1950720"/>
                <a:chOff x="205740" y="2491740"/>
                <a:chExt cx="13708380" cy="1950720"/>
              </a:xfrm>
            </xdr:grpSpPr>
            <xdr:grpSp>
              <xdr:nvGrpSpPr>
                <xdr:cNvPr id="73738" name="Group 73737">
                  <a:extLst>
                    <a:ext uri="{FF2B5EF4-FFF2-40B4-BE49-F238E27FC236}">
                      <a16:creationId xmlns:a16="http://schemas.microsoft.com/office/drawing/2014/main" id="{B2BA156A-CA53-EAD4-AE6C-B85D707813EC}"/>
                    </a:ext>
                  </a:extLst>
                </xdr:cNvPr>
                <xdr:cNvGrpSpPr/>
              </xdr:nvGrpSpPr>
              <xdr:grpSpPr>
                <a:xfrm>
                  <a:off x="205740" y="2491740"/>
                  <a:ext cx="13708380" cy="1950720"/>
                  <a:chOff x="205740" y="3192780"/>
                  <a:chExt cx="13708380" cy="1950720"/>
                </a:xfrm>
              </xdr:grpSpPr>
              <xdr:grpSp>
                <xdr:nvGrpSpPr>
                  <xdr:cNvPr id="32" name="Group 31">
                    <a:extLst>
                      <a:ext uri="{FF2B5EF4-FFF2-40B4-BE49-F238E27FC236}">
                        <a16:creationId xmlns:a16="http://schemas.microsoft.com/office/drawing/2014/main" id="{F20415D8-B5C8-6FF4-7F56-3FAB20A6C386}"/>
                      </a:ext>
                    </a:extLst>
                  </xdr:cNvPr>
                  <xdr:cNvGrpSpPr/>
                </xdr:nvGrpSpPr>
                <xdr:grpSpPr>
                  <a:xfrm>
                    <a:off x="2948940" y="3200400"/>
                    <a:ext cx="2743200" cy="1935480"/>
                    <a:chOff x="2948940" y="3200400"/>
                    <a:chExt cx="2743200" cy="1935480"/>
                  </a:xfrm>
                </xdr:grpSpPr>
                <xdr:grpSp>
                  <xdr:nvGrpSpPr>
                    <xdr:cNvPr id="18" name="Group 17">
                      <a:extLst>
                        <a:ext uri="{FF2B5EF4-FFF2-40B4-BE49-F238E27FC236}">
                          <a16:creationId xmlns:a16="http://schemas.microsoft.com/office/drawing/2014/main" id="{911DE597-2BDF-4700-AB82-6EA959885581}"/>
                        </a:ext>
                      </a:extLst>
                    </xdr:cNvPr>
                    <xdr:cNvGrpSpPr/>
                  </xdr:nvGrpSpPr>
                  <xdr:grpSpPr>
                    <a:xfrm>
                      <a:off x="2948940" y="3200400"/>
                      <a:ext cx="2743200" cy="1714500"/>
                      <a:chOff x="60960" y="3154680"/>
                      <a:chExt cx="2743200" cy="1714500"/>
                    </a:xfrm>
                  </xdr:grpSpPr>
                  <xdr:sp macro="" textlink="">
                    <xdr:nvSpPr>
                      <xdr:cNvPr id="19" name="Rectangle 18">
                        <a:extLst>
                          <a:ext uri="{FF2B5EF4-FFF2-40B4-BE49-F238E27FC236}">
                            <a16:creationId xmlns:a16="http://schemas.microsoft.com/office/drawing/2014/main" id="{CB7708A0-EC6E-C4DD-FA1F-AA00E514D71E}"/>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b="1">
                            <a:latin typeface="+mj-lt"/>
                          </a:rPr>
                          <a:t>Financial Analysis</a:t>
                        </a:r>
                      </a:p>
                    </xdr:txBody>
                  </xdr:sp>
                  <xdr:grpSp>
                    <xdr:nvGrpSpPr>
                      <xdr:cNvPr id="20" name="Group 19">
                        <a:extLst>
                          <a:ext uri="{FF2B5EF4-FFF2-40B4-BE49-F238E27FC236}">
                            <a16:creationId xmlns:a16="http://schemas.microsoft.com/office/drawing/2014/main" id="{EF048AC8-07E5-D6FF-9576-1AFB2B43192D}"/>
                          </a:ext>
                        </a:extLst>
                      </xdr:cNvPr>
                      <xdr:cNvGrpSpPr/>
                    </xdr:nvGrpSpPr>
                    <xdr:grpSpPr>
                      <a:xfrm>
                        <a:off x="365760" y="3535680"/>
                        <a:ext cx="2438400" cy="457200"/>
                        <a:chOff x="365760" y="3535680"/>
                        <a:chExt cx="1584960" cy="457200"/>
                      </a:xfrm>
                    </xdr:grpSpPr>
                    <xdr:sp macro="" textlink="">
                      <xdr:nvSpPr>
                        <xdr:cNvPr id="27" name="Rectangle 26">
                          <a:extLst>
                            <a:ext uri="{FF2B5EF4-FFF2-40B4-BE49-F238E27FC236}">
                              <a16:creationId xmlns:a16="http://schemas.microsoft.com/office/drawing/2014/main" id="{237E6162-7D19-6546-6266-8A19FF9012E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Revenue</a:t>
                          </a:r>
                          <a:r>
                            <a:rPr lang="fr-FR" sz="1200" b="1" baseline="0">
                              <a:latin typeface="+mn-lt"/>
                            </a:rPr>
                            <a:t> analysis</a:t>
                          </a:r>
                          <a:endParaRPr lang="fr-FR" sz="1200" b="1">
                            <a:latin typeface="+mn-lt"/>
                          </a:endParaRPr>
                        </a:p>
                      </xdr:txBody>
                    </xdr:sp>
                    <xdr:sp macro="" textlink="">
                      <xdr:nvSpPr>
                        <xdr:cNvPr id="28" name="Rectangle 27">
                          <a:extLst>
                            <a:ext uri="{FF2B5EF4-FFF2-40B4-BE49-F238E27FC236}">
                              <a16:creationId xmlns:a16="http://schemas.microsoft.com/office/drawing/2014/main" id="{992A994E-E3DE-AFB2-4E86-1777D011266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Margin Analysis</a:t>
                          </a:r>
                          <a:endParaRPr lang="fr-FR" sz="1200" b="1">
                            <a:latin typeface="+mn-lt"/>
                          </a:endParaRPr>
                        </a:p>
                      </xdr:txBody>
                    </xdr:sp>
                  </xdr:grpSp>
                  <xdr:grpSp>
                    <xdr:nvGrpSpPr>
                      <xdr:cNvPr id="21" name="Group 20">
                        <a:extLst>
                          <a:ext uri="{FF2B5EF4-FFF2-40B4-BE49-F238E27FC236}">
                            <a16:creationId xmlns:a16="http://schemas.microsoft.com/office/drawing/2014/main" id="{A3A45C54-826E-B6D7-196B-11CE040B8253}"/>
                          </a:ext>
                        </a:extLst>
                      </xdr:cNvPr>
                      <xdr:cNvGrpSpPr/>
                    </xdr:nvGrpSpPr>
                    <xdr:grpSpPr>
                      <a:xfrm>
                        <a:off x="365760" y="3977640"/>
                        <a:ext cx="2438400" cy="457200"/>
                        <a:chOff x="365760" y="3535680"/>
                        <a:chExt cx="1584960" cy="457200"/>
                      </a:xfrm>
                    </xdr:grpSpPr>
                    <xdr:sp macro="" textlink="">
                      <xdr:nvSpPr>
                        <xdr:cNvPr id="25" name="Rectangle 24">
                          <a:extLst>
                            <a:ext uri="{FF2B5EF4-FFF2-40B4-BE49-F238E27FC236}">
                              <a16:creationId xmlns:a16="http://schemas.microsoft.com/office/drawing/2014/main" id="{1F21B265-794C-2C94-DF7E-1F73209BC3D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Cost analysis</a:t>
                          </a:r>
                        </a:p>
                      </xdr:txBody>
                    </xdr:sp>
                    <xdr:sp macro="" textlink="">
                      <xdr:nvSpPr>
                        <xdr:cNvPr id="26" name="Rectangle 25">
                          <a:extLst>
                            <a:ext uri="{FF2B5EF4-FFF2-40B4-BE49-F238E27FC236}">
                              <a16:creationId xmlns:a16="http://schemas.microsoft.com/office/drawing/2014/main" id="{AEB1F26A-F6E4-9138-5764-50287FAFF44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Working Capital analysis</a:t>
                          </a:r>
                        </a:p>
                      </xdr:txBody>
                    </xdr:sp>
                  </xdr:grpSp>
                  <xdr:grpSp>
                    <xdr:nvGrpSpPr>
                      <xdr:cNvPr id="22" name="Group 21">
                        <a:extLst>
                          <a:ext uri="{FF2B5EF4-FFF2-40B4-BE49-F238E27FC236}">
                            <a16:creationId xmlns:a16="http://schemas.microsoft.com/office/drawing/2014/main" id="{6D41DBCE-773B-293E-F55F-1005182D3593}"/>
                          </a:ext>
                        </a:extLst>
                      </xdr:cNvPr>
                      <xdr:cNvGrpSpPr/>
                    </xdr:nvGrpSpPr>
                    <xdr:grpSpPr>
                      <a:xfrm>
                        <a:off x="365760" y="4411980"/>
                        <a:ext cx="2438400" cy="457200"/>
                        <a:chOff x="365760" y="3535680"/>
                        <a:chExt cx="1584960" cy="457200"/>
                      </a:xfrm>
                    </xdr:grpSpPr>
                    <xdr:sp macro="" textlink="">
                      <xdr:nvSpPr>
                        <xdr:cNvPr id="23" name="Rectangle 22">
                          <a:extLst>
                            <a:ext uri="{FF2B5EF4-FFF2-40B4-BE49-F238E27FC236}">
                              <a16:creationId xmlns:a16="http://schemas.microsoft.com/office/drawing/2014/main" id="{4A80D65A-D176-766B-5ADA-64C132A34E1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Indepth Working Capital analysis </a:t>
                          </a:r>
                        </a:p>
                      </xdr:txBody>
                    </xdr:sp>
                    <xdr:sp macro="" textlink="">
                      <xdr:nvSpPr>
                        <xdr:cNvPr id="24" name="Rectangle 23">
                          <a:extLst>
                            <a:ext uri="{FF2B5EF4-FFF2-40B4-BE49-F238E27FC236}">
                              <a16:creationId xmlns:a16="http://schemas.microsoft.com/office/drawing/2014/main" id="{0F97FDF5-776B-A756-A63F-C3C36F93B28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Financial Ratios</a:t>
                          </a:r>
                          <a:r>
                            <a:rPr lang="fr-FR" sz="1200" b="1" baseline="0">
                              <a:latin typeface="+mn-lt"/>
                            </a:rPr>
                            <a:t> analysis</a:t>
                          </a:r>
                          <a:endParaRPr lang="fr-FR" sz="1200" b="1">
                            <a:latin typeface="+mn-lt"/>
                          </a:endParaRPr>
                        </a:p>
                      </xdr:txBody>
                    </xdr:sp>
                  </xdr:grpSp>
                </xdr:grpSp>
                <xdr:sp macro="" textlink="">
                  <xdr:nvSpPr>
                    <xdr:cNvPr id="29" name="Rectangle 28">
                      <a:extLst>
                        <a:ext uri="{FF2B5EF4-FFF2-40B4-BE49-F238E27FC236}">
                          <a16:creationId xmlns:a16="http://schemas.microsoft.com/office/drawing/2014/main" id="{924C0766-ADDC-4B4D-AE15-87416EEF2C66}"/>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KPI </a:t>
                      </a:r>
                    </a:p>
                  </xdr:txBody>
                </xdr:sp>
              </xdr:grpSp>
              <xdr:grpSp>
                <xdr:nvGrpSpPr>
                  <xdr:cNvPr id="31" name="Group 30">
                    <a:extLst>
                      <a:ext uri="{FF2B5EF4-FFF2-40B4-BE49-F238E27FC236}">
                        <a16:creationId xmlns:a16="http://schemas.microsoft.com/office/drawing/2014/main" id="{5AC5A95F-E07F-1899-2CB0-59AFA42336E2}"/>
                      </a:ext>
                    </a:extLst>
                  </xdr:cNvPr>
                  <xdr:cNvGrpSpPr/>
                </xdr:nvGrpSpPr>
                <xdr:grpSpPr>
                  <a:xfrm>
                    <a:off x="205740" y="3192780"/>
                    <a:ext cx="2743200" cy="1943100"/>
                    <a:chOff x="205740" y="3192780"/>
                    <a:chExt cx="2743200" cy="1943100"/>
                  </a:xfrm>
                </xdr:grpSpPr>
                <xdr:grpSp>
                  <xdr:nvGrpSpPr>
                    <xdr:cNvPr id="17" name="Group 16">
                      <a:extLst>
                        <a:ext uri="{FF2B5EF4-FFF2-40B4-BE49-F238E27FC236}">
                          <a16:creationId xmlns:a16="http://schemas.microsoft.com/office/drawing/2014/main" id="{E0F70D0D-0049-6684-C9ED-0B3E04980A84}"/>
                        </a:ext>
                      </a:extLst>
                    </xdr:cNvPr>
                    <xdr:cNvGrpSpPr/>
                  </xdr:nvGrpSpPr>
                  <xdr:grpSpPr>
                    <a:xfrm>
                      <a:off x="205740" y="3192780"/>
                      <a:ext cx="2743200" cy="1714500"/>
                      <a:chOff x="60960" y="3154680"/>
                      <a:chExt cx="2743200" cy="1714500"/>
                    </a:xfrm>
                  </xdr:grpSpPr>
                  <xdr:sp macro="" textlink="">
                    <xdr:nvSpPr>
                      <xdr:cNvPr id="5" name="Rectangle 4">
                        <a:extLst>
                          <a:ext uri="{FF2B5EF4-FFF2-40B4-BE49-F238E27FC236}">
                            <a16:creationId xmlns:a16="http://schemas.microsoft.com/office/drawing/2014/main" id="{77ED5240-A6C7-A7AD-DED6-841C35644E10}"/>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b="1">
                            <a:latin typeface="+mj-lt"/>
                          </a:rPr>
                          <a:t>Reporting</a:t>
                        </a:r>
                      </a:p>
                    </xdr:txBody>
                  </xdr:sp>
                  <xdr:grpSp>
                    <xdr:nvGrpSpPr>
                      <xdr:cNvPr id="10" name="Group 9">
                        <a:extLst>
                          <a:ext uri="{FF2B5EF4-FFF2-40B4-BE49-F238E27FC236}">
                            <a16:creationId xmlns:a16="http://schemas.microsoft.com/office/drawing/2014/main" id="{EFB6DCD6-AE45-D658-551B-F78B7CE40394}"/>
                          </a:ext>
                        </a:extLst>
                      </xdr:cNvPr>
                      <xdr:cNvGrpSpPr/>
                    </xdr:nvGrpSpPr>
                    <xdr:grpSpPr>
                      <a:xfrm>
                        <a:off x="365760" y="3535680"/>
                        <a:ext cx="2438400" cy="457200"/>
                        <a:chOff x="365760" y="3535680"/>
                        <a:chExt cx="1584960" cy="457200"/>
                      </a:xfrm>
                    </xdr:grpSpPr>
                    <xdr:sp macro="" textlink="">
                      <xdr:nvSpPr>
                        <xdr:cNvPr id="8" name="Rectangle 7">
                          <a:extLst>
                            <a:ext uri="{FF2B5EF4-FFF2-40B4-BE49-F238E27FC236}">
                              <a16:creationId xmlns:a16="http://schemas.microsoft.com/office/drawing/2014/main" id="{38385C27-780C-4358-ABED-043C63E68F7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Executive</a:t>
                          </a:r>
                          <a:r>
                            <a:rPr lang="fr-FR" sz="1200" b="1" baseline="0">
                              <a:latin typeface="+mn-lt"/>
                            </a:rPr>
                            <a:t> Summary</a:t>
                          </a:r>
                          <a:endParaRPr lang="fr-FR" sz="1200" b="1">
                            <a:latin typeface="+mn-lt"/>
                          </a:endParaRPr>
                        </a:p>
                      </xdr:txBody>
                    </xdr:sp>
                    <xdr:sp macro="" textlink="">
                      <xdr:nvSpPr>
                        <xdr:cNvPr id="9" name="Rectangle 8">
                          <a:extLst>
                            <a:ext uri="{FF2B5EF4-FFF2-40B4-BE49-F238E27FC236}">
                              <a16:creationId xmlns:a16="http://schemas.microsoft.com/office/drawing/2014/main" id="{35093E78-28D2-461A-92B2-358D6CCC094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Monthly P&amp;L</a:t>
                          </a:r>
                        </a:p>
                      </xdr:txBody>
                    </xdr:sp>
                  </xdr:grpSp>
                  <xdr:grpSp>
                    <xdr:nvGrpSpPr>
                      <xdr:cNvPr id="11" name="Group 10">
                        <a:extLst>
                          <a:ext uri="{FF2B5EF4-FFF2-40B4-BE49-F238E27FC236}">
                            <a16:creationId xmlns:a16="http://schemas.microsoft.com/office/drawing/2014/main" id="{D0AB495A-0E61-478C-8371-EDFC67A7E2D0}"/>
                          </a:ext>
                        </a:extLst>
                      </xdr:cNvPr>
                      <xdr:cNvGrpSpPr/>
                    </xdr:nvGrpSpPr>
                    <xdr:grpSpPr>
                      <a:xfrm>
                        <a:off x="365760" y="3977640"/>
                        <a:ext cx="2438400" cy="457200"/>
                        <a:chOff x="365760" y="3535680"/>
                        <a:chExt cx="1584960" cy="457200"/>
                      </a:xfrm>
                    </xdr:grpSpPr>
                    <xdr:sp macro="" textlink="">
                      <xdr:nvSpPr>
                        <xdr:cNvPr id="12" name="Rectangle 11">
                          <a:extLst>
                            <a:ext uri="{FF2B5EF4-FFF2-40B4-BE49-F238E27FC236}">
                              <a16:creationId xmlns:a16="http://schemas.microsoft.com/office/drawing/2014/main" id="{63290274-1EA7-B25F-67C6-A295E20A430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Monthly Balance Sheet</a:t>
                          </a:r>
                        </a:p>
                      </xdr:txBody>
                    </xdr:sp>
                    <xdr:sp macro="" textlink="">
                      <xdr:nvSpPr>
                        <xdr:cNvPr id="13" name="Rectangle 12">
                          <a:extLst>
                            <a:ext uri="{FF2B5EF4-FFF2-40B4-BE49-F238E27FC236}">
                              <a16:creationId xmlns:a16="http://schemas.microsoft.com/office/drawing/2014/main" id="{30D557D9-F130-0FB0-C0FE-757EC410655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Monthly Cashflow Statement</a:t>
                          </a:r>
                        </a:p>
                      </xdr:txBody>
                    </xdr:sp>
                  </xdr:grpSp>
                  <xdr:grpSp>
                    <xdr:nvGrpSpPr>
                      <xdr:cNvPr id="14" name="Group 13">
                        <a:extLst>
                          <a:ext uri="{FF2B5EF4-FFF2-40B4-BE49-F238E27FC236}">
                            <a16:creationId xmlns:a16="http://schemas.microsoft.com/office/drawing/2014/main" id="{8174404F-B3AE-48B0-A25E-F74C83AD95DF}"/>
                          </a:ext>
                        </a:extLst>
                      </xdr:cNvPr>
                      <xdr:cNvGrpSpPr/>
                    </xdr:nvGrpSpPr>
                    <xdr:grpSpPr>
                      <a:xfrm>
                        <a:off x="365760" y="4411980"/>
                        <a:ext cx="2438400" cy="457200"/>
                        <a:chOff x="365760" y="3535680"/>
                        <a:chExt cx="1584960" cy="457200"/>
                      </a:xfrm>
                    </xdr:grpSpPr>
                    <xdr:sp macro="" textlink="">
                      <xdr:nvSpPr>
                        <xdr:cNvPr id="15" name="Rectangle 14">
                          <a:extLst>
                            <a:ext uri="{FF2B5EF4-FFF2-40B4-BE49-F238E27FC236}">
                              <a16:creationId xmlns:a16="http://schemas.microsoft.com/office/drawing/2014/main" id="{D28EFFAD-C1F9-8F4E-4D68-10B9A7D4899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YTD P&amp;L </a:t>
                          </a:r>
                        </a:p>
                      </xdr:txBody>
                    </xdr:sp>
                    <xdr:sp macro="" textlink="">
                      <xdr:nvSpPr>
                        <xdr:cNvPr id="16" name="Rectangle 15">
                          <a:extLst>
                            <a:ext uri="{FF2B5EF4-FFF2-40B4-BE49-F238E27FC236}">
                              <a16:creationId xmlns:a16="http://schemas.microsoft.com/office/drawing/2014/main" id="{79655540-A7B9-DFAC-9F53-BFC8A1650C6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YTD Balance Sheet </a:t>
                          </a:r>
                        </a:p>
                      </xdr:txBody>
                    </xdr:sp>
                  </xdr:grpSp>
                </xdr:grpSp>
                <xdr:sp macro="" textlink="">
                  <xdr:nvSpPr>
                    <xdr:cNvPr id="30" name="Rectangle 29">
                      <a:extLst>
                        <a:ext uri="{FF2B5EF4-FFF2-40B4-BE49-F238E27FC236}">
                          <a16:creationId xmlns:a16="http://schemas.microsoft.com/office/drawing/2014/main" id="{B5458C88-7E85-4A1F-B0C1-82A7ED675A32}"/>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Management reporting </a:t>
                      </a:r>
                    </a:p>
                  </xdr:txBody>
                </xdr:sp>
              </xdr:grpSp>
              <xdr:grpSp>
                <xdr:nvGrpSpPr>
                  <xdr:cNvPr id="33" name="Group 32">
                    <a:extLst>
                      <a:ext uri="{FF2B5EF4-FFF2-40B4-BE49-F238E27FC236}">
                        <a16:creationId xmlns:a16="http://schemas.microsoft.com/office/drawing/2014/main" id="{A019CA6E-2AE4-41D5-8462-535790E4BC99}"/>
                      </a:ext>
                    </a:extLst>
                  </xdr:cNvPr>
                  <xdr:cNvGrpSpPr/>
                </xdr:nvGrpSpPr>
                <xdr:grpSpPr>
                  <a:xfrm>
                    <a:off x="5692140" y="3208020"/>
                    <a:ext cx="2743200" cy="1935480"/>
                    <a:chOff x="2948940" y="3200400"/>
                    <a:chExt cx="2743200" cy="1935480"/>
                  </a:xfrm>
                </xdr:grpSpPr>
                <xdr:grpSp>
                  <xdr:nvGrpSpPr>
                    <xdr:cNvPr id="34" name="Group 33">
                      <a:extLst>
                        <a:ext uri="{FF2B5EF4-FFF2-40B4-BE49-F238E27FC236}">
                          <a16:creationId xmlns:a16="http://schemas.microsoft.com/office/drawing/2014/main" id="{D37E887C-C563-EE69-456F-13D2CFA02FC8}"/>
                        </a:ext>
                      </a:extLst>
                    </xdr:cNvPr>
                    <xdr:cNvGrpSpPr/>
                  </xdr:nvGrpSpPr>
                  <xdr:grpSpPr>
                    <a:xfrm>
                      <a:off x="2948940" y="3200400"/>
                      <a:ext cx="2743200" cy="1714500"/>
                      <a:chOff x="60960" y="3154680"/>
                      <a:chExt cx="2743200" cy="1714500"/>
                    </a:xfrm>
                  </xdr:grpSpPr>
                  <xdr:sp macro="" textlink="">
                    <xdr:nvSpPr>
                      <xdr:cNvPr id="36" name="Rectangle 35">
                        <a:extLst>
                          <a:ext uri="{FF2B5EF4-FFF2-40B4-BE49-F238E27FC236}">
                            <a16:creationId xmlns:a16="http://schemas.microsoft.com/office/drawing/2014/main" id="{D5CB3DEB-435E-44FB-78FE-C8355F3E1E7D}"/>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b="1">
                            <a:latin typeface="+mj-lt"/>
                          </a:rPr>
                          <a:t>Budget/Forecast</a:t>
                        </a:r>
                      </a:p>
                    </xdr:txBody>
                  </xdr:sp>
                  <xdr:grpSp>
                    <xdr:nvGrpSpPr>
                      <xdr:cNvPr id="37" name="Group 36">
                        <a:extLst>
                          <a:ext uri="{FF2B5EF4-FFF2-40B4-BE49-F238E27FC236}">
                            <a16:creationId xmlns:a16="http://schemas.microsoft.com/office/drawing/2014/main" id="{FE461E99-0C29-F1C1-8E8C-4647B275460F}"/>
                          </a:ext>
                        </a:extLst>
                      </xdr:cNvPr>
                      <xdr:cNvGrpSpPr/>
                    </xdr:nvGrpSpPr>
                    <xdr:grpSpPr>
                      <a:xfrm>
                        <a:off x="365760" y="3535680"/>
                        <a:ext cx="2438400" cy="457200"/>
                        <a:chOff x="365760" y="3535680"/>
                        <a:chExt cx="1584960" cy="457200"/>
                      </a:xfrm>
                    </xdr:grpSpPr>
                    <xdr:sp macro="" textlink="">
                      <xdr:nvSpPr>
                        <xdr:cNvPr id="44" name="Rectangle 43">
                          <a:extLst>
                            <a:ext uri="{FF2B5EF4-FFF2-40B4-BE49-F238E27FC236}">
                              <a16:creationId xmlns:a16="http://schemas.microsoft.com/office/drawing/2014/main" id="{28727026-DC79-A61C-E3D7-3004005E086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Annual Budget</a:t>
                          </a:r>
                        </a:p>
                      </xdr:txBody>
                    </xdr:sp>
                    <xdr:sp macro="" textlink="">
                      <xdr:nvSpPr>
                        <xdr:cNvPr id="45" name="Rectangle 44">
                          <a:extLst>
                            <a:ext uri="{FF2B5EF4-FFF2-40B4-BE49-F238E27FC236}">
                              <a16:creationId xmlns:a16="http://schemas.microsoft.com/office/drawing/2014/main" id="{E9A9077E-3CFC-BB1C-655F-0FB4A74712F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Forecast</a:t>
                          </a:r>
                          <a:endParaRPr lang="fr-FR" sz="1200" b="1">
                            <a:latin typeface="+mn-lt"/>
                          </a:endParaRPr>
                        </a:p>
                      </xdr:txBody>
                    </xdr:sp>
                  </xdr:grpSp>
                  <xdr:grpSp>
                    <xdr:nvGrpSpPr>
                      <xdr:cNvPr id="38" name="Group 37">
                        <a:extLst>
                          <a:ext uri="{FF2B5EF4-FFF2-40B4-BE49-F238E27FC236}">
                            <a16:creationId xmlns:a16="http://schemas.microsoft.com/office/drawing/2014/main" id="{5BA60DDA-1664-FAA4-A938-2CDC3F9ED51F}"/>
                          </a:ext>
                        </a:extLst>
                      </xdr:cNvPr>
                      <xdr:cNvGrpSpPr/>
                    </xdr:nvGrpSpPr>
                    <xdr:grpSpPr>
                      <a:xfrm>
                        <a:off x="365760" y="3977640"/>
                        <a:ext cx="2438400" cy="457200"/>
                        <a:chOff x="365760" y="3535680"/>
                        <a:chExt cx="1584960" cy="457200"/>
                      </a:xfrm>
                    </xdr:grpSpPr>
                    <xdr:sp macro="" textlink="">
                      <xdr:nvSpPr>
                        <xdr:cNvPr id="42" name="Rectangle 41">
                          <a:extLst>
                            <a:ext uri="{FF2B5EF4-FFF2-40B4-BE49-F238E27FC236}">
                              <a16:creationId xmlns:a16="http://schemas.microsoft.com/office/drawing/2014/main" id="{795CCE9E-25B7-6410-F8D9-0B771E25808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Montecarlo simulation</a:t>
                          </a:r>
                        </a:p>
                      </xdr:txBody>
                    </xdr:sp>
                    <xdr:sp macro="" textlink="">
                      <xdr:nvSpPr>
                        <xdr:cNvPr id="43" name="Rectangle 42">
                          <a:extLst>
                            <a:ext uri="{FF2B5EF4-FFF2-40B4-BE49-F238E27FC236}">
                              <a16:creationId xmlns:a16="http://schemas.microsoft.com/office/drawing/2014/main" id="{533B6C88-9393-5F32-3381-C4AE645A1B1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AI Based</a:t>
                          </a:r>
                          <a:r>
                            <a:rPr lang="fr-FR" sz="1200" b="1" baseline="0">
                              <a:latin typeface="+mn-lt"/>
                            </a:rPr>
                            <a:t> Forecasting</a:t>
                          </a:r>
                          <a:endParaRPr lang="fr-FR" sz="1200" b="1">
                            <a:latin typeface="+mn-lt"/>
                          </a:endParaRPr>
                        </a:p>
                      </xdr:txBody>
                    </xdr:sp>
                  </xdr:grpSp>
                  <xdr:grpSp>
                    <xdr:nvGrpSpPr>
                      <xdr:cNvPr id="39" name="Group 38">
                        <a:extLst>
                          <a:ext uri="{FF2B5EF4-FFF2-40B4-BE49-F238E27FC236}">
                            <a16:creationId xmlns:a16="http://schemas.microsoft.com/office/drawing/2014/main" id="{460CE560-3AFD-3E34-1F93-C705D22E2AA7}"/>
                          </a:ext>
                        </a:extLst>
                      </xdr:cNvPr>
                      <xdr:cNvGrpSpPr/>
                    </xdr:nvGrpSpPr>
                    <xdr:grpSpPr>
                      <a:xfrm>
                        <a:off x="365760" y="4411980"/>
                        <a:ext cx="2438400" cy="457200"/>
                        <a:chOff x="365760" y="3535680"/>
                        <a:chExt cx="1584960" cy="457200"/>
                      </a:xfrm>
                    </xdr:grpSpPr>
                    <xdr:sp macro="" textlink="">
                      <xdr:nvSpPr>
                        <xdr:cNvPr id="40" name="Rectangle 39">
                          <a:extLst>
                            <a:ext uri="{FF2B5EF4-FFF2-40B4-BE49-F238E27FC236}">
                              <a16:creationId xmlns:a16="http://schemas.microsoft.com/office/drawing/2014/main" id="{94B840A1-3846-E169-F0A9-72DA304D752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AI Based Budget</a:t>
                          </a:r>
                        </a:p>
                      </xdr:txBody>
                    </xdr:sp>
                    <xdr:sp macro="" textlink="">
                      <xdr:nvSpPr>
                        <xdr:cNvPr id="41" name="Rectangle 40">
                          <a:extLst>
                            <a:ext uri="{FF2B5EF4-FFF2-40B4-BE49-F238E27FC236}">
                              <a16:creationId xmlns:a16="http://schemas.microsoft.com/office/drawing/2014/main" id="{0FB0A409-B8E6-08F9-51F1-9C745561424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Return On</a:t>
                          </a:r>
                          <a:r>
                            <a:rPr lang="fr-FR" sz="1200" b="1" baseline="0">
                              <a:latin typeface="+mn-lt"/>
                            </a:rPr>
                            <a:t> Investment module</a:t>
                          </a:r>
                          <a:endParaRPr lang="fr-FR" sz="1200" b="1">
                            <a:latin typeface="+mn-lt"/>
                          </a:endParaRPr>
                        </a:p>
                      </xdr:txBody>
                    </xdr:sp>
                  </xdr:grpSp>
                </xdr:grpSp>
                <xdr:sp macro="" textlink="">
                  <xdr:nvSpPr>
                    <xdr:cNvPr id="35" name="Rectangle 34">
                      <a:extLst>
                        <a:ext uri="{FF2B5EF4-FFF2-40B4-BE49-F238E27FC236}">
                          <a16:creationId xmlns:a16="http://schemas.microsoft.com/office/drawing/2014/main" id="{EACEC152-D4B7-8C15-1513-5384B69AF04E}"/>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Scenarios</a:t>
                      </a:r>
                      <a:r>
                        <a:rPr lang="fr-FR" sz="1200" b="1" baseline="0">
                          <a:latin typeface="+mj-lt"/>
                        </a:rPr>
                        <a:t> archive</a:t>
                      </a:r>
                      <a:endParaRPr lang="fr-FR" sz="1200" b="1">
                        <a:latin typeface="+mn-lt"/>
                      </a:endParaRPr>
                    </a:p>
                  </xdr:txBody>
                </xdr:sp>
              </xdr:grpSp>
              <xdr:grpSp>
                <xdr:nvGrpSpPr>
                  <xdr:cNvPr id="46" name="Group 45">
                    <a:extLst>
                      <a:ext uri="{FF2B5EF4-FFF2-40B4-BE49-F238E27FC236}">
                        <a16:creationId xmlns:a16="http://schemas.microsoft.com/office/drawing/2014/main" id="{D9D1266C-47EA-422C-A321-7DE2729C98DF}"/>
                      </a:ext>
                    </a:extLst>
                  </xdr:cNvPr>
                  <xdr:cNvGrpSpPr/>
                </xdr:nvGrpSpPr>
                <xdr:grpSpPr>
                  <a:xfrm>
                    <a:off x="8435340" y="3208020"/>
                    <a:ext cx="2743200" cy="1935480"/>
                    <a:chOff x="2948940" y="3200400"/>
                    <a:chExt cx="2743200" cy="1935480"/>
                  </a:xfrm>
                </xdr:grpSpPr>
                <xdr:grpSp>
                  <xdr:nvGrpSpPr>
                    <xdr:cNvPr id="47" name="Group 46">
                      <a:extLst>
                        <a:ext uri="{FF2B5EF4-FFF2-40B4-BE49-F238E27FC236}">
                          <a16:creationId xmlns:a16="http://schemas.microsoft.com/office/drawing/2014/main" id="{AB919EEC-CC77-A132-1183-B8C8C3758EF0}"/>
                        </a:ext>
                      </a:extLst>
                    </xdr:cNvPr>
                    <xdr:cNvGrpSpPr/>
                  </xdr:nvGrpSpPr>
                  <xdr:grpSpPr>
                    <a:xfrm>
                      <a:off x="2948940" y="3200400"/>
                      <a:ext cx="2743200" cy="1714500"/>
                      <a:chOff x="60960" y="3154680"/>
                      <a:chExt cx="2743200" cy="1714500"/>
                    </a:xfrm>
                  </xdr:grpSpPr>
                  <xdr:sp macro="" textlink="">
                    <xdr:nvSpPr>
                      <xdr:cNvPr id="49" name="Rectangle 48">
                        <a:extLst>
                          <a:ext uri="{FF2B5EF4-FFF2-40B4-BE49-F238E27FC236}">
                            <a16:creationId xmlns:a16="http://schemas.microsoft.com/office/drawing/2014/main" id="{99DA8CF3-A4B6-7E27-DD61-90F4A5D6CCA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b="1">
                            <a:latin typeface="+mj-lt"/>
                          </a:rPr>
                          <a:t>AI Advanced modules</a:t>
                        </a:r>
                      </a:p>
                    </xdr:txBody>
                  </xdr:sp>
                  <xdr:grpSp>
                    <xdr:nvGrpSpPr>
                      <xdr:cNvPr id="50" name="Group 49">
                        <a:extLst>
                          <a:ext uri="{FF2B5EF4-FFF2-40B4-BE49-F238E27FC236}">
                            <a16:creationId xmlns:a16="http://schemas.microsoft.com/office/drawing/2014/main" id="{9B1D9442-F6B9-1DB2-3578-48248F22EFB2}"/>
                          </a:ext>
                        </a:extLst>
                      </xdr:cNvPr>
                      <xdr:cNvGrpSpPr/>
                    </xdr:nvGrpSpPr>
                    <xdr:grpSpPr>
                      <a:xfrm>
                        <a:off x="365760" y="3535680"/>
                        <a:ext cx="2438400" cy="457200"/>
                        <a:chOff x="365760" y="3535680"/>
                        <a:chExt cx="1584960" cy="457200"/>
                      </a:xfrm>
                    </xdr:grpSpPr>
                    <xdr:sp macro="" textlink="">
                      <xdr:nvSpPr>
                        <xdr:cNvPr id="57" name="Rectangle 56">
                          <a:extLst>
                            <a:ext uri="{FF2B5EF4-FFF2-40B4-BE49-F238E27FC236}">
                              <a16:creationId xmlns:a16="http://schemas.microsoft.com/office/drawing/2014/main" id="{88F88AA5-BD22-F469-20FF-2BD28D8530E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Generative</a:t>
                          </a:r>
                          <a:r>
                            <a:rPr lang="fr-FR" sz="1200" b="1" baseline="0">
                              <a:latin typeface="+mn-lt"/>
                            </a:rPr>
                            <a:t> AI</a:t>
                          </a:r>
                          <a:endParaRPr lang="fr-FR" sz="1200" b="1">
                            <a:latin typeface="+mn-lt"/>
                          </a:endParaRPr>
                        </a:p>
                      </xdr:txBody>
                    </xdr:sp>
                    <xdr:sp macro="" textlink="">
                      <xdr:nvSpPr>
                        <xdr:cNvPr id="58" name="Rectangle 57">
                          <a:extLst>
                            <a:ext uri="{FF2B5EF4-FFF2-40B4-BE49-F238E27FC236}">
                              <a16:creationId xmlns:a16="http://schemas.microsoft.com/office/drawing/2014/main" id="{E4F7C227-1EF2-9DBC-11F6-96BD1DDBFCC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AI Business Insights</a:t>
                          </a:r>
                          <a:endParaRPr lang="fr-FR" sz="1200" b="1">
                            <a:latin typeface="+mn-lt"/>
                          </a:endParaRPr>
                        </a:p>
                      </xdr:txBody>
                    </xdr:sp>
                  </xdr:grpSp>
                  <xdr:grpSp>
                    <xdr:nvGrpSpPr>
                      <xdr:cNvPr id="51" name="Group 50">
                        <a:extLst>
                          <a:ext uri="{FF2B5EF4-FFF2-40B4-BE49-F238E27FC236}">
                            <a16:creationId xmlns:a16="http://schemas.microsoft.com/office/drawing/2014/main" id="{C315224B-25F6-4A27-DAC9-627C319FDBE0}"/>
                          </a:ext>
                        </a:extLst>
                      </xdr:cNvPr>
                      <xdr:cNvGrpSpPr/>
                    </xdr:nvGrpSpPr>
                    <xdr:grpSpPr>
                      <a:xfrm>
                        <a:off x="365760" y="3977640"/>
                        <a:ext cx="2438400" cy="457200"/>
                        <a:chOff x="365760" y="3535680"/>
                        <a:chExt cx="1584960" cy="457200"/>
                      </a:xfrm>
                    </xdr:grpSpPr>
                    <xdr:sp macro="" textlink="">
                      <xdr:nvSpPr>
                        <xdr:cNvPr id="55" name="Rectangle 54">
                          <a:extLst>
                            <a:ext uri="{FF2B5EF4-FFF2-40B4-BE49-F238E27FC236}">
                              <a16:creationId xmlns:a16="http://schemas.microsoft.com/office/drawing/2014/main" id="{BA9B4F71-891A-29AC-48AC-F3EFA8A289B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AI journal entries analysis</a:t>
                          </a:r>
                        </a:p>
                      </xdr:txBody>
                    </xdr:sp>
                    <xdr:sp macro="" textlink="">
                      <xdr:nvSpPr>
                        <xdr:cNvPr id="56" name="Rectangle 55">
                          <a:extLst>
                            <a:ext uri="{FF2B5EF4-FFF2-40B4-BE49-F238E27FC236}">
                              <a16:creationId xmlns:a16="http://schemas.microsoft.com/office/drawing/2014/main" id="{FD7DCD37-76CF-7DDA-2EED-E0BA8FA0F8C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Risk</a:t>
                          </a:r>
                          <a:r>
                            <a:rPr lang="fr-FR" sz="1200" b="1" baseline="0">
                              <a:latin typeface="+mn-lt"/>
                            </a:rPr>
                            <a:t> management module</a:t>
                          </a:r>
                          <a:endParaRPr lang="fr-FR" sz="1200" b="1">
                            <a:latin typeface="+mn-lt"/>
                          </a:endParaRPr>
                        </a:p>
                      </xdr:txBody>
                    </xdr:sp>
                  </xdr:grpSp>
                  <xdr:grpSp>
                    <xdr:nvGrpSpPr>
                      <xdr:cNvPr id="52" name="Group 51">
                        <a:extLst>
                          <a:ext uri="{FF2B5EF4-FFF2-40B4-BE49-F238E27FC236}">
                            <a16:creationId xmlns:a16="http://schemas.microsoft.com/office/drawing/2014/main" id="{0FDBD6BD-E5BC-0118-AC30-DD9D64E4D963}"/>
                          </a:ext>
                        </a:extLst>
                      </xdr:cNvPr>
                      <xdr:cNvGrpSpPr/>
                    </xdr:nvGrpSpPr>
                    <xdr:grpSpPr>
                      <a:xfrm>
                        <a:off x="365760" y="4411980"/>
                        <a:ext cx="2438400" cy="457200"/>
                        <a:chOff x="365760" y="3535680"/>
                        <a:chExt cx="1584960" cy="457200"/>
                      </a:xfrm>
                    </xdr:grpSpPr>
                    <xdr:sp macro="" textlink="">
                      <xdr:nvSpPr>
                        <xdr:cNvPr id="53" name="Rectangle 52">
                          <a:extLst>
                            <a:ext uri="{FF2B5EF4-FFF2-40B4-BE49-F238E27FC236}">
                              <a16:creationId xmlns:a16="http://schemas.microsoft.com/office/drawing/2014/main" id="{E7CFEF53-BE0F-E0BB-56E4-551403DDB32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AI </a:t>
                          </a:r>
                          <a:r>
                            <a:rPr lang="fr-FR" sz="1200" b="1">
                              <a:latin typeface="+mn-lt"/>
                            </a:rPr>
                            <a:t>Risk matrix builder</a:t>
                          </a:r>
                        </a:p>
                      </xdr:txBody>
                    </xdr:sp>
                    <xdr:sp macro="" textlink="">
                      <xdr:nvSpPr>
                        <xdr:cNvPr id="54" name="Rectangle 53">
                          <a:extLst>
                            <a:ext uri="{FF2B5EF4-FFF2-40B4-BE49-F238E27FC236}">
                              <a16:creationId xmlns:a16="http://schemas.microsoft.com/office/drawing/2014/main" id="{7551F34D-8B42-E0FE-0D20-F978DA3A4DB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200" b="1">
                            <a:latin typeface="+mn-lt"/>
                          </a:endParaRPr>
                        </a:p>
                      </xdr:txBody>
                    </xdr:sp>
                  </xdr:grpSp>
                </xdr:grpSp>
                <xdr:sp macro="" textlink="">
                  <xdr:nvSpPr>
                    <xdr:cNvPr id="48" name="Rectangle 47">
                      <a:extLst>
                        <a:ext uri="{FF2B5EF4-FFF2-40B4-BE49-F238E27FC236}">
                          <a16:creationId xmlns:a16="http://schemas.microsoft.com/office/drawing/2014/main" id="{C64290C1-5EB8-096E-8D94-61AE26A9B508}"/>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200" b="1">
                        <a:latin typeface="+mn-lt"/>
                      </a:endParaRPr>
                    </a:p>
                  </xdr:txBody>
                </xdr:sp>
              </xdr:grpSp>
              <xdr:grpSp>
                <xdr:nvGrpSpPr>
                  <xdr:cNvPr id="60" name="Group 59">
                    <a:extLst>
                      <a:ext uri="{FF2B5EF4-FFF2-40B4-BE49-F238E27FC236}">
                        <a16:creationId xmlns:a16="http://schemas.microsoft.com/office/drawing/2014/main" id="{61F20C9C-5478-4EEC-B2F7-C1C624D011ED}"/>
                      </a:ext>
                    </a:extLst>
                  </xdr:cNvPr>
                  <xdr:cNvGrpSpPr/>
                </xdr:nvGrpSpPr>
                <xdr:grpSpPr>
                  <a:xfrm>
                    <a:off x="11170920" y="3208020"/>
                    <a:ext cx="2743200" cy="1935480"/>
                    <a:chOff x="2948940" y="3200400"/>
                    <a:chExt cx="2743200" cy="1935480"/>
                  </a:xfrm>
                </xdr:grpSpPr>
                <xdr:grpSp>
                  <xdr:nvGrpSpPr>
                    <xdr:cNvPr id="61" name="Group 60">
                      <a:extLst>
                        <a:ext uri="{FF2B5EF4-FFF2-40B4-BE49-F238E27FC236}">
                          <a16:creationId xmlns:a16="http://schemas.microsoft.com/office/drawing/2014/main" id="{F7A1BDCF-1A53-983C-150A-F386EBC5DC31}"/>
                        </a:ext>
                      </a:extLst>
                    </xdr:cNvPr>
                    <xdr:cNvGrpSpPr/>
                  </xdr:nvGrpSpPr>
                  <xdr:grpSpPr>
                    <a:xfrm>
                      <a:off x="2948940" y="3200400"/>
                      <a:ext cx="2743200" cy="1714500"/>
                      <a:chOff x="60960" y="3154680"/>
                      <a:chExt cx="2743200" cy="1714500"/>
                    </a:xfrm>
                  </xdr:grpSpPr>
                  <xdr:sp macro="" textlink="">
                    <xdr:nvSpPr>
                      <xdr:cNvPr id="63" name="Rectangle 62">
                        <a:extLst>
                          <a:ext uri="{FF2B5EF4-FFF2-40B4-BE49-F238E27FC236}">
                            <a16:creationId xmlns:a16="http://schemas.microsoft.com/office/drawing/2014/main" id="{DFE0D0B2-2340-BF04-74B8-E7BB1CA93807}"/>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b="1">
                            <a:latin typeface="+mj-lt"/>
                          </a:rPr>
                          <a:t>Benchmarking</a:t>
                        </a:r>
                      </a:p>
                    </xdr:txBody>
                  </xdr:sp>
                  <xdr:grpSp>
                    <xdr:nvGrpSpPr>
                      <xdr:cNvPr id="73728" name="Group 73727">
                        <a:extLst>
                          <a:ext uri="{FF2B5EF4-FFF2-40B4-BE49-F238E27FC236}">
                            <a16:creationId xmlns:a16="http://schemas.microsoft.com/office/drawing/2014/main" id="{0B7B9B2C-9D93-4B40-B418-EE0644BF21CF}"/>
                          </a:ext>
                        </a:extLst>
                      </xdr:cNvPr>
                      <xdr:cNvGrpSpPr/>
                    </xdr:nvGrpSpPr>
                    <xdr:grpSpPr>
                      <a:xfrm>
                        <a:off x="365760" y="3535680"/>
                        <a:ext cx="2438400" cy="457200"/>
                        <a:chOff x="365760" y="3535680"/>
                        <a:chExt cx="1584960" cy="457200"/>
                      </a:xfrm>
                    </xdr:grpSpPr>
                    <xdr:sp macro="" textlink="">
                      <xdr:nvSpPr>
                        <xdr:cNvPr id="73736" name="Rectangle 73735">
                          <a:extLst>
                            <a:ext uri="{FF2B5EF4-FFF2-40B4-BE49-F238E27FC236}">
                              <a16:creationId xmlns:a16="http://schemas.microsoft.com/office/drawing/2014/main" id="{401250C8-7BCC-9BA0-794B-16974E10D0C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General</a:t>
                          </a:r>
                        </a:p>
                      </xdr:txBody>
                    </xdr:sp>
                    <xdr:sp macro="" textlink="">
                      <xdr:nvSpPr>
                        <xdr:cNvPr id="73737" name="Rectangle 73736">
                          <a:extLst>
                            <a:ext uri="{FF2B5EF4-FFF2-40B4-BE49-F238E27FC236}">
                              <a16:creationId xmlns:a16="http://schemas.microsoft.com/office/drawing/2014/main" id="{0793B00A-B9C2-44F8-4615-C6146742A8C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Financial analytics</a:t>
                          </a:r>
                          <a:r>
                            <a:rPr lang="fr-FR" sz="1200" b="1" baseline="0">
                              <a:latin typeface="+mj-lt"/>
                            </a:rPr>
                            <a:t> </a:t>
                          </a:r>
                          <a:endParaRPr lang="fr-FR" sz="1200" b="1">
                            <a:latin typeface="+mn-lt"/>
                          </a:endParaRPr>
                        </a:p>
                      </xdr:txBody>
                    </xdr:sp>
                  </xdr:grpSp>
                  <xdr:grpSp>
                    <xdr:nvGrpSpPr>
                      <xdr:cNvPr id="73729" name="Group 73728">
                        <a:extLst>
                          <a:ext uri="{FF2B5EF4-FFF2-40B4-BE49-F238E27FC236}">
                            <a16:creationId xmlns:a16="http://schemas.microsoft.com/office/drawing/2014/main" id="{8A257317-E654-D366-989F-43696A21C527}"/>
                          </a:ext>
                        </a:extLst>
                      </xdr:cNvPr>
                      <xdr:cNvGrpSpPr/>
                    </xdr:nvGrpSpPr>
                    <xdr:grpSpPr>
                      <a:xfrm>
                        <a:off x="365760" y="3977640"/>
                        <a:ext cx="2438400" cy="457200"/>
                        <a:chOff x="365760" y="3535680"/>
                        <a:chExt cx="1584960" cy="457200"/>
                      </a:xfrm>
                    </xdr:grpSpPr>
                    <xdr:sp macro="" textlink="">
                      <xdr:nvSpPr>
                        <xdr:cNvPr id="73734" name="Rectangle 73733">
                          <a:extLst>
                            <a:ext uri="{FF2B5EF4-FFF2-40B4-BE49-F238E27FC236}">
                              <a16:creationId xmlns:a16="http://schemas.microsoft.com/office/drawing/2014/main" id="{3D68348A-E34F-E6F5-BFB0-CC1844BEBB8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Sector/Market</a:t>
                          </a:r>
                          <a:r>
                            <a:rPr lang="fr-FR" sz="1200" b="1" baseline="0">
                              <a:latin typeface="+mn-lt"/>
                            </a:rPr>
                            <a:t> insights</a:t>
                          </a:r>
                          <a:endParaRPr lang="fr-FR" sz="1200" b="1">
                            <a:latin typeface="+mn-lt"/>
                          </a:endParaRPr>
                        </a:p>
                      </xdr:txBody>
                    </xdr:sp>
                    <xdr:sp macro="" textlink="">
                      <xdr:nvSpPr>
                        <xdr:cNvPr id="73735" name="Rectangle 73734">
                          <a:extLst>
                            <a:ext uri="{FF2B5EF4-FFF2-40B4-BE49-F238E27FC236}">
                              <a16:creationId xmlns:a16="http://schemas.microsoft.com/office/drawing/2014/main" id="{D8E733FD-5A76-AD68-C668-E52C33E1060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On</a:t>
                          </a:r>
                          <a:r>
                            <a:rPr lang="fr-FR" sz="1200" b="1" baseline="0">
                              <a:latin typeface="+mn-lt"/>
                            </a:rPr>
                            <a:t> demand analysis</a:t>
                          </a:r>
                          <a:endParaRPr lang="fr-FR" sz="1200" b="1">
                            <a:latin typeface="+mn-lt"/>
                          </a:endParaRPr>
                        </a:p>
                      </xdr:txBody>
                    </xdr:sp>
                  </xdr:grpSp>
                  <xdr:grpSp>
                    <xdr:nvGrpSpPr>
                      <xdr:cNvPr id="73730" name="Group 73729">
                        <a:extLst>
                          <a:ext uri="{FF2B5EF4-FFF2-40B4-BE49-F238E27FC236}">
                            <a16:creationId xmlns:a16="http://schemas.microsoft.com/office/drawing/2014/main" id="{59A0CAEF-68EF-5183-6204-81528F28AC35}"/>
                          </a:ext>
                        </a:extLst>
                      </xdr:cNvPr>
                      <xdr:cNvGrpSpPr/>
                    </xdr:nvGrpSpPr>
                    <xdr:grpSpPr>
                      <a:xfrm>
                        <a:off x="365760" y="4411980"/>
                        <a:ext cx="2438400" cy="457200"/>
                        <a:chOff x="365760" y="3535680"/>
                        <a:chExt cx="1584960" cy="457200"/>
                      </a:xfrm>
                    </xdr:grpSpPr>
                    <xdr:sp macro="" textlink="">
                      <xdr:nvSpPr>
                        <xdr:cNvPr id="73732" name="Rectangle 73731">
                          <a:extLst>
                            <a:ext uri="{FF2B5EF4-FFF2-40B4-BE49-F238E27FC236}">
                              <a16:creationId xmlns:a16="http://schemas.microsoft.com/office/drawing/2014/main" id="{A6F5C80B-8E28-867E-4798-18EAD0301F2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200" b="1">
                            <a:latin typeface="+mn-lt"/>
                          </a:endParaRPr>
                        </a:p>
                      </xdr:txBody>
                    </xdr:sp>
                    <xdr:sp macro="" textlink="">
                      <xdr:nvSpPr>
                        <xdr:cNvPr id="73733" name="Rectangle 73732">
                          <a:extLst>
                            <a:ext uri="{FF2B5EF4-FFF2-40B4-BE49-F238E27FC236}">
                              <a16:creationId xmlns:a16="http://schemas.microsoft.com/office/drawing/2014/main" id="{95B3DD3E-46C1-628A-8674-7E889B0F093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200" b="1">
                            <a:latin typeface="+mn-lt"/>
                          </a:endParaRPr>
                        </a:p>
                      </xdr:txBody>
                    </xdr:sp>
                  </xdr:grpSp>
                </xdr:grpSp>
                <xdr:sp macro="" textlink="">
                  <xdr:nvSpPr>
                    <xdr:cNvPr id="62" name="Rectangle 61">
                      <a:extLst>
                        <a:ext uri="{FF2B5EF4-FFF2-40B4-BE49-F238E27FC236}">
                          <a16:creationId xmlns:a16="http://schemas.microsoft.com/office/drawing/2014/main" id="{DFCA114F-9FFB-409D-CC6D-1181E767CF67}"/>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200" b="1">
                        <a:latin typeface="+mn-lt"/>
                      </a:endParaRPr>
                    </a:p>
                  </xdr:txBody>
                </xdr:sp>
              </xdr:grpSp>
            </xdr:grpSp>
            <xdr:sp macro="" textlink="">
              <xdr:nvSpPr>
                <xdr:cNvPr id="59" name="Rectangle 58">
                  <a:extLst>
                    <a:ext uri="{FF2B5EF4-FFF2-40B4-BE49-F238E27FC236}">
                      <a16:creationId xmlns:a16="http://schemas.microsoft.com/office/drawing/2014/main" id="{DB007C27-7BFA-4C26-ADD7-08329BD98A41}"/>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200" b="0">
                      <a:latin typeface="Wingdings 3" panose="05040102010807070707" pitchFamily="18" charset="2"/>
                    </a:rPr>
                    <a:t>9</a:t>
                  </a:r>
                  <a:r>
                    <a:rPr lang="fr-FR" sz="1200" b="0">
                      <a:latin typeface="+mj-lt"/>
                    </a:rPr>
                    <a:t> </a:t>
                  </a:r>
                  <a:r>
                    <a:rPr lang="fr-FR" sz="1200" b="1">
                      <a:latin typeface="+mj-lt"/>
                    </a:rPr>
                    <a:t> </a:t>
                  </a:r>
                  <a:r>
                    <a:rPr lang="fr-FR" sz="1200" b="1">
                      <a:latin typeface="+mn-lt"/>
                    </a:rPr>
                    <a:t>Business plan builder - AI</a:t>
                  </a:r>
                </a:p>
              </xdr:txBody>
            </xdr:sp>
          </xdr:grpSp>
        </xdr:grpSp>
        <xdr:sp macro="" textlink="">
          <xdr:nvSpPr>
            <xdr:cNvPr id="73743" name="Rectangle: Rounded Corners 73742">
              <a:extLst>
                <a:ext uri="{FF2B5EF4-FFF2-40B4-BE49-F238E27FC236}">
                  <a16:creationId xmlns:a16="http://schemas.microsoft.com/office/drawing/2014/main" id="{4FF6B22E-E934-A8FD-E84E-57D3EE5ED853}"/>
                </a:ext>
              </a:extLst>
            </xdr:cNvPr>
            <xdr:cNvSpPr/>
          </xdr:nvSpPr>
          <xdr:spPr>
            <a:xfrm>
              <a:off x="12087077" y="75819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900"/>
                <a:t>Export</a:t>
              </a:r>
            </a:p>
          </xdr:txBody>
        </xdr:sp>
        <xdr:sp macro="" textlink="">
          <xdr:nvSpPr>
            <xdr:cNvPr id="73744" name="Rectangle: Rounded Corners 73743">
              <a:extLst>
                <a:ext uri="{FF2B5EF4-FFF2-40B4-BE49-F238E27FC236}">
                  <a16:creationId xmlns:a16="http://schemas.microsoft.com/office/drawing/2014/main" id="{518EE4AE-8765-4FA7-BA9A-54A3B76D8734}"/>
                </a:ext>
              </a:extLst>
            </xdr:cNvPr>
            <xdr:cNvSpPr/>
          </xdr:nvSpPr>
          <xdr:spPr>
            <a:xfrm>
              <a:off x="12805887" y="764445"/>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900"/>
                <a:t>Print</a:t>
              </a:r>
            </a:p>
          </xdr:txBody>
        </xdr:sp>
        <xdr:sp macro="" textlink="">
          <xdr:nvSpPr>
            <xdr:cNvPr id="73745" name="Rectangle: Rounded Corners 73744">
              <a:extLst>
                <a:ext uri="{FF2B5EF4-FFF2-40B4-BE49-F238E27FC236}">
                  <a16:creationId xmlns:a16="http://schemas.microsoft.com/office/drawing/2014/main" id="{C4F1258E-549D-4F13-A0FE-EB28ACDF72AC}"/>
                </a:ext>
              </a:extLst>
            </xdr:cNvPr>
            <xdr:cNvSpPr/>
          </xdr:nvSpPr>
          <xdr:spPr>
            <a:xfrm>
              <a:off x="13517085" y="761743"/>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900"/>
                <a:t>To</a:t>
              </a:r>
              <a:r>
                <a:rPr lang="fr-FR" sz="900" baseline="0"/>
                <a:t> PDF</a:t>
              </a:r>
              <a:endParaRPr lang="fr-FR" sz="900"/>
            </a:p>
          </xdr:txBody>
        </xdr:sp>
      </xdr:grpSp>
    </xdr:grpSp>
    <xdr:clientData/>
  </xdr:twoCellAnchor>
  <xdr:twoCellAnchor>
    <xdr:from>
      <xdr:col>13</xdr:col>
      <xdr:colOff>505736</xdr:colOff>
      <xdr:row>22</xdr:row>
      <xdr:rowOff>162661</xdr:rowOff>
    </xdr:from>
    <xdr:to>
      <xdr:col>14</xdr:col>
      <xdr:colOff>413709</xdr:colOff>
      <xdr:row>22</xdr:row>
      <xdr:rowOff>162661</xdr:rowOff>
    </xdr:to>
    <xdr:cxnSp macro="">
      <xdr:nvCxnSpPr>
        <xdr:cNvPr id="73747" name="Straight Connector 73746">
          <a:extLst>
            <a:ext uri="{FF2B5EF4-FFF2-40B4-BE49-F238E27FC236}">
              <a16:creationId xmlns:a16="http://schemas.microsoft.com/office/drawing/2014/main" id="{855788DA-1E2A-3161-394C-1AC2573722A7}"/>
            </a:ext>
          </a:extLst>
        </xdr:cNvPr>
        <xdr:cNvCxnSpPr/>
      </xdr:nvCxnSpPr>
      <xdr:spPr>
        <a:xfrm>
          <a:off x="7660069" y="4260528"/>
          <a:ext cx="517573"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522338</xdr:colOff>
      <xdr:row>24</xdr:row>
      <xdr:rowOff>90643</xdr:rowOff>
    </xdr:from>
    <xdr:to>
      <xdr:col>14</xdr:col>
      <xdr:colOff>430311</xdr:colOff>
      <xdr:row>24</xdr:row>
      <xdr:rowOff>90643</xdr:rowOff>
    </xdr:to>
    <xdr:cxnSp macro="">
      <xdr:nvCxnSpPr>
        <xdr:cNvPr id="73748" name="Straight Connector 73747">
          <a:extLst>
            <a:ext uri="{FF2B5EF4-FFF2-40B4-BE49-F238E27FC236}">
              <a16:creationId xmlns:a16="http://schemas.microsoft.com/office/drawing/2014/main" id="{A293A185-8B07-4F4D-86BD-9845623B7F79}"/>
            </a:ext>
          </a:extLst>
        </xdr:cNvPr>
        <xdr:cNvCxnSpPr/>
      </xdr:nvCxnSpPr>
      <xdr:spPr>
        <a:xfrm>
          <a:off x="7676671" y="4561043"/>
          <a:ext cx="517573"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83127</xdr:colOff>
      <xdr:row>1</xdr:row>
      <xdr:rowOff>96982</xdr:rowOff>
    </xdr:from>
    <xdr:to>
      <xdr:col>14</xdr:col>
      <xdr:colOff>83127</xdr:colOff>
      <xdr:row>29</xdr:row>
      <xdr:rowOff>117763</xdr:rowOff>
    </xdr:to>
    <xdr:grpSp>
      <xdr:nvGrpSpPr>
        <xdr:cNvPr id="13" name="Group 12">
          <a:extLst>
            <a:ext uri="{FF2B5EF4-FFF2-40B4-BE49-F238E27FC236}">
              <a16:creationId xmlns:a16="http://schemas.microsoft.com/office/drawing/2014/main" id="{EDE1C95A-FB12-E57A-52E5-AFD05F588CD7}"/>
            </a:ext>
          </a:extLst>
        </xdr:cNvPr>
        <xdr:cNvGrpSpPr/>
      </xdr:nvGrpSpPr>
      <xdr:grpSpPr>
        <a:xfrm>
          <a:off x="4770582" y="293255"/>
          <a:ext cx="4687454" cy="5539508"/>
          <a:chOff x="4350327" y="277091"/>
          <a:chExt cx="4267200" cy="5105399"/>
        </a:xfrm>
      </xdr:grpSpPr>
      <xdr:sp macro="" textlink="">
        <xdr:nvSpPr>
          <xdr:cNvPr id="12" name="Rectangle 11">
            <a:extLst>
              <a:ext uri="{FF2B5EF4-FFF2-40B4-BE49-F238E27FC236}">
                <a16:creationId xmlns:a16="http://schemas.microsoft.com/office/drawing/2014/main" id="{3C3F8F55-9DF1-F757-2B9B-D61924458231}"/>
              </a:ext>
            </a:extLst>
          </xdr:cNvPr>
          <xdr:cNvSpPr/>
        </xdr:nvSpPr>
        <xdr:spPr>
          <a:xfrm>
            <a:off x="4350327" y="277091"/>
            <a:ext cx="4267200" cy="475210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2" name="Picture 1">
            <a:extLst>
              <a:ext uri="{FF2B5EF4-FFF2-40B4-BE49-F238E27FC236}">
                <a16:creationId xmlns:a16="http://schemas.microsoft.com/office/drawing/2014/main" id="{896322B4-4CC6-4E01-9C75-4BE452A6AF6D}"/>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5154585" y="593667"/>
            <a:ext cx="2583180" cy="620308"/>
          </a:xfrm>
          <a:prstGeom prst="rect">
            <a:avLst/>
          </a:prstGeom>
        </xdr:spPr>
      </xdr:pic>
      <xdr:sp macro="" textlink="">
        <xdr:nvSpPr>
          <xdr:cNvPr id="3" name="Rectangle: Rounded Corners 2">
            <a:extLst>
              <a:ext uri="{FF2B5EF4-FFF2-40B4-BE49-F238E27FC236}">
                <a16:creationId xmlns:a16="http://schemas.microsoft.com/office/drawing/2014/main" id="{C8C753C5-1762-8DC9-F7BE-9842085785AD}"/>
              </a:ext>
            </a:extLst>
          </xdr:cNvPr>
          <xdr:cNvSpPr/>
        </xdr:nvSpPr>
        <xdr:spPr>
          <a:xfrm>
            <a:off x="4671060" y="1405543"/>
            <a:ext cx="3589020" cy="3762201"/>
          </a:xfrm>
          <a:prstGeom prst="roundRect">
            <a:avLst/>
          </a:prstGeom>
          <a:solidFill>
            <a:srgbClr val="122D4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0" name="Group 9">
            <a:extLst>
              <a:ext uri="{FF2B5EF4-FFF2-40B4-BE49-F238E27FC236}">
                <a16:creationId xmlns:a16="http://schemas.microsoft.com/office/drawing/2014/main" id="{E3338B0F-63DF-CBB9-3AA8-DEF220129EF7}"/>
              </a:ext>
            </a:extLst>
          </xdr:cNvPr>
          <xdr:cNvGrpSpPr/>
        </xdr:nvGrpSpPr>
        <xdr:grpSpPr>
          <a:xfrm>
            <a:off x="4945380" y="1681945"/>
            <a:ext cx="2964180" cy="1677786"/>
            <a:chOff x="4945380" y="1835796"/>
            <a:chExt cx="2964180" cy="1691641"/>
          </a:xfrm>
        </xdr:grpSpPr>
        <xdr:grpSp>
          <xdr:nvGrpSpPr>
            <xdr:cNvPr id="7" name="Group 6">
              <a:extLst>
                <a:ext uri="{FF2B5EF4-FFF2-40B4-BE49-F238E27FC236}">
                  <a16:creationId xmlns:a16="http://schemas.microsoft.com/office/drawing/2014/main" id="{278ACCFE-BC0A-3E1F-CA3F-A1D5D7E42585}"/>
                </a:ext>
              </a:extLst>
            </xdr:cNvPr>
            <xdr:cNvGrpSpPr/>
          </xdr:nvGrpSpPr>
          <xdr:grpSpPr>
            <a:xfrm>
              <a:off x="4960620" y="2117736"/>
              <a:ext cx="2948940" cy="1409701"/>
              <a:chOff x="4960620" y="2270136"/>
              <a:chExt cx="2948940" cy="1409701"/>
            </a:xfrm>
            <a:solidFill>
              <a:schemeClr val="bg1"/>
            </a:solidFill>
          </xdr:grpSpPr>
          <xdr:sp macro="" textlink="">
            <xdr:nvSpPr>
              <xdr:cNvPr id="5" name="Rectangle: Rounded Corners 4">
                <a:extLst>
                  <a:ext uri="{FF2B5EF4-FFF2-40B4-BE49-F238E27FC236}">
                    <a16:creationId xmlns:a16="http://schemas.microsoft.com/office/drawing/2014/main" id="{060AE35E-A437-A265-8376-6B299F099A82}"/>
                  </a:ext>
                </a:extLst>
              </xdr:cNvPr>
              <xdr:cNvSpPr/>
            </xdr:nvSpPr>
            <xdr:spPr>
              <a:xfrm>
                <a:off x="4968240" y="2270136"/>
                <a:ext cx="2941320" cy="51054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a:solidFill>
                      <a:sysClr val="windowText" lastClr="000000"/>
                    </a:solidFill>
                    <a:latin typeface="+mn-lt"/>
                    <a:ea typeface="+mn-ea"/>
                    <a:cs typeface="+mn-cs"/>
                  </a:rPr>
                  <a:t>FINANCE_MASTER</a:t>
                </a:r>
              </a:p>
            </xdr:txBody>
          </xdr:sp>
          <xdr:sp macro="" textlink="">
            <xdr:nvSpPr>
              <xdr:cNvPr id="6" name="Rectangle: Rounded Corners 5">
                <a:extLst>
                  <a:ext uri="{FF2B5EF4-FFF2-40B4-BE49-F238E27FC236}">
                    <a16:creationId xmlns:a16="http://schemas.microsoft.com/office/drawing/2014/main" id="{3F9032BC-BB06-4D84-98A1-71AD36992AD1}"/>
                  </a:ext>
                </a:extLst>
              </xdr:cNvPr>
              <xdr:cNvSpPr/>
            </xdr:nvSpPr>
            <xdr:spPr>
              <a:xfrm>
                <a:off x="4960620" y="3169297"/>
                <a:ext cx="2941320" cy="51054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000">
                    <a:solidFill>
                      <a:sysClr val="windowText" lastClr="000000"/>
                    </a:solidFill>
                  </a:rPr>
                  <a:t>*************</a:t>
                </a:r>
              </a:p>
            </xdr:txBody>
          </xdr:sp>
        </xdr:grpSp>
        <xdr:sp macro="" textlink="">
          <xdr:nvSpPr>
            <xdr:cNvPr id="8" name="TextBox 7">
              <a:extLst>
                <a:ext uri="{FF2B5EF4-FFF2-40B4-BE49-F238E27FC236}">
                  <a16:creationId xmlns:a16="http://schemas.microsoft.com/office/drawing/2014/main" id="{0DA12EB5-5C90-B2F4-34FF-D8BCB3F20FD7}"/>
                </a:ext>
              </a:extLst>
            </xdr:cNvPr>
            <xdr:cNvSpPr txBox="1"/>
          </xdr:nvSpPr>
          <xdr:spPr>
            <a:xfrm>
              <a:off x="4945380" y="1835796"/>
              <a:ext cx="128016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fr-FR" sz="1200">
                  <a:solidFill>
                    <a:schemeClr val="bg1"/>
                  </a:solidFill>
                </a:rPr>
                <a:t>Username</a:t>
              </a:r>
            </a:p>
          </xdr:txBody>
        </xdr:sp>
        <xdr:sp macro="" textlink="">
          <xdr:nvSpPr>
            <xdr:cNvPr id="9" name="TextBox 8">
              <a:extLst>
                <a:ext uri="{FF2B5EF4-FFF2-40B4-BE49-F238E27FC236}">
                  <a16:creationId xmlns:a16="http://schemas.microsoft.com/office/drawing/2014/main" id="{0B833352-F031-499C-832C-CEED84583643}"/>
                </a:ext>
              </a:extLst>
            </xdr:cNvPr>
            <xdr:cNvSpPr txBox="1"/>
          </xdr:nvSpPr>
          <xdr:spPr>
            <a:xfrm>
              <a:off x="4945380" y="2788296"/>
              <a:ext cx="128016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fr-FR" sz="1200">
                  <a:solidFill>
                    <a:schemeClr val="bg1"/>
                  </a:solidFill>
                </a:rPr>
                <a:t>Password</a:t>
              </a:r>
            </a:p>
          </xdr:txBody>
        </xdr:sp>
      </xdr:grpSp>
      <xdr:sp macro="" textlink="">
        <xdr:nvSpPr>
          <xdr:cNvPr id="11" name="TextBox 10">
            <a:extLst>
              <a:ext uri="{FF2B5EF4-FFF2-40B4-BE49-F238E27FC236}">
                <a16:creationId xmlns:a16="http://schemas.microsoft.com/office/drawing/2014/main" id="{F13D764F-B54D-E513-2372-78431D262103}"/>
              </a:ext>
            </a:extLst>
          </xdr:cNvPr>
          <xdr:cNvSpPr txBox="1"/>
        </xdr:nvSpPr>
        <xdr:spPr>
          <a:xfrm>
            <a:off x="4999413" y="4590010"/>
            <a:ext cx="2887980" cy="792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solidFill>
                  <a:schemeClr val="bg1"/>
                </a:solidFill>
              </a:rPr>
              <a:t>Don't</a:t>
            </a:r>
            <a:r>
              <a:rPr lang="fr-FR" sz="800" baseline="0">
                <a:solidFill>
                  <a:schemeClr val="bg1"/>
                </a:solidFill>
              </a:rPr>
              <a:t> </a:t>
            </a:r>
            <a:r>
              <a:rPr lang="fr-FR" sz="800" u="none" baseline="0">
                <a:solidFill>
                  <a:schemeClr val="bg1"/>
                </a:solidFill>
              </a:rPr>
              <a:t>remember your password? </a:t>
            </a:r>
            <a:br>
              <a:rPr lang="fr-FR" sz="800" u="sng" baseline="0">
                <a:solidFill>
                  <a:schemeClr val="bg1"/>
                </a:solidFill>
              </a:rPr>
            </a:br>
            <a:r>
              <a:rPr lang="fr-FR" sz="800" u="sng" baseline="0">
                <a:solidFill>
                  <a:srgbClr val="426FA1"/>
                </a:solidFill>
              </a:rPr>
              <a:t>reset your password</a:t>
            </a:r>
          </a:p>
          <a:p>
            <a:pPr algn="ctr"/>
            <a:r>
              <a:rPr lang="fr-FR" sz="800" baseline="0">
                <a:solidFill>
                  <a:schemeClr val="bg1"/>
                </a:solidFill>
              </a:rPr>
              <a:t>Don't remeber your username?</a:t>
            </a:r>
            <a:br>
              <a:rPr lang="fr-FR" sz="800" baseline="0">
                <a:solidFill>
                  <a:schemeClr val="bg1"/>
                </a:solidFill>
              </a:rPr>
            </a:br>
            <a:r>
              <a:rPr lang="fr-FR" sz="800" u="sng" baseline="0">
                <a:solidFill>
                  <a:srgbClr val="426FA1"/>
                </a:solidFill>
                <a:latin typeface="+mn-lt"/>
                <a:ea typeface="+mn-ea"/>
                <a:cs typeface="+mn-cs"/>
              </a:rPr>
              <a:t>Send your username</a:t>
            </a:r>
          </a:p>
        </xdr:txBody>
      </xdr:sp>
    </xdr:grpSp>
    <xdr:clientData/>
  </xdr:twoCellAnchor>
  <xdr:twoCellAnchor>
    <xdr:from>
      <xdr:col>8</xdr:col>
      <xdr:colOff>415637</xdr:colOff>
      <xdr:row>28</xdr:row>
      <xdr:rowOff>159326</xdr:rowOff>
    </xdr:from>
    <xdr:to>
      <xdr:col>12</xdr:col>
      <xdr:colOff>103909</xdr:colOff>
      <xdr:row>30</xdr:row>
      <xdr:rowOff>20781</xdr:rowOff>
    </xdr:to>
    <xdr:sp macro="" textlink="">
      <xdr:nvSpPr>
        <xdr:cNvPr id="14" name="TextBox 13">
          <a:extLst>
            <a:ext uri="{FF2B5EF4-FFF2-40B4-BE49-F238E27FC236}">
              <a16:creationId xmlns:a16="http://schemas.microsoft.com/office/drawing/2014/main" id="{3570231C-E215-B9EF-62A8-94FA0D93F300}"/>
            </a:ext>
          </a:extLst>
        </xdr:cNvPr>
        <xdr:cNvSpPr txBox="1"/>
      </xdr:nvSpPr>
      <xdr:spPr>
        <a:xfrm>
          <a:off x="5292437" y="5243944"/>
          <a:ext cx="2126672" cy="221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600"/>
            <a:t>All rights reserved to AIFINA</a:t>
          </a:r>
          <a:r>
            <a:rPr lang="fr-FR" sz="600" baseline="0"/>
            <a:t> FZE </a:t>
          </a:r>
          <a:r>
            <a:rPr lang="fr-FR" sz="600">
              <a:solidFill>
                <a:schemeClr val="dk1"/>
              </a:solidFill>
              <a:effectLst/>
              <a:latin typeface="+mn-lt"/>
              <a:ea typeface="+mn-ea"/>
              <a:cs typeface="+mn-cs"/>
            </a:rPr>
            <a:t>©</a:t>
          </a:r>
          <a:r>
            <a:rPr lang="fr-FR" sz="600" baseline="0"/>
            <a:t>  www.aifina.ae </a:t>
          </a:r>
          <a:endParaRPr lang="fr-FR" sz="600"/>
        </a:p>
      </xdr:txBody>
    </xdr:sp>
    <xdr:clientData/>
  </xdr:twoCellAnchor>
  <xdr:twoCellAnchor>
    <xdr:from>
      <xdr:col>9</xdr:col>
      <xdr:colOff>55418</xdr:colOff>
      <xdr:row>20</xdr:row>
      <xdr:rowOff>27710</xdr:rowOff>
    </xdr:from>
    <xdr:to>
      <xdr:col>12</xdr:col>
      <xdr:colOff>27709</xdr:colOff>
      <xdr:row>22</xdr:row>
      <xdr:rowOff>152400</xdr:rowOff>
    </xdr:to>
    <xdr:sp macro="" textlink="">
      <xdr:nvSpPr>
        <xdr:cNvPr id="16" name="Rectangle: Rounded Corners 15">
          <a:hlinkClick xmlns:r="http://schemas.openxmlformats.org/officeDocument/2006/relationships" r:id="rId3"/>
          <a:extLst>
            <a:ext uri="{FF2B5EF4-FFF2-40B4-BE49-F238E27FC236}">
              <a16:creationId xmlns:a16="http://schemas.microsoft.com/office/drawing/2014/main" id="{A95B19EA-2690-E548-BA9A-C72FF4758B68}"/>
            </a:ext>
          </a:extLst>
        </xdr:cNvPr>
        <xdr:cNvSpPr/>
      </xdr:nvSpPr>
      <xdr:spPr>
        <a:xfrm>
          <a:off x="5541818" y="3671455"/>
          <a:ext cx="1801091" cy="48490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600"/>
            <a:t>CONNECT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8</xdr:col>
      <xdr:colOff>438892</xdr:colOff>
      <xdr:row>24</xdr:row>
      <xdr:rowOff>147324</xdr:rowOff>
    </xdr:to>
    <xdr:pic>
      <xdr:nvPicPr>
        <xdr:cNvPr id="2" name="Picture 1">
          <a:extLst>
            <a:ext uri="{FF2B5EF4-FFF2-40B4-BE49-F238E27FC236}">
              <a16:creationId xmlns:a16="http://schemas.microsoft.com/office/drawing/2014/main" id="{9D1753F7-C700-A3EA-26B8-67D32E6D1A5B}"/>
            </a:ext>
          </a:extLst>
        </xdr:cNvPr>
        <xdr:cNvPicPr>
          <a:picLocks noChangeAspect="1"/>
        </xdr:cNvPicPr>
      </xdr:nvPicPr>
      <xdr:blipFill>
        <a:blip xmlns:r="http://schemas.openxmlformats.org/officeDocument/2006/relationships" r:embed="rId1"/>
        <a:stretch>
          <a:fillRect/>
        </a:stretch>
      </xdr:blipFill>
      <xdr:spPr>
        <a:xfrm>
          <a:off x="0" y="182880"/>
          <a:ext cx="5315692" cy="4582164"/>
        </a:xfrm>
        <a:prstGeom prst="rect">
          <a:avLst/>
        </a:prstGeom>
      </xdr:spPr>
    </xdr:pic>
    <xdr:clientData/>
  </xdr:twoCellAnchor>
  <xdr:twoCellAnchor editAs="oneCell">
    <xdr:from>
      <xdr:col>8</xdr:col>
      <xdr:colOff>594360</xdr:colOff>
      <xdr:row>1</xdr:row>
      <xdr:rowOff>0</xdr:rowOff>
    </xdr:from>
    <xdr:to>
      <xdr:col>13</xdr:col>
      <xdr:colOff>129540</xdr:colOff>
      <xdr:row>4</xdr:row>
      <xdr:rowOff>79980</xdr:rowOff>
    </xdr:to>
    <xdr:pic>
      <xdr:nvPicPr>
        <xdr:cNvPr id="3" name="Picture 2">
          <a:extLst>
            <a:ext uri="{FF2B5EF4-FFF2-40B4-BE49-F238E27FC236}">
              <a16:creationId xmlns:a16="http://schemas.microsoft.com/office/drawing/2014/main" id="{74D69BFD-BE39-48F3-C441-91298AE0C5BE}"/>
            </a:ext>
          </a:extLst>
        </xdr:cNvPr>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5471160" y="182880"/>
          <a:ext cx="2583180" cy="6286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absoluteAnchor>
    <xdr:pos x="0" y="0"/>
    <xdr:ext cx="7745329" cy="5063289"/>
    <xdr:graphicFrame macro="">
      <xdr:nvGraphicFramePr>
        <xdr:cNvPr id="2" name="Chart 1">
          <a:extLst>
            <a:ext uri="{FF2B5EF4-FFF2-40B4-BE49-F238E27FC236}">
              <a16:creationId xmlns:a16="http://schemas.microsoft.com/office/drawing/2014/main" id="{C7800312-9127-DC63-8400-1DEEE01744E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xdr:from>
      <xdr:col>11</xdr:col>
      <xdr:colOff>266700</xdr:colOff>
      <xdr:row>19</xdr:row>
      <xdr:rowOff>1</xdr:rowOff>
    </xdr:from>
    <xdr:to>
      <xdr:col>14</xdr:col>
      <xdr:colOff>1219200</xdr:colOff>
      <xdr:row>27</xdr:row>
      <xdr:rowOff>1</xdr:rowOff>
    </xdr:to>
    <xdr:graphicFrame macro="">
      <xdr:nvGraphicFramePr>
        <xdr:cNvPr id="2" name="Chart 1">
          <a:extLst>
            <a:ext uri="{FF2B5EF4-FFF2-40B4-BE49-F238E27FC236}">
              <a16:creationId xmlns:a16="http://schemas.microsoft.com/office/drawing/2014/main" id="{BBC7846A-E98B-44A1-B972-741584498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266700</xdr:colOff>
      <xdr:row>28</xdr:row>
      <xdr:rowOff>0</xdr:rowOff>
    </xdr:from>
    <xdr:to>
      <xdr:col>14</xdr:col>
      <xdr:colOff>1219200</xdr:colOff>
      <xdr:row>35</xdr:row>
      <xdr:rowOff>219075</xdr:rowOff>
    </xdr:to>
    <xdr:graphicFrame macro="">
      <xdr:nvGraphicFramePr>
        <xdr:cNvPr id="3" name="Chart 2">
          <a:extLst>
            <a:ext uri="{FF2B5EF4-FFF2-40B4-BE49-F238E27FC236}">
              <a16:creationId xmlns:a16="http://schemas.microsoft.com/office/drawing/2014/main" id="{1A8AD126-8AC8-4776-8B28-3348F1E600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276225</xdr:colOff>
      <xdr:row>37</xdr:row>
      <xdr:rowOff>1</xdr:rowOff>
    </xdr:from>
    <xdr:to>
      <xdr:col>14</xdr:col>
      <xdr:colOff>1228725</xdr:colOff>
      <xdr:row>45</xdr:row>
      <xdr:rowOff>1</xdr:rowOff>
    </xdr:to>
    <xdr:graphicFrame macro="">
      <xdr:nvGraphicFramePr>
        <xdr:cNvPr id="4" name="Chart 3">
          <a:extLst>
            <a:ext uri="{FF2B5EF4-FFF2-40B4-BE49-F238E27FC236}">
              <a16:creationId xmlns:a16="http://schemas.microsoft.com/office/drawing/2014/main" id="{55839FD0-62D1-477D-A4D7-A896025858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266700</xdr:colOff>
      <xdr:row>46</xdr:row>
      <xdr:rowOff>9525</xdr:rowOff>
    </xdr:from>
    <xdr:to>
      <xdr:col>14</xdr:col>
      <xdr:colOff>1219200</xdr:colOff>
      <xdr:row>54</xdr:row>
      <xdr:rowOff>9525</xdr:rowOff>
    </xdr:to>
    <xdr:graphicFrame macro="">
      <xdr:nvGraphicFramePr>
        <xdr:cNvPr id="5" name="Chart 4">
          <a:extLst>
            <a:ext uri="{FF2B5EF4-FFF2-40B4-BE49-F238E27FC236}">
              <a16:creationId xmlns:a16="http://schemas.microsoft.com/office/drawing/2014/main" id="{E5AAC0C9-B6FF-4DCE-9C26-F1201BACB0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276225</xdr:colOff>
      <xdr:row>55</xdr:row>
      <xdr:rowOff>1</xdr:rowOff>
    </xdr:from>
    <xdr:to>
      <xdr:col>14</xdr:col>
      <xdr:colOff>1228725</xdr:colOff>
      <xdr:row>63</xdr:row>
      <xdr:rowOff>1</xdr:rowOff>
    </xdr:to>
    <xdr:graphicFrame macro="">
      <xdr:nvGraphicFramePr>
        <xdr:cNvPr id="6" name="Chart 5">
          <a:extLst>
            <a:ext uri="{FF2B5EF4-FFF2-40B4-BE49-F238E27FC236}">
              <a16:creationId xmlns:a16="http://schemas.microsoft.com/office/drawing/2014/main" id="{FE0A4D70-DB10-4D12-ACDC-11D2BDC0D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25400</xdr:colOff>
          <xdr:row>48</xdr:row>
          <xdr:rowOff>38100</xdr:rowOff>
        </xdr:from>
        <xdr:to>
          <xdr:col>24</xdr:col>
          <xdr:colOff>1384300</xdr:colOff>
          <xdr:row>52</xdr:row>
          <xdr:rowOff>203200</xdr:rowOff>
        </xdr:to>
        <xdr:sp macro="" textlink="">
          <xdr:nvSpPr>
            <xdr:cNvPr id="4107" name="TextBox1" hidden="1">
              <a:extLst>
                <a:ext uri="{63B3BB69-23CF-44E3-9099-C40C66FF867C}">
                  <a14:compatExt spid="_x0000_s4107"/>
                </a:ext>
                <a:ext uri="{FF2B5EF4-FFF2-40B4-BE49-F238E27FC236}">
                  <a16:creationId xmlns:a16="http://schemas.microsoft.com/office/drawing/2014/main" id="{00000000-0008-0000-0B00-00000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30</xdr:row>
          <xdr:rowOff>38100</xdr:rowOff>
        </xdr:from>
        <xdr:to>
          <xdr:col>24</xdr:col>
          <xdr:colOff>1384300</xdr:colOff>
          <xdr:row>34</xdr:row>
          <xdr:rowOff>139700</xdr:rowOff>
        </xdr:to>
        <xdr:sp macro="" textlink="">
          <xdr:nvSpPr>
            <xdr:cNvPr id="4112" name="TextBox2" hidden="1">
              <a:extLst>
                <a:ext uri="{63B3BB69-23CF-44E3-9099-C40C66FF867C}">
                  <a14:compatExt spid="_x0000_s4112"/>
                </a:ext>
                <a:ext uri="{FF2B5EF4-FFF2-40B4-BE49-F238E27FC236}">
                  <a16:creationId xmlns:a16="http://schemas.microsoft.com/office/drawing/2014/main" id="{00000000-0008-0000-0B00-00001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0</xdr:row>
      <xdr:rowOff>84669</xdr:rowOff>
    </xdr:from>
    <xdr:to>
      <xdr:col>29</xdr:col>
      <xdr:colOff>63499</xdr:colOff>
      <xdr:row>14</xdr:row>
      <xdr:rowOff>13186</xdr:rowOff>
    </xdr:to>
    <xdr:grpSp>
      <xdr:nvGrpSpPr>
        <xdr:cNvPr id="4200" name="Group 4199">
          <a:extLst>
            <a:ext uri="{FF2B5EF4-FFF2-40B4-BE49-F238E27FC236}">
              <a16:creationId xmlns:a16="http://schemas.microsoft.com/office/drawing/2014/main" id="{B6854531-17B2-4DB7-94CF-47ECA2341BB7}"/>
            </a:ext>
          </a:extLst>
        </xdr:cNvPr>
        <xdr:cNvGrpSpPr/>
      </xdr:nvGrpSpPr>
      <xdr:grpSpPr>
        <a:xfrm>
          <a:off x="0" y="84669"/>
          <a:ext cx="21399499" cy="2643142"/>
          <a:chOff x="0" y="25400"/>
          <a:chExt cx="19428378" cy="2465554"/>
        </a:xfrm>
      </xdr:grpSpPr>
      <xdr:grpSp>
        <xdr:nvGrpSpPr>
          <xdr:cNvPr id="4201" name="Group 4200">
            <a:extLst>
              <a:ext uri="{FF2B5EF4-FFF2-40B4-BE49-F238E27FC236}">
                <a16:creationId xmlns:a16="http://schemas.microsoft.com/office/drawing/2014/main" id="{B9724CFD-34CA-0B97-FC7F-96B01459C83D}"/>
              </a:ext>
            </a:extLst>
          </xdr:cNvPr>
          <xdr:cNvGrpSpPr/>
        </xdr:nvGrpSpPr>
        <xdr:grpSpPr>
          <a:xfrm>
            <a:off x="0" y="268648"/>
            <a:ext cx="19428378" cy="2222306"/>
            <a:chOff x="-2" y="774501"/>
            <a:chExt cx="14707716" cy="2312445"/>
          </a:xfrm>
        </xdr:grpSpPr>
        <xdr:sp macro="" textlink="">
          <xdr:nvSpPr>
            <xdr:cNvPr id="4203" name="Rectangle: Rounded Corners 4202">
              <a:extLst>
                <a:ext uri="{FF2B5EF4-FFF2-40B4-BE49-F238E27FC236}">
                  <a16:creationId xmlns:a16="http://schemas.microsoft.com/office/drawing/2014/main" id="{6BDB1290-0C72-D1DE-9E0A-470FBC449562}"/>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4204" name="Group 4203">
              <a:extLst>
                <a:ext uri="{FF2B5EF4-FFF2-40B4-BE49-F238E27FC236}">
                  <a16:creationId xmlns:a16="http://schemas.microsoft.com/office/drawing/2014/main" id="{45EABE5D-211C-BBDC-6203-B60D522ED68A}"/>
                </a:ext>
              </a:extLst>
            </xdr:cNvPr>
            <xdr:cNvGrpSpPr/>
          </xdr:nvGrpSpPr>
          <xdr:grpSpPr>
            <a:xfrm>
              <a:off x="-2" y="977052"/>
              <a:ext cx="14707716" cy="2109894"/>
              <a:chOff x="15238" y="3223260"/>
              <a:chExt cx="14682309" cy="2072640"/>
            </a:xfrm>
          </xdr:grpSpPr>
          <xdr:sp macro="" textlink="">
            <xdr:nvSpPr>
              <xdr:cNvPr id="4208" name="Rectangle 4207">
                <a:extLst>
                  <a:ext uri="{FF2B5EF4-FFF2-40B4-BE49-F238E27FC236}">
                    <a16:creationId xmlns:a16="http://schemas.microsoft.com/office/drawing/2014/main" id="{CA9365FA-4699-E5A3-E40E-64B7AE773886}"/>
                  </a:ext>
                </a:extLst>
              </xdr:cNvPr>
              <xdr:cNvSpPr/>
            </xdr:nvSpPr>
            <xdr:spPr>
              <a:xfrm>
                <a:off x="15238" y="3223260"/>
                <a:ext cx="146823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4209" name="Group 4208">
                <a:extLst>
                  <a:ext uri="{FF2B5EF4-FFF2-40B4-BE49-F238E27FC236}">
                    <a16:creationId xmlns:a16="http://schemas.microsoft.com/office/drawing/2014/main" id="{3AA04AED-1721-7C65-5D21-FE220B01C576}"/>
                  </a:ext>
                </a:extLst>
              </xdr:cNvPr>
              <xdr:cNvGrpSpPr/>
            </xdr:nvGrpSpPr>
            <xdr:grpSpPr>
              <a:xfrm>
                <a:off x="121920" y="3291840"/>
                <a:ext cx="13708380" cy="1950720"/>
                <a:chOff x="205740" y="2491740"/>
                <a:chExt cx="13708380" cy="1950720"/>
              </a:xfrm>
            </xdr:grpSpPr>
            <xdr:grpSp>
              <xdr:nvGrpSpPr>
                <xdr:cNvPr id="4210" name="Group 4209">
                  <a:extLst>
                    <a:ext uri="{FF2B5EF4-FFF2-40B4-BE49-F238E27FC236}">
                      <a16:creationId xmlns:a16="http://schemas.microsoft.com/office/drawing/2014/main" id="{18494AD7-4822-E1AE-7187-4BCD7778F7C6}"/>
                    </a:ext>
                  </a:extLst>
                </xdr:cNvPr>
                <xdr:cNvGrpSpPr/>
              </xdr:nvGrpSpPr>
              <xdr:grpSpPr>
                <a:xfrm>
                  <a:off x="205740" y="2491740"/>
                  <a:ext cx="13708380" cy="1950720"/>
                  <a:chOff x="205740" y="3192780"/>
                  <a:chExt cx="13708380" cy="1950720"/>
                </a:xfrm>
              </xdr:grpSpPr>
              <xdr:grpSp>
                <xdr:nvGrpSpPr>
                  <xdr:cNvPr id="4212" name="Group 4211">
                    <a:extLst>
                      <a:ext uri="{FF2B5EF4-FFF2-40B4-BE49-F238E27FC236}">
                        <a16:creationId xmlns:a16="http://schemas.microsoft.com/office/drawing/2014/main" id="{F421EA2C-3C95-F249-2E65-FCDFE23EBE49}"/>
                      </a:ext>
                    </a:extLst>
                  </xdr:cNvPr>
                  <xdr:cNvGrpSpPr/>
                </xdr:nvGrpSpPr>
                <xdr:grpSpPr>
                  <a:xfrm>
                    <a:off x="2948940" y="3200400"/>
                    <a:ext cx="2743200" cy="1935480"/>
                    <a:chOff x="2948940" y="3200400"/>
                    <a:chExt cx="2743200" cy="1935480"/>
                  </a:xfrm>
                </xdr:grpSpPr>
                <xdr:grpSp>
                  <xdr:nvGrpSpPr>
                    <xdr:cNvPr id="4265" name="Group 4264">
                      <a:extLst>
                        <a:ext uri="{FF2B5EF4-FFF2-40B4-BE49-F238E27FC236}">
                          <a16:creationId xmlns:a16="http://schemas.microsoft.com/office/drawing/2014/main" id="{85EB2F94-7181-E513-DD66-CF18D8802C1E}"/>
                        </a:ext>
                      </a:extLst>
                    </xdr:cNvPr>
                    <xdr:cNvGrpSpPr/>
                  </xdr:nvGrpSpPr>
                  <xdr:grpSpPr>
                    <a:xfrm>
                      <a:off x="2948940" y="3200400"/>
                      <a:ext cx="2743200" cy="1714500"/>
                      <a:chOff x="60960" y="3154680"/>
                      <a:chExt cx="2743200" cy="1714500"/>
                    </a:xfrm>
                  </xdr:grpSpPr>
                  <xdr:sp macro="" textlink="">
                    <xdr:nvSpPr>
                      <xdr:cNvPr id="4267" name="Rectangle 4266">
                        <a:extLst>
                          <a:ext uri="{FF2B5EF4-FFF2-40B4-BE49-F238E27FC236}">
                            <a16:creationId xmlns:a16="http://schemas.microsoft.com/office/drawing/2014/main" id="{FD078B00-7FAF-3AB3-202A-18C85119D8B2}"/>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4268" name="Group 4267">
                        <a:extLst>
                          <a:ext uri="{FF2B5EF4-FFF2-40B4-BE49-F238E27FC236}">
                            <a16:creationId xmlns:a16="http://schemas.microsoft.com/office/drawing/2014/main" id="{D5E7EF7D-BC78-B391-4F16-560D2065CE71}"/>
                          </a:ext>
                        </a:extLst>
                      </xdr:cNvPr>
                      <xdr:cNvGrpSpPr/>
                    </xdr:nvGrpSpPr>
                    <xdr:grpSpPr>
                      <a:xfrm>
                        <a:off x="365760" y="3535680"/>
                        <a:ext cx="2438400" cy="457200"/>
                        <a:chOff x="365760" y="3535680"/>
                        <a:chExt cx="1584960" cy="457200"/>
                      </a:xfrm>
                    </xdr:grpSpPr>
                    <xdr:sp macro="" textlink="">
                      <xdr:nvSpPr>
                        <xdr:cNvPr id="4275" name="Rectangle 4274">
                          <a:hlinkClick xmlns:r="http://schemas.openxmlformats.org/officeDocument/2006/relationships" r:id="rId6"/>
                          <a:extLst>
                            <a:ext uri="{FF2B5EF4-FFF2-40B4-BE49-F238E27FC236}">
                              <a16:creationId xmlns:a16="http://schemas.microsoft.com/office/drawing/2014/main" id="{1C1D8D0F-91E4-C27A-2DD5-22FD0BD9D8E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4276" name="Rectangle 4275">
                          <a:hlinkClick xmlns:r="http://schemas.openxmlformats.org/officeDocument/2006/relationships" r:id="rId6"/>
                          <a:extLst>
                            <a:ext uri="{FF2B5EF4-FFF2-40B4-BE49-F238E27FC236}">
                              <a16:creationId xmlns:a16="http://schemas.microsoft.com/office/drawing/2014/main" id="{DAFDBBAE-3044-519D-1493-1C20A7A150C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4269" name="Group 4268">
                        <a:extLst>
                          <a:ext uri="{FF2B5EF4-FFF2-40B4-BE49-F238E27FC236}">
                            <a16:creationId xmlns:a16="http://schemas.microsoft.com/office/drawing/2014/main" id="{EA901297-B28F-74C2-5A55-D6013853BD74}"/>
                          </a:ext>
                        </a:extLst>
                      </xdr:cNvPr>
                      <xdr:cNvGrpSpPr/>
                    </xdr:nvGrpSpPr>
                    <xdr:grpSpPr>
                      <a:xfrm>
                        <a:off x="365760" y="3977640"/>
                        <a:ext cx="2438400" cy="457200"/>
                        <a:chOff x="365760" y="3535680"/>
                        <a:chExt cx="1584960" cy="457200"/>
                      </a:xfrm>
                    </xdr:grpSpPr>
                    <xdr:sp macro="" textlink="">
                      <xdr:nvSpPr>
                        <xdr:cNvPr id="4273" name="Rectangle 4272">
                          <a:extLst>
                            <a:ext uri="{FF2B5EF4-FFF2-40B4-BE49-F238E27FC236}">
                              <a16:creationId xmlns:a16="http://schemas.microsoft.com/office/drawing/2014/main" id="{0C08A6F8-7599-AC77-9946-596DE5FEDE7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4274" name="Rectangle 4273">
                          <a:hlinkClick xmlns:r="http://schemas.openxmlformats.org/officeDocument/2006/relationships" r:id="rId7"/>
                          <a:extLst>
                            <a:ext uri="{FF2B5EF4-FFF2-40B4-BE49-F238E27FC236}">
                              <a16:creationId xmlns:a16="http://schemas.microsoft.com/office/drawing/2014/main" id="{EB200424-5A49-4072-FE68-B05C211CE66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4270" name="Group 4269">
                        <a:extLst>
                          <a:ext uri="{FF2B5EF4-FFF2-40B4-BE49-F238E27FC236}">
                            <a16:creationId xmlns:a16="http://schemas.microsoft.com/office/drawing/2014/main" id="{1DBE7B46-FD91-AAB0-904C-5666AD51DEB0}"/>
                          </a:ext>
                        </a:extLst>
                      </xdr:cNvPr>
                      <xdr:cNvGrpSpPr/>
                    </xdr:nvGrpSpPr>
                    <xdr:grpSpPr>
                      <a:xfrm>
                        <a:off x="365760" y="4411980"/>
                        <a:ext cx="2438400" cy="457200"/>
                        <a:chOff x="365760" y="3535680"/>
                        <a:chExt cx="1584960" cy="457200"/>
                      </a:xfrm>
                    </xdr:grpSpPr>
                    <xdr:sp macro="" textlink="">
                      <xdr:nvSpPr>
                        <xdr:cNvPr id="4271" name="Rectangle 4270">
                          <a:hlinkClick xmlns:r="http://schemas.openxmlformats.org/officeDocument/2006/relationships" r:id="rId8"/>
                          <a:extLst>
                            <a:ext uri="{FF2B5EF4-FFF2-40B4-BE49-F238E27FC236}">
                              <a16:creationId xmlns:a16="http://schemas.microsoft.com/office/drawing/2014/main" id="{0205D69D-4396-0BA5-4EFD-B3B7AE5A5AD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4272" name="Rectangle 4271">
                          <a:extLst>
                            <a:ext uri="{FF2B5EF4-FFF2-40B4-BE49-F238E27FC236}">
                              <a16:creationId xmlns:a16="http://schemas.microsoft.com/office/drawing/2014/main" id="{16FB5C99-11BA-A191-812A-52E153839B7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4266" name="Rectangle 4265">
                      <a:extLst>
                        <a:ext uri="{FF2B5EF4-FFF2-40B4-BE49-F238E27FC236}">
                          <a16:creationId xmlns:a16="http://schemas.microsoft.com/office/drawing/2014/main" id="{C282ADE9-BBE8-27AC-650B-1A0E15C2331D}"/>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4213" name="Group 4212">
                    <a:extLst>
                      <a:ext uri="{FF2B5EF4-FFF2-40B4-BE49-F238E27FC236}">
                        <a16:creationId xmlns:a16="http://schemas.microsoft.com/office/drawing/2014/main" id="{CF4F4870-B31B-C0E7-7EEC-E7F8FFD45BB0}"/>
                      </a:ext>
                    </a:extLst>
                  </xdr:cNvPr>
                  <xdr:cNvGrpSpPr/>
                </xdr:nvGrpSpPr>
                <xdr:grpSpPr>
                  <a:xfrm>
                    <a:off x="205740" y="3192780"/>
                    <a:ext cx="2743200" cy="1943100"/>
                    <a:chOff x="205740" y="3192780"/>
                    <a:chExt cx="2743200" cy="1943100"/>
                  </a:xfrm>
                </xdr:grpSpPr>
                <xdr:grpSp>
                  <xdr:nvGrpSpPr>
                    <xdr:cNvPr id="4253" name="Group 4252">
                      <a:extLst>
                        <a:ext uri="{FF2B5EF4-FFF2-40B4-BE49-F238E27FC236}">
                          <a16:creationId xmlns:a16="http://schemas.microsoft.com/office/drawing/2014/main" id="{F3099937-C19D-D313-6FD8-0F29FD3DF587}"/>
                        </a:ext>
                      </a:extLst>
                    </xdr:cNvPr>
                    <xdr:cNvGrpSpPr/>
                  </xdr:nvGrpSpPr>
                  <xdr:grpSpPr>
                    <a:xfrm>
                      <a:off x="205740" y="3192780"/>
                      <a:ext cx="2743200" cy="1714500"/>
                      <a:chOff x="60960" y="3154680"/>
                      <a:chExt cx="2743200" cy="1714500"/>
                    </a:xfrm>
                  </xdr:grpSpPr>
                  <xdr:sp macro="" textlink="">
                    <xdr:nvSpPr>
                      <xdr:cNvPr id="4255" name="Rectangle 4254">
                        <a:extLst>
                          <a:ext uri="{FF2B5EF4-FFF2-40B4-BE49-F238E27FC236}">
                            <a16:creationId xmlns:a16="http://schemas.microsoft.com/office/drawing/2014/main" id="{A1220E18-9A76-0D5C-4D98-E71BCB75192F}"/>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4256" name="Group 4255">
                        <a:extLst>
                          <a:ext uri="{FF2B5EF4-FFF2-40B4-BE49-F238E27FC236}">
                            <a16:creationId xmlns:a16="http://schemas.microsoft.com/office/drawing/2014/main" id="{A8375E2D-FE8D-AE1A-482B-910967E2018F}"/>
                          </a:ext>
                        </a:extLst>
                      </xdr:cNvPr>
                      <xdr:cNvGrpSpPr/>
                    </xdr:nvGrpSpPr>
                    <xdr:grpSpPr>
                      <a:xfrm>
                        <a:off x="365760" y="3535680"/>
                        <a:ext cx="2438400" cy="457200"/>
                        <a:chOff x="365760" y="3535680"/>
                        <a:chExt cx="1584960" cy="457200"/>
                      </a:xfrm>
                    </xdr:grpSpPr>
                    <xdr:sp macro="" textlink="">
                      <xdr:nvSpPr>
                        <xdr:cNvPr id="4263" name="Rectangle 4262">
                          <a:hlinkClick xmlns:r="http://schemas.openxmlformats.org/officeDocument/2006/relationships" r:id="rId9"/>
                          <a:extLst>
                            <a:ext uri="{FF2B5EF4-FFF2-40B4-BE49-F238E27FC236}">
                              <a16:creationId xmlns:a16="http://schemas.microsoft.com/office/drawing/2014/main" id="{F45E14BA-994C-7E21-0A12-CB959B3C477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4264" name="Rectangle 4263">
                          <a:hlinkClick xmlns:r="http://schemas.openxmlformats.org/officeDocument/2006/relationships" r:id="rId10"/>
                          <a:extLst>
                            <a:ext uri="{FF2B5EF4-FFF2-40B4-BE49-F238E27FC236}">
                              <a16:creationId xmlns:a16="http://schemas.microsoft.com/office/drawing/2014/main" id="{504BADE4-B8A9-E19A-9546-A173C41614E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4257" name="Group 4256">
                        <a:extLst>
                          <a:ext uri="{FF2B5EF4-FFF2-40B4-BE49-F238E27FC236}">
                            <a16:creationId xmlns:a16="http://schemas.microsoft.com/office/drawing/2014/main" id="{35EB2E7A-00E9-CF90-A059-953E83FAB0B8}"/>
                          </a:ext>
                        </a:extLst>
                      </xdr:cNvPr>
                      <xdr:cNvGrpSpPr/>
                    </xdr:nvGrpSpPr>
                    <xdr:grpSpPr>
                      <a:xfrm>
                        <a:off x="365760" y="3977640"/>
                        <a:ext cx="2438400" cy="457200"/>
                        <a:chOff x="365760" y="3535680"/>
                        <a:chExt cx="1584960" cy="457200"/>
                      </a:xfrm>
                    </xdr:grpSpPr>
                    <xdr:sp macro="" textlink="">
                      <xdr:nvSpPr>
                        <xdr:cNvPr id="4261" name="Rectangle 4260">
                          <a:hlinkClick xmlns:r="http://schemas.openxmlformats.org/officeDocument/2006/relationships" r:id="rId11"/>
                          <a:extLst>
                            <a:ext uri="{FF2B5EF4-FFF2-40B4-BE49-F238E27FC236}">
                              <a16:creationId xmlns:a16="http://schemas.microsoft.com/office/drawing/2014/main" id="{CD98425B-B47C-7B2E-DED6-1C641FE6DDD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4262" name="Rectangle 4261">
                          <a:hlinkClick xmlns:r="http://schemas.openxmlformats.org/officeDocument/2006/relationships" r:id="rId12"/>
                          <a:extLst>
                            <a:ext uri="{FF2B5EF4-FFF2-40B4-BE49-F238E27FC236}">
                              <a16:creationId xmlns:a16="http://schemas.microsoft.com/office/drawing/2014/main" id="{376B97C6-F888-9817-DD90-0E6EB068350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4258" name="Group 4257">
                        <a:extLst>
                          <a:ext uri="{FF2B5EF4-FFF2-40B4-BE49-F238E27FC236}">
                            <a16:creationId xmlns:a16="http://schemas.microsoft.com/office/drawing/2014/main" id="{56126EC7-712D-EF35-730C-2ECFEFAB8F1E}"/>
                          </a:ext>
                        </a:extLst>
                      </xdr:cNvPr>
                      <xdr:cNvGrpSpPr/>
                    </xdr:nvGrpSpPr>
                    <xdr:grpSpPr>
                      <a:xfrm>
                        <a:off x="365760" y="4411980"/>
                        <a:ext cx="2438400" cy="457200"/>
                        <a:chOff x="365760" y="3535680"/>
                        <a:chExt cx="1584960" cy="457200"/>
                      </a:xfrm>
                    </xdr:grpSpPr>
                    <xdr:sp macro="" textlink="">
                      <xdr:nvSpPr>
                        <xdr:cNvPr id="4259" name="Rectangle 4258">
                          <a:hlinkClick xmlns:r="http://schemas.openxmlformats.org/officeDocument/2006/relationships" r:id="rId13"/>
                          <a:extLst>
                            <a:ext uri="{FF2B5EF4-FFF2-40B4-BE49-F238E27FC236}">
                              <a16:creationId xmlns:a16="http://schemas.microsoft.com/office/drawing/2014/main" id="{F9B7446F-0366-3133-0BA8-58E4112534D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4260" name="Rectangle 4259">
                          <a:hlinkClick xmlns:r="http://schemas.openxmlformats.org/officeDocument/2006/relationships" r:id="rId14"/>
                          <a:extLst>
                            <a:ext uri="{FF2B5EF4-FFF2-40B4-BE49-F238E27FC236}">
                              <a16:creationId xmlns:a16="http://schemas.microsoft.com/office/drawing/2014/main" id="{9FBE6EC5-3ACC-B49E-A040-1AB1F1B9241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4254" name="Rectangle 4253">
                      <a:hlinkClick xmlns:r="http://schemas.openxmlformats.org/officeDocument/2006/relationships" r:id="rId9"/>
                      <a:extLst>
                        <a:ext uri="{FF2B5EF4-FFF2-40B4-BE49-F238E27FC236}">
                          <a16:creationId xmlns:a16="http://schemas.microsoft.com/office/drawing/2014/main" id="{DEE4BB6B-37CA-F92D-1658-7B05722331B4}"/>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4214" name="Group 4213">
                    <a:extLst>
                      <a:ext uri="{FF2B5EF4-FFF2-40B4-BE49-F238E27FC236}">
                        <a16:creationId xmlns:a16="http://schemas.microsoft.com/office/drawing/2014/main" id="{0E30623E-7383-2803-2D8A-676D62E3DAC8}"/>
                      </a:ext>
                    </a:extLst>
                  </xdr:cNvPr>
                  <xdr:cNvGrpSpPr/>
                </xdr:nvGrpSpPr>
                <xdr:grpSpPr>
                  <a:xfrm>
                    <a:off x="5692140" y="3208020"/>
                    <a:ext cx="2743200" cy="1935480"/>
                    <a:chOff x="2948940" y="3200400"/>
                    <a:chExt cx="2743200" cy="1935480"/>
                  </a:xfrm>
                </xdr:grpSpPr>
                <xdr:grpSp>
                  <xdr:nvGrpSpPr>
                    <xdr:cNvPr id="4241" name="Group 4240">
                      <a:extLst>
                        <a:ext uri="{FF2B5EF4-FFF2-40B4-BE49-F238E27FC236}">
                          <a16:creationId xmlns:a16="http://schemas.microsoft.com/office/drawing/2014/main" id="{F6E2E8A2-B87F-2FE6-F343-DF5438CD522F}"/>
                        </a:ext>
                      </a:extLst>
                    </xdr:cNvPr>
                    <xdr:cNvGrpSpPr/>
                  </xdr:nvGrpSpPr>
                  <xdr:grpSpPr>
                    <a:xfrm>
                      <a:off x="2948940" y="3200400"/>
                      <a:ext cx="2743200" cy="1714500"/>
                      <a:chOff x="60960" y="3154680"/>
                      <a:chExt cx="2743200" cy="1714500"/>
                    </a:xfrm>
                  </xdr:grpSpPr>
                  <xdr:sp macro="" textlink="">
                    <xdr:nvSpPr>
                      <xdr:cNvPr id="4243" name="Rectangle 4242">
                        <a:extLst>
                          <a:ext uri="{FF2B5EF4-FFF2-40B4-BE49-F238E27FC236}">
                            <a16:creationId xmlns:a16="http://schemas.microsoft.com/office/drawing/2014/main" id="{60E3FC44-D1D9-570E-496C-E26CC0F416A0}"/>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244" name="Group 4243">
                        <a:extLst>
                          <a:ext uri="{FF2B5EF4-FFF2-40B4-BE49-F238E27FC236}">
                            <a16:creationId xmlns:a16="http://schemas.microsoft.com/office/drawing/2014/main" id="{08725864-6E4E-B63D-F37F-79A6BE0F49C8}"/>
                          </a:ext>
                        </a:extLst>
                      </xdr:cNvPr>
                      <xdr:cNvGrpSpPr/>
                    </xdr:nvGrpSpPr>
                    <xdr:grpSpPr>
                      <a:xfrm>
                        <a:off x="365760" y="3535680"/>
                        <a:ext cx="2438400" cy="457200"/>
                        <a:chOff x="365760" y="3535680"/>
                        <a:chExt cx="1584960" cy="457200"/>
                      </a:xfrm>
                    </xdr:grpSpPr>
                    <xdr:sp macro="" textlink="">
                      <xdr:nvSpPr>
                        <xdr:cNvPr id="4251" name="Rectangle 4250">
                          <a:hlinkClick xmlns:r="http://schemas.openxmlformats.org/officeDocument/2006/relationships" r:id="rId15"/>
                          <a:extLst>
                            <a:ext uri="{FF2B5EF4-FFF2-40B4-BE49-F238E27FC236}">
                              <a16:creationId xmlns:a16="http://schemas.microsoft.com/office/drawing/2014/main" id="{4D03E7B3-9FF1-2FB1-4092-E6945B3E39A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4252" name="Rectangle 4251">
                          <a:hlinkClick xmlns:r="http://schemas.openxmlformats.org/officeDocument/2006/relationships" r:id="rId16"/>
                          <a:extLst>
                            <a:ext uri="{FF2B5EF4-FFF2-40B4-BE49-F238E27FC236}">
                              <a16:creationId xmlns:a16="http://schemas.microsoft.com/office/drawing/2014/main" id="{795BDDF8-B0D2-3F83-454B-3430D7A8148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245" name="Group 4244">
                        <a:extLst>
                          <a:ext uri="{FF2B5EF4-FFF2-40B4-BE49-F238E27FC236}">
                            <a16:creationId xmlns:a16="http://schemas.microsoft.com/office/drawing/2014/main" id="{672BCD39-4A4E-65BC-A685-998E012BED22}"/>
                          </a:ext>
                        </a:extLst>
                      </xdr:cNvPr>
                      <xdr:cNvGrpSpPr/>
                    </xdr:nvGrpSpPr>
                    <xdr:grpSpPr>
                      <a:xfrm>
                        <a:off x="365760" y="3977640"/>
                        <a:ext cx="2438400" cy="457200"/>
                        <a:chOff x="365760" y="3535680"/>
                        <a:chExt cx="1584960" cy="457200"/>
                      </a:xfrm>
                    </xdr:grpSpPr>
                    <xdr:sp macro="" textlink="">
                      <xdr:nvSpPr>
                        <xdr:cNvPr id="4249" name="Rectangle 4248">
                          <a:extLst>
                            <a:ext uri="{FF2B5EF4-FFF2-40B4-BE49-F238E27FC236}">
                              <a16:creationId xmlns:a16="http://schemas.microsoft.com/office/drawing/2014/main" id="{FE242521-4D46-EC44-984E-FCCD7115DC2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4250" name="Rectangle 4249">
                          <a:extLst>
                            <a:ext uri="{FF2B5EF4-FFF2-40B4-BE49-F238E27FC236}">
                              <a16:creationId xmlns:a16="http://schemas.microsoft.com/office/drawing/2014/main" id="{522D7AB0-BBA7-16DF-05D7-7707C3593F8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246" name="Group 4245">
                        <a:extLst>
                          <a:ext uri="{FF2B5EF4-FFF2-40B4-BE49-F238E27FC236}">
                            <a16:creationId xmlns:a16="http://schemas.microsoft.com/office/drawing/2014/main" id="{9451C6E4-86D2-EE83-A842-BA1F017EE1B2}"/>
                          </a:ext>
                        </a:extLst>
                      </xdr:cNvPr>
                      <xdr:cNvGrpSpPr/>
                    </xdr:nvGrpSpPr>
                    <xdr:grpSpPr>
                      <a:xfrm>
                        <a:off x="365760" y="4411980"/>
                        <a:ext cx="2438400" cy="457200"/>
                        <a:chOff x="365760" y="3535680"/>
                        <a:chExt cx="1584960" cy="457200"/>
                      </a:xfrm>
                    </xdr:grpSpPr>
                    <xdr:sp macro="" textlink="">
                      <xdr:nvSpPr>
                        <xdr:cNvPr id="4247" name="Rectangle 4246">
                          <a:extLst>
                            <a:ext uri="{FF2B5EF4-FFF2-40B4-BE49-F238E27FC236}">
                              <a16:creationId xmlns:a16="http://schemas.microsoft.com/office/drawing/2014/main" id="{E38F4F05-5C9B-701A-82D0-945DB00DE3F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4248" name="Rectangle 4247">
                          <a:extLst>
                            <a:ext uri="{FF2B5EF4-FFF2-40B4-BE49-F238E27FC236}">
                              <a16:creationId xmlns:a16="http://schemas.microsoft.com/office/drawing/2014/main" id="{D6473E97-7C90-387E-F914-8BF61B9EE24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242" name="Rectangle 4241">
                      <a:extLst>
                        <a:ext uri="{FF2B5EF4-FFF2-40B4-BE49-F238E27FC236}">
                          <a16:creationId xmlns:a16="http://schemas.microsoft.com/office/drawing/2014/main" id="{55B074B3-8CCD-DFB1-B241-46CBB06CBCE9}"/>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4215" name="Group 4214">
                    <a:extLst>
                      <a:ext uri="{FF2B5EF4-FFF2-40B4-BE49-F238E27FC236}">
                        <a16:creationId xmlns:a16="http://schemas.microsoft.com/office/drawing/2014/main" id="{2863F940-9EB4-A577-12CB-317CDD600F5B}"/>
                      </a:ext>
                    </a:extLst>
                  </xdr:cNvPr>
                  <xdr:cNvGrpSpPr/>
                </xdr:nvGrpSpPr>
                <xdr:grpSpPr>
                  <a:xfrm>
                    <a:off x="8435340" y="3208020"/>
                    <a:ext cx="2743200" cy="1935480"/>
                    <a:chOff x="2948940" y="3200400"/>
                    <a:chExt cx="2743200" cy="1935480"/>
                  </a:xfrm>
                </xdr:grpSpPr>
                <xdr:grpSp>
                  <xdr:nvGrpSpPr>
                    <xdr:cNvPr id="4229" name="Group 4228">
                      <a:extLst>
                        <a:ext uri="{FF2B5EF4-FFF2-40B4-BE49-F238E27FC236}">
                          <a16:creationId xmlns:a16="http://schemas.microsoft.com/office/drawing/2014/main" id="{BEBD5CBC-4D3C-A989-5E95-7EE9FF8FCEE4}"/>
                        </a:ext>
                      </a:extLst>
                    </xdr:cNvPr>
                    <xdr:cNvGrpSpPr/>
                  </xdr:nvGrpSpPr>
                  <xdr:grpSpPr>
                    <a:xfrm>
                      <a:off x="2948940" y="3200400"/>
                      <a:ext cx="2743200" cy="1714500"/>
                      <a:chOff x="60960" y="3154680"/>
                      <a:chExt cx="2743200" cy="1714500"/>
                    </a:xfrm>
                  </xdr:grpSpPr>
                  <xdr:sp macro="" textlink="">
                    <xdr:nvSpPr>
                      <xdr:cNvPr id="4231" name="Rectangle 4230">
                        <a:extLst>
                          <a:ext uri="{FF2B5EF4-FFF2-40B4-BE49-F238E27FC236}">
                            <a16:creationId xmlns:a16="http://schemas.microsoft.com/office/drawing/2014/main" id="{554D177C-BE1E-AE27-E129-3CFDFBD0855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4232" name="Group 4231">
                        <a:extLst>
                          <a:ext uri="{FF2B5EF4-FFF2-40B4-BE49-F238E27FC236}">
                            <a16:creationId xmlns:a16="http://schemas.microsoft.com/office/drawing/2014/main" id="{518B9E9A-E2D9-1A36-CB66-66FD0CEAF517}"/>
                          </a:ext>
                        </a:extLst>
                      </xdr:cNvPr>
                      <xdr:cNvGrpSpPr/>
                    </xdr:nvGrpSpPr>
                    <xdr:grpSpPr>
                      <a:xfrm>
                        <a:off x="365760" y="3535680"/>
                        <a:ext cx="2438400" cy="457200"/>
                        <a:chOff x="365760" y="3535680"/>
                        <a:chExt cx="1584960" cy="457200"/>
                      </a:xfrm>
                    </xdr:grpSpPr>
                    <xdr:sp macro="" textlink="">
                      <xdr:nvSpPr>
                        <xdr:cNvPr id="4239" name="Rectangle 4238">
                          <a:extLst>
                            <a:ext uri="{FF2B5EF4-FFF2-40B4-BE49-F238E27FC236}">
                              <a16:creationId xmlns:a16="http://schemas.microsoft.com/office/drawing/2014/main" id="{583CF0C3-519C-E62E-79F7-209CFC280DB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40" name="Rectangle 4239">
                          <a:extLst>
                            <a:ext uri="{FF2B5EF4-FFF2-40B4-BE49-F238E27FC236}">
                              <a16:creationId xmlns:a16="http://schemas.microsoft.com/office/drawing/2014/main" id="{53A76FC5-29B5-7C41-41B4-D6FCC699F32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4233" name="Group 4232">
                        <a:extLst>
                          <a:ext uri="{FF2B5EF4-FFF2-40B4-BE49-F238E27FC236}">
                            <a16:creationId xmlns:a16="http://schemas.microsoft.com/office/drawing/2014/main" id="{0DD84367-1A40-9156-0971-FF8618E0228E}"/>
                          </a:ext>
                        </a:extLst>
                      </xdr:cNvPr>
                      <xdr:cNvGrpSpPr/>
                    </xdr:nvGrpSpPr>
                    <xdr:grpSpPr>
                      <a:xfrm>
                        <a:off x="365760" y="3977640"/>
                        <a:ext cx="2438400" cy="457200"/>
                        <a:chOff x="365760" y="3535680"/>
                        <a:chExt cx="1584960" cy="457200"/>
                      </a:xfrm>
                    </xdr:grpSpPr>
                    <xdr:sp macro="" textlink="">
                      <xdr:nvSpPr>
                        <xdr:cNvPr id="4237" name="Rectangle 4236">
                          <a:extLst>
                            <a:ext uri="{FF2B5EF4-FFF2-40B4-BE49-F238E27FC236}">
                              <a16:creationId xmlns:a16="http://schemas.microsoft.com/office/drawing/2014/main" id="{3ED74558-2FDB-6E7C-FD83-0BFA6DE1EFA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238" name="Rectangle 4237">
                          <a:extLst>
                            <a:ext uri="{FF2B5EF4-FFF2-40B4-BE49-F238E27FC236}">
                              <a16:creationId xmlns:a16="http://schemas.microsoft.com/office/drawing/2014/main" id="{138E0571-B627-DAC8-0688-7C60BF8CE07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4234" name="Group 4233">
                        <a:extLst>
                          <a:ext uri="{FF2B5EF4-FFF2-40B4-BE49-F238E27FC236}">
                            <a16:creationId xmlns:a16="http://schemas.microsoft.com/office/drawing/2014/main" id="{BF614406-82B6-3456-16A9-F3249A1729C2}"/>
                          </a:ext>
                        </a:extLst>
                      </xdr:cNvPr>
                      <xdr:cNvGrpSpPr/>
                    </xdr:nvGrpSpPr>
                    <xdr:grpSpPr>
                      <a:xfrm>
                        <a:off x="365760" y="4411980"/>
                        <a:ext cx="2438400" cy="457200"/>
                        <a:chOff x="365760" y="3535680"/>
                        <a:chExt cx="1584960" cy="457200"/>
                      </a:xfrm>
                    </xdr:grpSpPr>
                    <xdr:sp macro="" textlink="">
                      <xdr:nvSpPr>
                        <xdr:cNvPr id="4235" name="Rectangle 4234">
                          <a:extLst>
                            <a:ext uri="{FF2B5EF4-FFF2-40B4-BE49-F238E27FC236}">
                              <a16:creationId xmlns:a16="http://schemas.microsoft.com/office/drawing/2014/main" id="{D3BFBDF0-AD91-66FA-C8A3-F676FA3359C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4236" name="Rectangle 4235">
                          <a:extLst>
                            <a:ext uri="{FF2B5EF4-FFF2-40B4-BE49-F238E27FC236}">
                              <a16:creationId xmlns:a16="http://schemas.microsoft.com/office/drawing/2014/main" id="{9D20B3BF-0347-3520-6063-0271E88A007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4230" name="Rectangle 4229">
                      <a:extLst>
                        <a:ext uri="{FF2B5EF4-FFF2-40B4-BE49-F238E27FC236}">
                          <a16:creationId xmlns:a16="http://schemas.microsoft.com/office/drawing/2014/main" id="{2E609A37-0BC1-40DE-78BB-BAA8A1D32323}"/>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4216" name="Group 4215">
                    <a:extLst>
                      <a:ext uri="{FF2B5EF4-FFF2-40B4-BE49-F238E27FC236}">
                        <a16:creationId xmlns:a16="http://schemas.microsoft.com/office/drawing/2014/main" id="{1E995C08-7CFA-50E0-FEA3-8D243B5328CD}"/>
                      </a:ext>
                    </a:extLst>
                  </xdr:cNvPr>
                  <xdr:cNvGrpSpPr/>
                </xdr:nvGrpSpPr>
                <xdr:grpSpPr>
                  <a:xfrm>
                    <a:off x="11170920" y="3208020"/>
                    <a:ext cx="2743200" cy="1935480"/>
                    <a:chOff x="2948940" y="3200400"/>
                    <a:chExt cx="2743200" cy="1935480"/>
                  </a:xfrm>
                </xdr:grpSpPr>
                <xdr:grpSp>
                  <xdr:nvGrpSpPr>
                    <xdr:cNvPr id="4217" name="Group 4216">
                      <a:extLst>
                        <a:ext uri="{FF2B5EF4-FFF2-40B4-BE49-F238E27FC236}">
                          <a16:creationId xmlns:a16="http://schemas.microsoft.com/office/drawing/2014/main" id="{734839FC-D7B0-F325-B60C-A147CCBA91DC}"/>
                        </a:ext>
                      </a:extLst>
                    </xdr:cNvPr>
                    <xdr:cNvGrpSpPr/>
                  </xdr:nvGrpSpPr>
                  <xdr:grpSpPr>
                    <a:xfrm>
                      <a:off x="2948940" y="3200400"/>
                      <a:ext cx="2743200" cy="1714500"/>
                      <a:chOff x="60960" y="3154680"/>
                      <a:chExt cx="2743200" cy="1714500"/>
                    </a:xfrm>
                  </xdr:grpSpPr>
                  <xdr:sp macro="" textlink="">
                    <xdr:nvSpPr>
                      <xdr:cNvPr id="4219" name="Rectangle 4218">
                        <a:extLst>
                          <a:ext uri="{FF2B5EF4-FFF2-40B4-BE49-F238E27FC236}">
                            <a16:creationId xmlns:a16="http://schemas.microsoft.com/office/drawing/2014/main" id="{ED71FEB3-2CB5-31D0-989F-17361C109CDD}"/>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4220" name="Group 4219">
                        <a:extLst>
                          <a:ext uri="{FF2B5EF4-FFF2-40B4-BE49-F238E27FC236}">
                            <a16:creationId xmlns:a16="http://schemas.microsoft.com/office/drawing/2014/main" id="{D9A22EB3-90DB-1AA5-1139-2125DF2D8AAE}"/>
                          </a:ext>
                        </a:extLst>
                      </xdr:cNvPr>
                      <xdr:cNvGrpSpPr/>
                    </xdr:nvGrpSpPr>
                    <xdr:grpSpPr>
                      <a:xfrm>
                        <a:off x="365760" y="3535680"/>
                        <a:ext cx="2438400" cy="457200"/>
                        <a:chOff x="365760" y="3535680"/>
                        <a:chExt cx="1584960" cy="457200"/>
                      </a:xfrm>
                    </xdr:grpSpPr>
                    <xdr:sp macro="" textlink="">
                      <xdr:nvSpPr>
                        <xdr:cNvPr id="4227" name="Rectangle 4226">
                          <a:hlinkClick xmlns:r="http://schemas.openxmlformats.org/officeDocument/2006/relationships" r:id="rId17"/>
                          <a:extLst>
                            <a:ext uri="{FF2B5EF4-FFF2-40B4-BE49-F238E27FC236}">
                              <a16:creationId xmlns:a16="http://schemas.microsoft.com/office/drawing/2014/main" id="{9DE38A24-418C-AE88-D03C-5D9C8F8B4A9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4228" name="Rectangle 4227">
                          <a:hlinkClick xmlns:r="http://schemas.openxmlformats.org/officeDocument/2006/relationships" r:id="rId18"/>
                          <a:extLst>
                            <a:ext uri="{FF2B5EF4-FFF2-40B4-BE49-F238E27FC236}">
                              <a16:creationId xmlns:a16="http://schemas.microsoft.com/office/drawing/2014/main" id="{284E435E-6409-8C48-F8F7-412414AF520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4221" name="Group 4220">
                        <a:extLst>
                          <a:ext uri="{FF2B5EF4-FFF2-40B4-BE49-F238E27FC236}">
                            <a16:creationId xmlns:a16="http://schemas.microsoft.com/office/drawing/2014/main" id="{B7C2A90B-544C-63F0-F50C-89371DA1D973}"/>
                          </a:ext>
                        </a:extLst>
                      </xdr:cNvPr>
                      <xdr:cNvGrpSpPr/>
                    </xdr:nvGrpSpPr>
                    <xdr:grpSpPr>
                      <a:xfrm>
                        <a:off x="365760" y="3977640"/>
                        <a:ext cx="2438400" cy="457200"/>
                        <a:chOff x="365760" y="3535680"/>
                        <a:chExt cx="1584960" cy="457200"/>
                      </a:xfrm>
                    </xdr:grpSpPr>
                    <xdr:sp macro="" textlink="">
                      <xdr:nvSpPr>
                        <xdr:cNvPr id="4225" name="Rectangle 4224">
                          <a:hlinkClick xmlns:r="http://schemas.openxmlformats.org/officeDocument/2006/relationships" r:id="rId19"/>
                          <a:extLst>
                            <a:ext uri="{FF2B5EF4-FFF2-40B4-BE49-F238E27FC236}">
                              <a16:creationId xmlns:a16="http://schemas.microsoft.com/office/drawing/2014/main" id="{7C2D7243-DA64-B13D-1CD6-A81444A2A27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4226" name="Rectangle 4225">
                          <a:extLst>
                            <a:ext uri="{FF2B5EF4-FFF2-40B4-BE49-F238E27FC236}">
                              <a16:creationId xmlns:a16="http://schemas.microsoft.com/office/drawing/2014/main" id="{17DC763B-26B3-4A05-8ECA-0FDBD943289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4222" name="Group 4221">
                        <a:extLst>
                          <a:ext uri="{FF2B5EF4-FFF2-40B4-BE49-F238E27FC236}">
                            <a16:creationId xmlns:a16="http://schemas.microsoft.com/office/drawing/2014/main" id="{2B18A940-0F1E-B454-C053-DFF79BF17849}"/>
                          </a:ext>
                        </a:extLst>
                      </xdr:cNvPr>
                      <xdr:cNvGrpSpPr/>
                    </xdr:nvGrpSpPr>
                    <xdr:grpSpPr>
                      <a:xfrm>
                        <a:off x="365760" y="4411980"/>
                        <a:ext cx="2438400" cy="457200"/>
                        <a:chOff x="365760" y="3535680"/>
                        <a:chExt cx="1584960" cy="457200"/>
                      </a:xfrm>
                    </xdr:grpSpPr>
                    <xdr:sp macro="" textlink="">
                      <xdr:nvSpPr>
                        <xdr:cNvPr id="4223" name="Rectangle 4222">
                          <a:extLst>
                            <a:ext uri="{FF2B5EF4-FFF2-40B4-BE49-F238E27FC236}">
                              <a16:creationId xmlns:a16="http://schemas.microsoft.com/office/drawing/2014/main" id="{EE44F0B5-B213-89EB-8579-8DE9BEC6053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4224" name="Rectangle 4223">
                          <a:extLst>
                            <a:ext uri="{FF2B5EF4-FFF2-40B4-BE49-F238E27FC236}">
                              <a16:creationId xmlns:a16="http://schemas.microsoft.com/office/drawing/2014/main" id="{BA666010-E6B8-FBA6-E2E5-6E70B19DEC9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4218" name="Rectangle 4217">
                      <a:extLst>
                        <a:ext uri="{FF2B5EF4-FFF2-40B4-BE49-F238E27FC236}">
                          <a16:creationId xmlns:a16="http://schemas.microsoft.com/office/drawing/2014/main" id="{D6CD3C4A-2DD6-2965-39D1-3884C33140D2}"/>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4211" name="Rectangle 4210">
                  <a:extLst>
                    <a:ext uri="{FF2B5EF4-FFF2-40B4-BE49-F238E27FC236}">
                      <a16:creationId xmlns:a16="http://schemas.microsoft.com/office/drawing/2014/main" id="{B2E76D0F-C5E1-F246-A4F1-6E023DC3C916}"/>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4205" name="Rectangle: Rounded Corners 4204">
              <a:extLst>
                <a:ext uri="{FF2B5EF4-FFF2-40B4-BE49-F238E27FC236}">
                  <a16:creationId xmlns:a16="http://schemas.microsoft.com/office/drawing/2014/main" id="{528D6835-322C-8E54-09E3-F5A682511558}"/>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4206" name="Rectangle: Rounded Corners 4205">
              <a:extLst>
                <a:ext uri="{FF2B5EF4-FFF2-40B4-BE49-F238E27FC236}">
                  <a16:creationId xmlns:a16="http://schemas.microsoft.com/office/drawing/2014/main" id="{771B202F-718E-CCD6-3E63-04B00FF490DB}"/>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4207" name="Rectangle: Rounded Corners 4206">
              <a:extLst>
                <a:ext uri="{FF2B5EF4-FFF2-40B4-BE49-F238E27FC236}">
                  <a16:creationId xmlns:a16="http://schemas.microsoft.com/office/drawing/2014/main" id="{1C696263-B26B-2D6A-FFBC-2E2C0E54B06E}"/>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202" name="Picture 4201">
            <a:hlinkClick xmlns:r="http://schemas.openxmlformats.org/officeDocument/2006/relationships" r:id="rId20"/>
            <a:extLst>
              <a:ext uri="{FF2B5EF4-FFF2-40B4-BE49-F238E27FC236}">
                <a16:creationId xmlns:a16="http://schemas.microsoft.com/office/drawing/2014/main" id="{631E47AD-3596-AAAD-FF9F-779DC9A864D7}"/>
              </a:ext>
            </a:extLst>
          </xdr:cNvPr>
          <xdr:cNvPicPr>
            <a:picLocks noChangeAspect="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twoCellAnchor>
    <xdr:from>
      <xdr:col>24</xdr:col>
      <xdr:colOff>820834</xdr:colOff>
      <xdr:row>3</xdr:row>
      <xdr:rowOff>111338</xdr:rowOff>
    </xdr:from>
    <xdr:to>
      <xdr:col>29</xdr:col>
      <xdr:colOff>22849</xdr:colOff>
      <xdr:row>10</xdr:row>
      <xdr:rowOff>149012</xdr:rowOff>
    </xdr:to>
    <xdr:grpSp>
      <xdr:nvGrpSpPr>
        <xdr:cNvPr id="4283" name="Group 4282">
          <a:extLst>
            <a:ext uri="{FF2B5EF4-FFF2-40B4-BE49-F238E27FC236}">
              <a16:creationId xmlns:a16="http://schemas.microsoft.com/office/drawing/2014/main" id="{46035EBC-08F1-1866-D602-2291CD5C2875}"/>
            </a:ext>
          </a:extLst>
        </xdr:cNvPr>
        <xdr:cNvGrpSpPr/>
      </xdr:nvGrpSpPr>
      <xdr:grpSpPr>
        <a:xfrm>
          <a:off x="18743709" y="682838"/>
          <a:ext cx="2615140" cy="1371174"/>
          <a:chOff x="16551064" y="631192"/>
          <a:chExt cx="2256789" cy="1284391"/>
        </a:xfrm>
      </xdr:grpSpPr>
      <xdr:sp macro="" textlink="">
        <xdr:nvSpPr>
          <xdr:cNvPr id="4278" name="Rectangle 4277">
            <a:extLst>
              <a:ext uri="{FF2B5EF4-FFF2-40B4-BE49-F238E27FC236}">
                <a16:creationId xmlns:a16="http://schemas.microsoft.com/office/drawing/2014/main" id="{DD368024-7567-4F32-BDB0-AEAADF3A15D6}"/>
              </a:ext>
            </a:extLst>
          </xdr:cNvPr>
          <xdr:cNvSpPr/>
        </xdr:nvSpPr>
        <xdr:spPr>
          <a:xfrm>
            <a:off x="16882956" y="1017690"/>
            <a:ext cx="1587500" cy="281517"/>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a:t>
            </a:r>
            <a:r>
              <a:rPr lang="fr-FR" sz="1100" b="1" baseline="0">
                <a:latin typeface="+mn-lt"/>
              </a:rPr>
              <a:t> assistance</a:t>
            </a:r>
            <a:endParaRPr lang="fr-FR" sz="1100" b="1">
              <a:latin typeface="+mn-lt"/>
            </a:endParaRPr>
          </a:p>
        </xdr:txBody>
      </xdr:sp>
      <xdr:sp macro="" textlink="">
        <xdr:nvSpPr>
          <xdr:cNvPr id="4280" name="Rectangle 4279">
            <a:extLst>
              <a:ext uri="{FF2B5EF4-FFF2-40B4-BE49-F238E27FC236}">
                <a16:creationId xmlns:a16="http://schemas.microsoft.com/office/drawing/2014/main" id="{BF4E44D2-6E9F-4230-9A7B-88B36F14BE19}"/>
              </a:ext>
            </a:extLst>
          </xdr:cNvPr>
          <xdr:cNvSpPr/>
        </xdr:nvSpPr>
        <xdr:spPr>
          <a:xfrm>
            <a:off x="16877452" y="1283542"/>
            <a:ext cx="1583690" cy="278977"/>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IT</a:t>
            </a:r>
            <a:r>
              <a:rPr lang="fr-FR" sz="1100" b="1" baseline="0">
                <a:latin typeface="+mn-lt"/>
              </a:rPr>
              <a:t> Support</a:t>
            </a:r>
            <a:endParaRPr lang="fr-FR" sz="1100" b="1">
              <a:latin typeface="+mn-lt"/>
            </a:endParaRPr>
          </a:p>
        </xdr:txBody>
      </xdr:sp>
      <xdr:sp macro="" textlink="">
        <xdr:nvSpPr>
          <xdr:cNvPr id="4281" name="Rectangle 4280">
            <a:extLst>
              <a:ext uri="{FF2B5EF4-FFF2-40B4-BE49-F238E27FC236}">
                <a16:creationId xmlns:a16="http://schemas.microsoft.com/office/drawing/2014/main" id="{6550B6B2-F923-45FE-9A10-EE41EEA06CB0}"/>
              </a:ext>
            </a:extLst>
          </xdr:cNvPr>
          <xdr:cNvSpPr/>
        </xdr:nvSpPr>
        <xdr:spPr>
          <a:xfrm>
            <a:off x="16881263" y="1518915"/>
            <a:ext cx="1926590" cy="396668"/>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development</a:t>
            </a:r>
            <a:endParaRPr lang="fr-FR" sz="1100" b="1">
              <a:latin typeface="+mn-lt"/>
            </a:endParaRPr>
          </a:p>
        </xdr:txBody>
      </xdr:sp>
      <xdr:sp macro="" textlink="">
        <xdr:nvSpPr>
          <xdr:cNvPr id="4282" name="Rectangle 4281">
            <a:extLst>
              <a:ext uri="{FF2B5EF4-FFF2-40B4-BE49-F238E27FC236}">
                <a16:creationId xmlns:a16="http://schemas.microsoft.com/office/drawing/2014/main" id="{F66CC85D-EA10-4FE3-99CD-E687379D1612}"/>
              </a:ext>
            </a:extLst>
          </xdr:cNvPr>
          <xdr:cNvSpPr/>
        </xdr:nvSpPr>
        <xdr:spPr>
          <a:xfrm>
            <a:off x="16551064" y="631192"/>
            <a:ext cx="1546437" cy="359831"/>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Help</a:t>
            </a:r>
            <a:r>
              <a:rPr lang="fr-FR" sz="1800" b="1" baseline="0">
                <a:latin typeface="+mj-lt"/>
              </a:rPr>
              <a:t> Center</a:t>
            </a:r>
            <a:endParaRPr lang="fr-FR" sz="18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1250950</xdr:colOff>
      <xdr:row>43</xdr:row>
      <xdr:rowOff>117475</xdr:rowOff>
    </xdr:from>
    <xdr:to>
      <xdr:col>11</xdr:col>
      <xdr:colOff>1146175</xdr:colOff>
      <xdr:row>56</xdr:row>
      <xdr:rowOff>165100</xdr:rowOff>
    </xdr:to>
    <xdr:grpSp>
      <xdr:nvGrpSpPr>
        <xdr:cNvPr id="13" name="Group 12">
          <a:extLst>
            <a:ext uri="{FF2B5EF4-FFF2-40B4-BE49-F238E27FC236}">
              <a16:creationId xmlns:a16="http://schemas.microsoft.com/office/drawing/2014/main" id="{07175ADB-8570-4C0C-B741-6F6400315655}"/>
            </a:ext>
          </a:extLst>
        </xdr:cNvPr>
        <xdr:cNvGrpSpPr/>
      </xdr:nvGrpSpPr>
      <xdr:grpSpPr>
        <a:xfrm>
          <a:off x="5235575" y="9848850"/>
          <a:ext cx="5038725" cy="3333750"/>
          <a:chOff x="3093720" y="708660"/>
          <a:chExt cx="4526279" cy="3317890"/>
        </a:xfrm>
      </xdr:grpSpPr>
      <xdr:graphicFrame macro="">
        <xdr:nvGraphicFramePr>
          <xdr:cNvPr id="14" name="Chart 13">
            <a:extLst>
              <a:ext uri="{FF2B5EF4-FFF2-40B4-BE49-F238E27FC236}">
                <a16:creationId xmlns:a16="http://schemas.microsoft.com/office/drawing/2014/main" id="{3AF80B39-13B0-ADB3-6DD5-BC393422D208}"/>
              </a:ext>
            </a:extLst>
          </xdr:cNvPr>
          <xdr:cNvGraphicFramePr/>
        </xdr:nvGraphicFramePr>
        <xdr:xfrm>
          <a:off x="3097530" y="708660"/>
          <a:ext cx="4522469" cy="190373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5" name="Chart 14">
            <a:extLst>
              <a:ext uri="{FF2B5EF4-FFF2-40B4-BE49-F238E27FC236}">
                <a16:creationId xmlns:a16="http://schemas.microsoft.com/office/drawing/2014/main" id="{A976642C-46F9-4AD5-5BDF-6D32020AC301}"/>
              </a:ext>
            </a:extLst>
          </xdr:cNvPr>
          <xdr:cNvGraphicFramePr>
            <a:graphicFrameLocks/>
          </xdr:cNvGraphicFramePr>
        </xdr:nvGraphicFramePr>
        <xdr:xfrm>
          <a:off x="4598670" y="2612390"/>
          <a:ext cx="1512000" cy="141289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6" name="Chart 15">
            <a:extLst>
              <a:ext uri="{FF2B5EF4-FFF2-40B4-BE49-F238E27FC236}">
                <a16:creationId xmlns:a16="http://schemas.microsoft.com/office/drawing/2014/main" id="{63E8C864-7C16-153C-484E-91DFEC710894}"/>
              </a:ext>
            </a:extLst>
          </xdr:cNvPr>
          <xdr:cNvGraphicFramePr>
            <a:graphicFrameLocks/>
          </xdr:cNvGraphicFramePr>
        </xdr:nvGraphicFramePr>
        <xdr:xfrm>
          <a:off x="6107430" y="2612390"/>
          <a:ext cx="1512000" cy="141351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7" name="Chart 16">
            <a:extLst>
              <a:ext uri="{FF2B5EF4-FFF2-40B4-BE49-F238E27FC236}">
                <a16:creationId xmlns:a16="http://schemas.microsoft.com/office/drawing/2014/main" id="{BCAC244A-63D6-CFB2-1079-99D5FD3B2936}"/>
              </a:ext>
            </a:extLst>
          </xdr:cNvPr>
          <xdr:cNvGraphicFramePr>
            <a:graphicFrameLocks/>
          </xdr:cNvGraphicFramePr>
        </xdr:nvGraphicFramePr>
        <xdr:xfrm>
          <a:off x="3093720" y="2613660"/>
          <a:ext cx="1512000" cy="141289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11</xdr:col>
      <xdr:colOff>1297669</xdr:colOff>
      <xdr:row>43</xdr:row>
      <xdr:rowOff>111216</xdr:rowOff>
    </xdr:from>
    <xdr:to>
      <xdr:col>19</xdr:col>
      <xdr:colOff>1158875</xdr:colOff>
      <xdr:row>56</xdr:row>
      <xdr:rowOff>146050</xdr:rowOff>
    </xdr:to>
    <xdr:grpSp>
      <xdr:nvGrpSpPr>
        <xdr:cNvPr id="24" name="Group 23">
          <a:extLst>
            <a:ext uri="{FF2B5EF4-FFF2-40B4-BE49-F238E27FC236}">
              <a16:creationId xmlns:a16="http://schemas.microsoft.com/office/drawing/2014/main" id="{07B62281-AB94-49F9-9DA3-3B791BA0FCE0}"/>
            </a:ext>
          </a:extLst>
        </xdr:cNvPr>
        <xdr:cNvGrpSpPr/>
      </xdr:nvGrpSpPr>
      <xdr:grpSpPr>
        <a:xfrm>
          <a:off x="10425794" y="9842591"/>
          <a:ext cx="5084081" cy="3320959"/>
          <a:chOff x="3093720" y="708660"/>
          <a:chExt cx="4526280" cy="3317890"/>
        </a:xfrm>
      </xdr:grpSpPr>
      <xdr:graphicFrame macro="">
        <xdr:nvGraphicFramePr>
          <xdr:cNvPr id="25" name="Chart 24">
            <a:extLst>
              <a:ext uri="{FF2B5EF4-FFF2-40B4-BE49-F238E27FC236}">
                <a16:creationId xmlns:a16="http://schemas.microsoft.com/office/drawing/2014/main" id="{5475589E-1519-9185-2315-8B571797DFB9}"/>
              </a:ext>
            </a:extLst>
          </xdr:cNvPr>
          <xdr:cNvGraphicFramePr/>
        </xdr:nvGraphicFramePr>
        <xdr:xfrm>
          <a:off x="3097530" y="708660"/>
          <a:ext cx="4522470" cy="190373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6" name="Chart 25">
            <a:extLst>
              <a:ext uri="{FF2B5EF4-FFF2-40B4-BE49-F238E27FC236}">
                <a16:creationId xmlns:a16="http://schemas.microsoft.com/office/drawing/2014/main" id="{6EA7D08A-ABD2-C4D7-E8ED-12714BD68EAC}"/>
              </a:ext>
            </a:extLst>
          </xdr:cNvPr>
          <xdr:cNvGraphicFramePr>
            <a:graphicFrameLocks/>
          </xdr:cNvGraphicFramePr>
        </xdr:nvGraphicFramePr>
        <xdr:xfrm>
          <a:off x="4598670" y="2612390"/>
          <a:ext cx="1512000" cy="141289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7" name="Chart 26">
            <a:extLst>
              <a:ext uri="{FF2B5EF4-FFF2-40B4-BE49-F238E27FC236}">
                <a16:creationId xmlns:a16="http://schemas.microsoft.com/office/drawing/2014/main" id="{6F4D243B-EB3C-4D94-A625-2F1972AF938D}"/>
              </a:ext>
            </a:extLst>
          </xdr:cNvPr>
          <xdr:cNvGraphicFramePr>
            <a:graphicFrameLocks/>
          </xdr:cNvGraphicFramePr>
        </xdr:nvGraphicFramePr>
        <xdr:xfrm>
          <a:off x="6107430" y="2612390"/>
          <a:ext cx="1512000" cy="141351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8" name="Chart 27">
            <a:extLst>
              <a:ext uri="{FF2B5EF4-FFF2-40B4-BE49-F238E27FC236}">
                <a16:creationId xmlns:a16="http://schemas.microsoft.com/office/drawing/2014/main" id="{71063F82-8467-BB92-91A0-5F3EB8467CC0}"/>
              </a:ext>
            </a:extLst>
          </xdr:cNvPr>
          <xdr:cNvGraphicFramePr>
            <a:graphicFrameLocks/>
          </xdr:cNvGraphicFramePr>
        </xdr:nvGraphicFramePr>
        <xdr:xfrm>
          <a:off x="3093720" y="2613660"/>
          <a:ext cx="1512000" cy="141289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4</xdr:col>
      <xdr:colOff>9525</xdr:colOff>
      <xdr:row>33</xdr:row>
      <xdr:rowOff>114299</xdr:rowOff>
    </xdr:from>
    <xdr:to>
      <xdr:col>6</xdr:col>
      <xdr:colOff>1400175</xdr:colOff>
      <xdr:row>42</xdr:row>
      <xdr:rowOff>200025</xdr:rowOff>
    </xdr:to>
    <xdr:graphicFrame macro="">
      <xdr:nvGraphicFramePr>
        <xdr:cNvPr id="32" name="Chart 31">
          <a:extLst>
            <a:ext uri="{FF2B5EF4-FFF2-40B4-BE49-F238E27FC236}">
              <a16:creationId xmlns:a16="http://schemas.microsoft.com/office/drawing/2014/main" id="{F99A9382-4CA8-4D48-99E9-68A935DB4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619125</xdr:colOff>
      <xdr:row>33</xdr:row>
      <xdr:rowOff>114302</xdr:rowOff>
    </xdr:from>
    <xdr:to>
      <xdr:col>19</xdr:col>
      <xdr:colOff>844573</xdr:colOff>
      <xdr:row>42</xdr:row>
      <xdr:rowOff>180975</xdr:rowOff>
    </xdr:to>
    <xdr:grpSp>
      <xdr:nvGrpSpPr>
        <xdr:cNvPr id="37" name="Group 36">
          <a:extLst>
            <a:ext uri="{FF2B5EF4-FFF2-40B4-BE49-F238E27FC236}">
              <a16:creationId xmlns:a16="http://schemas.microsoft.com/office/drawing/2014/main" id="{45AAC59B-97D0-BE29-2177-E4E33BA3098E}"/>
            </a:ext>
          </a:extLst>
        </xdr:cNvPr>
        <xdr:cNvGrpSpPr/>
      </xdr:nvGrpSpPr>
      <xdr:grpSpPr>
        <a:xfrm>
          <a:off x="9747250" y="7416802"/>
          <a:ext cx="5448323" cy="2257423"/>
          <a:chOff x="5075613" y="12546332"/>
          <a:chExt cx="3521132" cy="1716232"/>
        </a:xfrm>
      </xdr:grpSpPr>
      <xdr:sp macro="" textlink="">
        <xdr:nvSpPr>
          <xdr:cNvPr id="51" name="Rectangle 50">
            <a:extLst>
              <a:ext uri="{FF2B5EF4-FFF2-40B4-BE49-F238E27FC236}">
                <a16:creationId xmlns:a16="http://schemas.microsoft.com/office/drawing/2014/main" id="{58C9E1D4-2F41-D239-BEE1-93B4D846763B}"/>
              </a:ext>
            </a:extLst>
          </xdr:cNvPr>
          <xdr:cNvSpPr/>
        </xdr:nvSpPr>
        <xdr:spPr>
          <a:xfrm>
            <a:off x="7741733" y="12557760"/>
            <a:ext cx="855012" cy="170289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aphicFrame macro="">
        <xdr:nvGraphicFramePr>
          <xdr:cNvPr id="52" name="Chart 51">
            <a:extLst>
              <a:ext uri="{FF2B5EF4-FFF2-40B4-BE49-F238E27FC236}">
                <a16:creationId xmlns:a16="http://schemas.microsoft.com/office/drawing/2014/main" id="{AEB1FE0A-30E7-5B2D-A8DD-51F2F7F0672F}"/>
              </a:ext>
            </a:extLst>
          </xdr:cNvPr>
          <xdr:cNvGraphicFramePr/>
        </xdr:nvGraphicFramePr>
        <xdr:xfrm>
          <a:off x="5075613" y="12546332"/>
          <a:ext cx="3507471" cy="1716232"/>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19</xdr:col>
      <xdr:colOff>933451</xdr:colOff>
      <xdr:row>33</xdr:row>
      <xdr:rowOff>114298</xdr:rowOff>
    </xdr:from>
    <xdr:to>
      <xdr:col>25</xdr:col>
      <xdr:colOff>9526</xdr:colOff>
      <xdr:row>42</xdr:row>
      <xdr:rowOff>190499</xdr:rowOff>
    </xdr:to>
    <xdr:graphicFrame macro="">
      <xdr:nvGraphicFramePr>
        <xdr:cNvPr id="53" name="Chart 52">
          <a:extLst>
            <a:ext uri="{FF2B5EF4-FFF2-40B4-BE49-F238E27FC236}">
              <a16:creationId xmlns:a16="http://schemas.microsoft.com/office/drawing/2014/main" id="{FB2DEEAE-2FDA-421E-AF92-707905744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95249</xdr:colOff>
      <xdr:row>33</xdr:row>
      <xdr:rowOff>114300</xdr:rowOff>
    </xdr:from>
    <xdr:to>
      <xdr:col>11</xdr:col>
      <xdr:colOff>369299</xdr:colOff>
      <xdr:row>42</xdr:row>
      <xdr:rowOff>181350</xdr:rowOff>
    </xdr:to>
    <xdr:grpSp>
      <xdr:nvGrpSpPr>
        <xdr:cNvPr id="54" name="Group 53">
          <a:extLst>
            <a:ext uri="{FF2B5EF4-FFF2-40B4-BE49-F238E27FC236}">
              <a16:creationId xmlns:a16="http://schemas.microsoft.com/office/drawing/2014/main" id="{3FA8DAA7-5AB8-499F-BC81-66FF122A5BFD}"/>
            </a:ext>
          </a:extLst>
        </xdr:cNvPr>
        <xdr:cNvGrpSpPr/>
      </xdr:nvGrpSpPr>
      <xdr:grpSpPr>
        <a:xfrm>
          <a:off x="4079874" y="7416800"/>
          <a:ext cx="5417550" cy="2257800"/>
          <a:chOff x="5075613" y="12546330"/>
          <a:chExt cx="3521132" cy="1716232"/>
        </a:xfrm>
      </xdr:grpSpPr>
      <xdr:grpSp>
        <xdr:nvGrpSpPr>
          <xdr:cNvPr id="55" name="Group 54">
            <a:extLst>
              <a:ext uri="{FF2B5EF4-FFF2-40B4-BE49-F238E27FC236}">
                <a16:creationId xmlns:a16="http://schemas.microsoft.com/office/drawing/2014/main" id="{FE6B4677-05F5-787A-690B-38851B662FD5}"/>
              </a:ext>
            </a:extLst>
          </xdr:cNvPr>
          <xdr:cNvGrpSpPr/>
        </xdr:nvGrpSpPr>
        <xdr:grpSpPr>
          <a:xfrm>
            <a:off x="5075613" y="12546330"/>
            <a:ext cx="3521132" cy="1716232"/>
            <a:chOff x="5075613" y="12546330"/>
            <a:chExt cx="3521132" cy="1716232"/>
          </a:xfrm>
        </xdr:grpSpPr>
        <xdr:sp macro="" textlink="">
          <xdr:nvSpPr>
            <xdr:cNvPr id="69" name="Rectangle 68">
              <a:extLst>
                <a:ext uri="{FF2B5EF4-FFF2-40B4-BE49-F238E27FC236}">
                  <a16:creationId xmlns:a16="http://schemas.microsoft.com/office/drawing/2014/main" id="{21A14BD2-F2C2-EC5E-CFE3-EE1A79278B7B}"/>
                </a:ext>
              </a:extLst>
            </xdr:cNvPr>
            <xdr:cNvSpPr/>
          </xdr:nvSpPr>
          <xdr:spPr>
            <a:xfrm>
              <a:off x="7741733" y="12557760"/>
              <a:ext cx="855012" cy="170289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aphicFrame macro="">
          <xdr:nvGraphicFramePr>
            <xdr:cNvPr id="70" name="Chart 69">
              <a:extLst>
                <a:ext uri="{FF2B5EF4-FFF2-40B4-BE49-F238E27FC236}">
                  <a16:creationId xmlns:a16="http://schemas.microsoft.com/office/drawing/2014/main" id="{220A1C88-0022-DF4A-B89D-9DF222FF5C28}"/>
                </a:ext>
              </a:extLst>
            </xdr:cNvPr>
            <xdr:cNvGraphicFramePr/>
          </xdr:nvGraphicFramePr>
          <xdr:xfrm>
            <a:off x="5075613" y="12546330"/>
            <a:ext cx="3440508" cy="1716232"/>
          </xdr:xfrm>
          <a:graphic>
            <a:graphicData uri="http://schemas.openxmlformats.org/drawingml/2006/chart">
              <c:chart xmlns:c="http://schemas.openxmlformats.org/drawingml/2006/chart" xmlns:r="http://schemas.openxmlformats.org/officeDocument/2006/relationships" r:id="rId12"/>
            </a:graphicData>
          </a:graphic>
        </xdr:graphicFrame>
      </xdr:grpSp>
      <xdr:grpSp>
        <xdr:nvGrpSpPr>
          <xdr:cNvPr id="58" name="Group 57">
            <a:extLst>
              <a:ext uri="{FF2B5EF4-FFF2-40B4-BE49-F238E27FC236}">
                <a16:creationId xmlns:a16="http://schemas.microsoft.com/office/drawing/2014/main" id="{6A1E2BC5-3A71-6EB7-4A71-ACEB26265FB3}"/>
              </a:ext>
            </a:extLst>
          </xdr:cNvPr>
          <xdr:cNvGrpSpPr/>
        </xdr:nvGrpSpPr>
        <xdr:grpSpPr>
          <a:xfrm>
            <a:off x="8192193" y="12978934"/>
            <a:ext cx="400985" cy="1207317"/>
            <a:chOff x="4617720" y="13197840"/>
            <a:chExt cx="400985" cy="1227608"/>
          </a:xfrm>
        </xdr:grpSpPr>
        <xdr:sp macro="" textlink="$C$87">
          <xdr:nvSpPr>
            <xdr:cNvPr id="59" name="TextBox 58">
              <a:extLst>
                <a:ext uri="{FF2B5EF4-FFF2-40B4-BE49-F238E27FC236}">
                  <a16:creationId xmlns:a16="http://schemas.microsoft.com/office/drawing/2014/main" id="{4040F425-F3A5-7E20-C18A-BF10357B881E}"/>
                </a:ext>
              </a:extLst>
            </xdr:cNvPr>
            <xdr:cNvSpPr txBox="1"/>
          </xdr:nvSpPr>
          <xdr:spPr>
            <a:xfrm>
              <a:off x="4617720" y="13197840"/>
              <a:ext cx="3759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04400BF-1F06-445C-A5A1-94AC13599D91}" type="TxLink">
                <a:rPr lang="en-US" sz="900" b="0" i="0" u="none" strike="noStrike">
                  <a:solidFill>
                    <a:schemeClr val="tx1">
                      <a:lumMod val="65000"/>
                      <a:lumOff val="35000"/>
                    </a:schemeClr>
                  </a:solidFill>
                  <a:latin typeface="+mn-lt"/>
                  <a:ea typeface="+mn-ea"/>
                  <a:cs typeface="+mn-cs"/>
                </a:rPr>
                <a:pPr marL="0" indent="0"/>
                <a:t> </a:t>
              </a:fld>
              <a:endParaRPr lang="fr-FR" sz="900" b="0" i="0" u="none" strike="noStrike">
                <a:solidFill>
                  <a:schemeClr val="tx1">
                    <a:lumMod val="65000"/>
                    <a:lumOff val="35000"/>
                  </a:schemeClr>
                </a:solidFill>
                <a:latin typeface="+mn-lt"/>
                <a:ea typeface="+mn-ea"/>
                <a:cs typeface="+mn-cs"/>
              </a:endParaRPr>
            </a:p>
          </xdr:txBody>
        </xdr:sp>
        <xdr:sp macro="" textlink="$C$88">
          <xdr:nvSpPr>
            <xdr:cNvPr id="60" name="TextBox 59">
              <a:extLst>
                <a:ext uri="{FF2B5EF4-FFF2-40B4-BE49-F238E27FC236}">
                  <a16:creationId xmlns:a16="http://schemas.microsoft.com/office/drawing/2014/main" id="{23B332CA-2A42-9B12-D665-9C525CAA5049}"/>
                </a:ext>
              </a:extLst>
            </xdr:cNvPr>
            <xdr:cNvSpPr txBox="1"/>
          </xdr:nvSpPr>
          <xdr:spPr>
            <a:xfrm>
              <a:off x="4617721" y="13418820"/>
              <a:ext cx="35085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0CB6516-412B-4ADA-BAA3-BDC8586B3180}" type="TxLink">
                <a:rPr lang="en-US" sz="900" b="0" i="0" u="none" strike="noStrike">
                  <a:solidFill>
                    <a:schemeClr val="tx1">
                      <a:lumMod val="65000"/>
                      <a:lumOff val="35000"/>
                    </a:schemeClr>
                  </a:solidFill>
                  <a:latin typeface="+mn-lt"/>
                  <a:ea typeface="+mn-ea"/>
                  <a:cs typeface="+mn-cs"/>
                </a:rPr>
                <a:pPr marL="0" indent="0"/>
                <a:t> </a:t>
              </a:fld>
              <a:endParaRPr lang="fr-FR" sz="900" b="0" i="0" u="none" strike="noStrike">
                <a:solidFill>
                  <a:schemeClr val="tx1">
                    <a:lumMod val="65000"/>
                    <a:lumOff val="35000"/>
                  </a:schemeClr>
                </a:solidFill>
                <a:latin typeface="+mn-lt"/>
                <a:ea typeface="+mn-ea"/>
                <a:cs typeface="+mn-cs"/>
              </a:endParaRPr>
            </a:p>
          </xdr:txBody>
        </xdr:sp>
        <xdr:sp macro="" textlink="$C$89">
          <xdr:nvSpPr>
            <xdr:cNvPr id="61" name="TextBox 60">
              <a:extLst>
                <a:ext uri="{FF2B5EF4-FFF2-40B4-BE49-F238E27FC236}">
                  <a16:creationId xmlns:a16="http://schemas.microsoft.com/office/drawing/2014/main" id="{EFA1EC21-6384-99D1-4258-AD2A54B842BB}"/>
                </a:ext>
              </a:extLst>
            </xdr:cNvPr>
            <xdr:cNvSpPr txBox="1"/>
          </xdr:nvSpPr>
          <xdr:spPr>
            <a:xfrm>
              <a:off x="4617720" y="13647420"/>
              <a:ext cx="40098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73DA5D-6358-4FEA-9D55-F59DE955B9D9}" type="TxLink">
                <a:rPr lang="en-US" sz="900" b="0" i="0" u="none" strike="noStrike">
                  <a:solidFill>
                    <a:schemeClr val="tx1">
                      <a:lumMod val="65000"/>
                      <a:lumOff val="35000"/>
                    </a:schemeClr>
                  </a:solidFill>
                  <a:latin typeface="+mn-lt"/>
                  <a:ea typeface="+mn-ea"/>
                  <a:cs typeface="+mn-cs"/>
                </a:rPr>
                <a:pPr marL="0" indent="0"/>
                <a:t> </a:t>
              </a:fld>
              <a:endParaRPr lang="fr-FR" sz="900" b="0" i="0" u="none" strike="noStrike">
                <a:solidFill>
                  <a:schemeClr val="tx1">
                    <a:lumMod val="65000"/>
                    <a:lumOff val="35000"/>
                  </a:schemeClr>
                </a:solidFill>
                <a:latin typeface="+mn-lt"/>
                <a:ea typeface="+mn-ea"/>
                <a:cs typeface="+mn-cs"/>
              </a:endParaRPr>
            </a:p>
          </xdr:txBody>
        </xdr:sp>
        <xdr:sp macro="" textlink="$C$90">
          <xdr:nvSpPr>
            <xdr:cNvPr id="62" name="TextBox 61">
              <a:extLst>
                <a:ext uri="{FF2B5EF4-FFF2-40B4-BE49-F238E27FC236}">
                  <a16:creationId xmlns:a16="http://schemas.microsoft.com/office/drawing/2014/main" id="{F0CCAD93-D7C9-15B0-F9E4-F583F4DC3E88}"/>
                </a:ext>
              </a:extLst>
            </xdr:cNvPr>
            <xdr:cNvSpPr txBox="1"/>
          </xdr:nvSpPr>
          <xdr:spPr>
            <a:xfrm>
              <a:off x="4617720" y="13868400"/>
              <a:ext cx="35921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0F5A534-5D99-4CB3-8D2E-CB1AD20F5006}" type="TxLink">
                <a:rPr lang="en-US" sz="900" b="0" i="0" u="none" strike="noStrike">
                  <a:solidFill>
                    <a:schemeClr val="tx1">
                      <a:lumMod val="65000"/>
                      <a:lumOff val="35000"/>
                    </a:schemeClr>
                  </a:solidFill>
                  <a:latin typeface="+mn-lt"/>
                  <a:ea typeface="+mn-ea"/>
                  <a:cs typeface="+mn-cs"/>
                </a:rPr>
                <a:pPr marL="0" indent="0"/>
                <a:t> </a:t>
              </a:fld>
              <a:endParaRPr lang="fr-FR" sz="900" b="0" i="0" u="none" strike="noStrike">
                <a:solidFill>
                  <a:schemeClr val="tx1">
                    <a:lumMod val="65000"/>
                    <a:lumOff val="35000"/>
                  </a:schemeClr>
                </a:solidFill>
                <a:latin typeface="+mn-lt"/>
                <a:ea typeface="+mn-ea"/>
                <a:cs typeface="+mn-cs"/>
              </a:endParaRPr>
            </a:p>
          </xdr:txBody>
        </xdr:sp>
        <xdr:sp macro="" textlink="$C$91">
          <xdr:nvSpPr>
            <xdr:cNvPr id="63" name="TextBox 62">
              <a:extLst>
                <a:ext uri="{FF2B5EF4-FFF2-40B4-BE49-F238E27FC236}">
                  <a16:creationId xmlns:a16="http://schemas.microsoft.com/office/drawing/2014/main" id="{667AFF8F-A300-5600-3F18-EE508638F7BB}"/>
                </a:ext>
              </a:extLst>
            </xdr:cNvPr>
            <xdr:cNvSpPr txBox="1"/>
          </xdr:nvSpPr>
          <xdr:spPr>
            <a:xfrm>
              <a:off x="4629896" y="14158748"/>
              <a:ext cx="35921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42DAEE2-A718-4A6D-8A14-B39547143197}" type="TxLink">
                <a:rPr lang="en-US" sz="900" b="0" i="0" u="none" strike="noStrike">
                  <a:solidFill>
                    <a:schemeClr val="tx1">
                      <a:lumMod val="65000"/>
                      <a:lumOff val="35000"/>
                    </a:schemeClr>
                  </a:solidFill>
                  <a:latin typeface="+mn-lt"/>
                  <a:ea typeface="+mn-ea"/>
                  <a:cs typeface="+mn-cs"/>
                </a:rPr>
                <a:pPr marL="0" indent="0"/>
                <a:t> </a:t>
              </a:fld>
              <a:endParaRPr lang="fr-FR" sz="900" b="0" i="0" u="none" strike="noStrike">
                <a:solidFill>
                  <a:schemeClr val="tx1">
                    <a:lumMod val="65000"/>
                    <a:lumOff val="35000"/>
                  </a:schemeClr>
                </a:solidFill>
                <a:latin typeface="+mn-lt"/>
                <a:ea typeface="+mn-ea"/>
                <a:cs typeface="+mn-cs"/>
              </a:endParaRPr>
            </a:p>
          </xdr:txBody>
        </xdr:sp>
      </xdr:grpSp>
    </xdr:grpSp>
    <xdr:clientData/>
  </xdr:twoCellAnchor>
  <xdr:twoCellAnchor>
    <xdr:from>
      <xdr:col>4</xdr:col>
      <xdr:colOff>1</xdr:colOff>
      <xdr:row>43</xdr:row>
      <xdr:rowOff>95250</xdr:rowOff>
    </xdr:from>
    <xdr:to>
      <xdr:col>7</xdr:col>
      <xdr:colOff>1000125</xdr:colOff>
      <xdr:row>56</xdr:row>
      <xdr:rowOff>152400</xdr:rowOff>
    </xdr:to>
    <xdr:grpSp>
      <xdr:nvGrpSpPr>
        <xdr:cNvPr id="71" name="Group 70">
          <a:extLst>
            <a:ext uri="{FF2B5EF4-FFF2-40B4-BE49-F238E27FC236}">
              <a16:creationId xmlns:a16="http://schemas.microsoft.com/office/drawing/2014/main" id="{DD441C83-7A72-42DD-AC0D-6E7D8DA0B464}"/>
            </a:ext>
          </a:extLst>
        </xdr:cNvPr>
        <xdr:cNvGrpSpPr/>
      </xdr:nvGrpSpPr>
      <xdr:grpSpPr>
        <a:xfrm>
          <a:off x="158751" y="9826625"/>
          <a:ext cx="4825999" cy="3343275"/>
          <a:chOff x="3093720" y="708660"/>
          <a:chExt cx="4526280" cy="3317890"/>
        </a:xfrm>
      </xdr:grpSpPr>
      <xdr:graphicFrame macro="">
        <xdr:nvGraphicFramePr>
          <xdr:cNvPr id="72" name="Chart 71">
            <a:extLst>
              <a:ext uri="{FF2B5EF4-FFF2-40B4-BE49-F238E27FC236}">
                <a16:creationId xmlns:a16="http://schemas.microsoft.com/office/drawing/2014/main" id="{C2B32E91-B1DD-1933-B048-4E44DFEE836A}"/>
              </a:ext>
            </a:extLst>
          </xdr:cNvPr>
          <xdr:cNvGraphicFramePr/>
        </xdr:nvGraphicFramePr>
        <xdr:xfrm>
          <a:off x="3097529" y="708660"/>
          <a:ext cx="4522471" cy="190373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73" name="Chart 72">
            <a:extLst>
              <a:ext uri="{FF2B5EF4-FFF2-40B4-BE49-F238E27FC236}">
                <a16:creationId xmlns:a16="http://schemas.microsoft.com/office/drawing/2014/main" id="{D482367C-76F9-FC13-81EC-AC5115F5489A}"/>
              </a:ext>
            </a:extLst>
          </xdr:cNvPr>
          <xdr:cNvGraphicFramePr>
            <a:graphicFrameLocks/>
          </xdr:cNvGraphicFramePr>
        </xdr:nvGraphicFramePr>
        <xdr:xfrm>
          <a:off x="4598669" y="2612390"/>
          <a:ext cx="1512000" cy="1412890"/>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74" name="Chart 73">
            <a:extLst>
              <a:ext uri="{FF2B5EF4-FFF2-40B4-BE49-F238E27FC236}">
                <a16:creationId xmlns:a16="http://schemas.microsoft.com/office/drawing/2014/main" id="{9535491A-7CC5-E87D-C525-A9829909561D}"/>
              </a:ext>
            </a:extLst>
          </xdr:cNvPr>
          <xdr:cNvGraphicFramePr>
            <a:graphicFrameLocks/>
          </xdr:cNvGraphicFramePr>
        </xdr:nvGraphicFramePr>
        <xdr:xfrm>
          <a:off x="6107428" y="2612390"/>
          <a:ext cx="1512000" cy="1413510"/>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75" name="Chart 74">
            <a:extLst>
              <a:ext uri="{FF2B5EF4-FFF2-40B4-BE49-F238E27FC236}">
                <a16:creationId xmlns:a16="http://schemas.microsoft.com/office/drawing/2014/main" id="{3168B6D5-F02B-DD18-7A24-435A7554151C}"/>
              </a:ext>
            </a:extLst>
          </xdr:cNvPr>
          <xdr:cNvGraphicFramePr>
            <a:graphicFrameLocks/>
          </xdr:cNvGraphicFramePr>
        </xdr:nvGraphicFramePr>
        <xdr:xfrm>
          <a:off x="3093720" y="2613660"/>
          <a:ext cx="1512000" cy="141289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19</xdr:col>
      <xdr:colOff>1379221</xdr:colOff>
      <xdr:row>43</xdr:row>
      <xdr:rowOff>123825</xdr:rowOff>
    </xdr:from>
    <xdr:to>
      <xdr:col>21</xdr:col>
      <xdr:colOff>286343</xdr:colOff>
      <xdr:row>49</xdr:row>
      <xdr:rowOff>156677</xdr:rowOff>
    </xdr:to>
    <xdr:graphicFrame macro="">
      <xdr:nvGraphicFramePr>
        <xdr:cNvPr id="76" name="Chart 75">
          <a:extLst>
            <a:ext uri="{FF2B5EF4-FFF2-40B4-BE49-F238E27FC236}">
              <a16:creationId xmlns:a16="http://schemas.microsoft.com/office/drawing/2014/main" id="{CC2F0092-9F87-4287-B330-D6D8B4E4D8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19</xdr:col>
      <xdr:colOff>1388745</xdr:colOff>
      <xdr:row>50</xdr:row>
      <xdr:rowOff>40819</xdr:rowOff>
    </xdr:from>
    <xdr:to>
      <xdr:col>21</xdr:col>
      <xdr:colOff>293370</xdr:colOff>
      <xdr:row>56</xdr:row>
      <xdr:rowOff>171450</xdr:rowOff>
    </xdr:to>
    <xdr:graphicFrame macro="">
      <xdr:nvGraphicFramePr>
        <xdr:cNvPr id="77" name="Chart 76">
          <a:extLst>
            <a:ext uri="{FF2B5EF4-FFF2-40B4-BE49-F238E27FC236}">
              <a16:creationId xmlns:a16="http://schemas.microsoft.com/office/drawing/2014/main" id="{B5F148AF-6F03-4010-8F6D-C3A2C75BA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22</xdr:col>
      <xdr:colOff>140970</xdr:colOff>
      <xdr:row>43</xdr:row>
      <xdr:rowOff>127635</xdr:rowOff>
    </xdr:from>
    <xdr:to>
      <xdr:col>24</xdr:col>
      <xdr:colOff>339682</xdr:colOff>
      <xdr:row>49</xdr:row>
      <xdr:rowOff>160486</xdr:rowOff>
    </xdr:to>
    <xdr:graphicFrame macro="">
      <xdr:nvGraphicFramePr>
        <xdr:cNvPr id="78" name="Chart 77">
          <a:extLst>
            <a:ext uri="{FF2B5EF4-FFF2-40B4-BE49-F238E27FC236}">
              <a16:creationId xmlns:a16="http://schemas.microsoft.com/office/drawing/2014/main" id="{31BD6BEA-0EAC-4C7E-80A7-19CC067C5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160020</xdr:colOff>
      <xdr:row>17</xdr:row>
      <xdr:rowOff>180974</xdr:rowOff>
    </xdr:from>
    <xdr:to>
      <xdr:col>24</xdr:col>
      <xdr:colOff>409575</xdr:colOff>
      <xdr:row>24</xdr:row>
      <xdr:rowOff>200024</xdr:rowOff>
    </xdr:to>
    <xdr:graphicFrame macro="">
      <xdr:nvGraphicFramePr>
        <xdr:cNvPr id="80" name="Chart 79">
          <a:extLst>
            <a:ext uri="{FF2B5EF4-FFF2-40B4-BE49-F238E27FC236}">
              <a16:creationId xmlns:a16="http://schemas.microsoft.com/office/drawing/2014/main" id="{775B90BC-D233-41DA-B05B-B729688B5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22</xdr:col>
      <xdr:colOff>142875</xdr:colOff>
      <xdr:row>50</xdr:row>
      <xdr:rowOff>34290</xdr:rowOff>
    </xdr:from>
    <xdr:to>
      <xdr:col>24</xdr:col>
      <xdr:colOff>325755</xdr:colOff>
      <xdr:row>56</xdr:row>
      <xdr:rowOff>164921</xdr:rowOff>
    </xdr:to>
    <xdr:graphicFrame macro="">
      <xdr:nvGraphicFramePr>
        <xdr:cNvPr id="84" name="Chart 83">
          <a:extLst>
            <a:ext uri="{FF2B5EF4-FFF2-40B4-BE49-F238E27FC236}">
              <a16:creationId xmlns:a16="http://schemas.microsoft.com/office/drawing/2014/main" id="{6BB22F33-E89E-4470-94A3-D9661437C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50800</xdr:colOff>
          <xdr:row>26</xdr:row>
          <xdr:rowOff>241300</xdr:rowOff>
        </xdr:from>
        <xdr:to>
          <xdr:col>24</xdr:col>
          <xdr:colOff>317500</xdr:colOff>
          <xdr:row>32</xdr:row>
          <xdr:rowOff>127000</xdr:rowOff>
        </xdr:to>
        <xdr:sp macro="" textlink="">
          <xdr:nvSpPr>
            <xdr:cNvPr id="3075" name="TextBox1" hidden="1">
              <a:extLst>
                <a:ext uri="{63B3BB69-23CF-44E3-9099-C40C66FF867C}">
                  <a14:compatExt spid="_x0000_s3075"/>
                </a:ext>
                <a:ext uri="{FF2B5EF4-FFF2-40B4-BE49-F238E27FC236}">
                  <a16:creationId xmlns:a16="http://schemas.microsoft.com/office/drawing/2014/main" id="{00000000-0008-0000-0C00-000003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0</xdr:row>
      <xdr:rowOff>84669</xdr:rowOff>
    </xdr:from>
    <xdr:to>
      <xdr:col>29</xdr:col>
      <xdr:colOff>576943</xdr:colOff>
      <xdr:row>14</xdr:row>
      <xdr:rowOff>13186</xdr:rowOff>
    </xdr:to>
    <xdr:grpSp>
      <xdr:nvGrpSpPr>
        <xdr:cNvPr id="2" name="Group 1">
          <a:extLst>
            <a:ext uri="{FF2B5EF4-FFF2-40B4-BE49-F238E27FC236}">
              <a16:creationId xmlns:a16="http://schemas.microsoft.com/office/drawing/2014/main" id="{3C775724-990A-42D1-9732-3C1E9A632AB0}"/>
            </a:ext>
          </a:extLst>
        </xdr:cNvPr>
        <xdr:cNvGrpSpPr/>
      </xdr:nvGrpSpPr>
      <xdr:grpSpPr>
        <a:xfrm>
          <a:off x="0" y="84669"/>
          <a:ext cx="22151068" cy="2643142"/>
          <a:chOff x="0" y="25400"/>
          <a:chExt cx="19942089" cy="2465554"/>
        </a:xfrm>
      </xdr:grpSpPr>
      <xdr:grpSp>
        <xdr:nvGrpSpPr>
          <xdr:cNvPr id="3" name="Group 2">
            <a:extLst>
              <a:ext uri="{FF2B5EF4-FFF2-40B4-BE49-F238E27FC236}">
                <a16:creationId xmlns:a16="http://schemas.microsoft.com/office/drawing/2014/main" id="{1F4DCF8D-6FE8-EE9F-F168-EBFCC7446F7B}"/>
              </a:ext>
            </a:extLst>
          </xdr:cNvPr>
          <xdr:cNvGrpSpPr/>
        </xdr:nvGrpSpPr>
        <xdr:grpSpPr>
          <a:xfrm>
            <a:off x="0" y="268648"/>
            <a:ext cx="19942089" cy="2222306"/>
            <a:chOff x="-2" y="774501"/>
            <a:chExt cx="15096607" cy="2312445"/>
          </a:xfrm>
        </xdr:grpSpPr>
        <xdr:sp macro="" textlink="">
          <xdr:nvSpPr>
            <xdr:cNvPr id="5" name="Rectangle: Rounded Corners 4">
              <a:extLst>
                <a:ext uri="{FF2B5EF4-FFF2-40B4-BE49-F238E27FC236}">
                  <a16:creationId xmlns:a16="http://schemas.microsoft.com/office/drawing/2014/main" id="{17C5A1A0-E55F-7FE1-E645-482398F5058E}"/>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36" name="Group 35">
              <a:extLst>
                <a:ext uri="{FF2B5EF4-FFF2-40B4-BE49-F238E27FC236}">
                  <a16:creationId xmlns:a16="http://schemas.microsoft.com/office/drawing/2014/main" id="{F1FD6274-3700-246D-F2BB-EAA3891B8802}"/>
                </a:ext>
              </a:extLst>
            </xdr:cNvPr>
            <xdr:cNvGrpSpPr/>
          </xdr:nvGrpSpPr>
          <xdr:grpSpPr>
            <a:xfrm>
              <a:off x="-2" y="977052"/>
              <a:ext cx="15096607" cy="2109894"/>
              <a:chOff x="15238" y="3223260"/>
              <a:chExt cx="15070528" cy="2072640"/>
            </a:xfrm>
          </xdr:grpSpPr>
          <xdr:sp macro="" textlink="">
            <xdr:nvSpPr>
              <xdr:cNvPr id="41" name="Rectangle 40">
                <a:extLst>
                  <a:ext uri="{FF2B5EF4-FFF2-40B4-BE49-F238E27FC236}">
                    <a16:creationId xmlns:a16="http://schemas.microsoft.com/office/drawing/2014/main" id="{754F5A73-648C-85DD-CA4E-0041DD8DADD6}"/>
                  </a:ext>
                </a:extLst>
              </xdr:cNvPr>
              <xdr:cNvSpPr/>
            </xdr:nvSpPr>
            <xdr:spPr>
              <a:xfrm>
                <a:off x="15238" y="3223260"/>
                <a:ext cx="15070528"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42" name="Group 41">
                <a:extLst>
                  <a:ext uri="{FF2B5EF4-FFF2-40B4-BE49-F238E27FC236}">
                    <a16:creationId xmlns:a16="http://schemas.microsoft.com/office/drawing/2014/main" id="{E3754C46-F86F-0FD9-1A2D-15D40986F66F}"/>
                  </a:ext>
                </a:extLst>
              </xdr:cNvPr>
              <xdr:cNvGrpSpPr/>
            </xdr:nvGrpSpPr>
            <xdr:grpSpPr>
              <a:xfrm>
                <a:off x="121920" y="3291840"/>
                <a:ext cx="13708380" cy="1950720"/>
                <a:chOff x="205740" y="2491740"/>
                <a:chExt cx="13708380" cy="1950720"/>
              </a:xfrm>
            </xdr:grpSpPr>
            <xdr:grpSp>
              <xdr:nvGrpSpPr>
                <xdr:cNvPr id="43" name="Group 42">
                  <a:extLst>
                    <a:ext uri="{FF2B5EF4-FFF2-40B4-BE49-F238E27FC236}">
                      <a16:creationId xmlns:a16="http://schemas.microsoft.com/office/drawing/2014/main" id="{E6318E90-348A-D754-6B0F-775562E42A4E}"/>
                    </a:ext>
                  </a:extLst>
                </xdr:cNvPr>
                <xdr:cNvGrpSpPr/>
              </xdr:nvGrpSpPr>
              <xdr:grpSpPr>
                <a:xfrm>
                  <a:off x="205740" y="2491740"/>
                  <a:ext cx="13708380" cy="1950720"/>
                  <a:chOff x="205740" y="3192780"/>
                  <a:chExt cx="13708380" cy="1950720"/>
                </a:xfrm>
              </xdr:grpSpPr>
              <xdr:grpSp>
                <xdr:nvGrpSpPr>
                  <xdr:cNvPr id="45" name="Group 44">
                    <a:extLst>
                      <a:ext uri="{FF2B5EF4-FFF2-40B4-BE49-F238E27FC236}">
                        <a16:creationId xmlns:a16="http://schemas.microsoft.com/office/drawing/2014/main" id="{D08E42DB-A015-B47F-C698-005B7714377C}"/>
                      </a:ext>
                    </a:extLst>
                  </xdr:cNvPr>
                  <xdr:cNvGrpSpPr/>
                </xdr:nvGrpSpPr>
                <xdr:grpSpPr>
                  <a:xfrm>
                    <a:off x="2948940" y="3200400"/>
                    <a:ext cx="2743200" cy="1935480"/>
                    <a:chOff x="2948940" y="3200400"/>
                    <a:chExt cx="2743200" cy="1935480"/>
                  </a:xfrm>
                </xdr:grpSpPr>
                <xdr:grpSp>
                  <xdr:nvGrpSpPr>
                    <xdr:cNvPr id="3124" name="Group 3123">
                      <a:extLst>
                        <a:ext uri="{FF2B5EF4-FFF2-40B4-BE49-F238E27FC236}">
                          <a16:creationId xmlns:a16="http://schemas.microsoft.com/office/drawing/2014/main" id="{13EA1F7D-8B65-237E-3035-E4378ADB4525}"/>
                        </a:ext>
                      </a:extLst>
                    </xdr:cNvPr>
                    <xdr:cNvGrpSpPr/>
                  </xdr:nvGrpSpPr>
                  <xdr:grpSpPr>
                    <a:xfrm>
                      <a:off x="2948940" y="3200400"/>
                      <a:ext cx="2743200" cy="1714500"/>
                      <a:chOff x="60960" y="3154680"/>
                      <a:chExt cx="2743200" cy="1714500"/>
                    </a:xfrm>
                  </xdr:grpSpPr>
                  <xdr:sp macro="" textlink="">
                    <xdr:nvSpPr>
                      <xdr:cNvPr id="3126" name="Rectangle 3125">
                        <a:extLst>
                          <a:ext uri="{FF2B5EF4-FFF2-40B4-BE49-F238E27FC236}">
                            <a16:creationId xmlns:a16="http://schemas.microsoft.com/office/drawing/2014/main" id="{999B3426-9AD6-C9CB-38FC-73D80FD0979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3127" name="Group 3126">
                        <a:extLst>
                          <a:ext uri="{FF2B5EF4-FFF2-40B4-BE49-F238E27FC236}">
                            <a16:creationId xmlns:a16="http://schemas.microsoft.com/office/drawing/2014/main" id="{18060EAE-03C7-AD4F-F307-BABA0CFF9C3C}"/>
                          </a:ext>
                        </a:extLst>
                      </xdr:cNvPr>
                      <xdr:cNvGrpSpPr/>
                    </xdr:nvGrpSpPr>
                    <xdr:grpSpPr>
                      <a:xfrm>
                        <a:off x="365760" y="3535680"/>
                        <a:ext cx="2438400" cy="457200"/>
                        <a:chOff x="365760" y="3535680"/>
                        <a:chExt cx="1584960" cy="457200"/>
                      </a:xfrm>
                    </xdr:grpSpPr>
                    <xdr:sp macro="" textlink="">
                      <xdr:nvSpPr>
                        <xdr:cNvPr id="3134" name="Rectangle 3133">
                          <a:hlinkClick xmlns:r="http://schemas.openxmlformats.org/officeDocument/2006/relationships" r:id="rId22"/>
                          <a:extLst>
                            <a:ext uri="{FF2B5EF4-FFF2-40B4-BE49-F238E27FC236}">
                              <a16:creationId xmlns:a16="http://schemas.microsoft.com/office/drawing/2014/main" id="{4332917E-1074-C6F2-FB74-ED575DCD733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3135" name="Rectangle 3134">
                          <a:hlinkClick xmlns:r="http://schemas.openxmlformats.org/officeDocument/2006/relationships" r:id="rId22"/>
                          <a:extLst>
                            <a:ext uri="{FF2B5EF4-FFF2-40B4-BE49-F238E27FC236}">
                              <a16:creationId xmlns:a16="http://schemas.microsoft.com/office/drawing/2014/main" id="{7BC91E8E-4175-3B93-98C0-412DC80E0F6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3128" name="Group 3127">
                        <a:extLst>
                          <a:ext uri="{FF2B5EF4-FFF2-40B4-BE49-F238E27FC236}">
                            <a16:creationId xmlns:a16="http://schemas.microsoft.com/office/drawing/2014/main" id="{272AFBC0-D833-FBD2-1AAF-EB9EF98FAC21}"/>
                          </a:ext>
                        </a:extLst>
                      </xdr:cNvPr>
                      <xdr:cNvGrpSpPr/>
                    </xdr:nvGrpSpPr>
                    <xdr:grpSpPr>
                      <a:xfrm>
                        <a:off x="365760" y="3977640"/>
                        <a:ext cx="2438400" cy="457200"/>
                        <a:chOff x="365760" y="3535680"/>
                        <a:chExt cx="1584960" cy="457200"/>
                      </a:xfrm>
                    </xdr:grpSpPr>
                    <xdr:sp macro="" textlink="">
                      <xdr:nvSpPr>
                        <xdr:cNvPr id="3132" name="Rectangle 3131">
                          <a:extLst>
                            <a:ext uri="{FF2B5EF4-FFF2-40B4-BE49-F238E27FC236}">
                              <a16:creationId xmlns:a16="http://schemas.microsoft.com/office/drawing/2014/main" id="{E5EC8EBC-4C8D-EC45-1D34-F4FEDB995C3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3133" name="Rectangle 3132">
                          <a:hlinkClick xmlns:r="http://schemas.openxmlformats.org/officeDocument/2006/relationships" r:id="rId23"/>
                          <a:extLst>
                            <a:ext uri="{FF2B5EF4-FFF2-40B4-BE49-F238E27FC236}">
                              <a16:creationId xmlns:a16="http://schemas.microsoft.com/office/drawing/2014/main" id="{B7DC7F01-D37A-C496-8BE9-B29712FDB8A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3129" name="Group 3128">
                        <a:extLst>
                          <a:ext uri="{FF2B5EF4-FFF2-40B4-BE49-F238E27FC236}">
                            <a16:creationId xmlns:a16="http://schemas.microsoft.com/office/drawing/2014/main" id="{B7B47BCA-86FD-D223-8BE9-EADDDDEFFFB1}"/>
                          </a:ext>
                        </a:extLst>
                      </xdr:cNvPr>
                      <xdr:cNvGrpSpPr/>
                    </xdr:nvGrpSpPr>
                    <xdr:grpSpPr>
                      <a:xfrm>
                        <a:off x="365760" y="4411980"/>
                        <a:ext cx="2438400" cy="457200"/>
                        <a:chOff x="365760" y="3535680"/>
                        <a:chExt cx="1584960" cy="457200"/>
                      </a:xfrm>
                    </xdr:grpSpPr>
                    <xdr:sp macro="" textlink="">
                      <xdr:nvSpPr>
                        <xdr:cNvPr id="3130" name="Rectangle 3129">
                          <a:hlinkClick xmlns:r="http://schemas.openxmlformats.org/officeDocument/2006/relationships" r:id="rId24"/>
                          <a:extLst>
                            <a:ext uri="{FF2B5EF4-FFF2-40B4-BE49-F238E27FC236}">
                              <a16:creationId xmlns:a16="http://schemas.microsoft.com/office/drawing/2014/main" id="{CB08E174-46EC-8DE0-8741-D8CECA1AA90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3131" name="Rectangle 3130">
                          <a:extLst>
                            <a:ext uri="{FF2B5EF4-FFF2-40B4-BE49-F238E27FC236}">
                              <a16:creationId xmlns:a16="http://schemas.microsoft.com/office/drawing/2014/main" id="{3B26AD41-EE4E-A0BB-2361-94FB97C847D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3125" name="Rectangle 3124">
                      <a:extLst>
                        <a:ext uri="{FF2B5EF4-FFF2-40B4-BE49-F238E27FC236}">
                          <a16:creationId xmlns:a16="http://schemas.microsoft.com/office/drawing/2014/main" id="{00C6BD89-FBF7-BF3C-3F04-2F7A61044A26}"/>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46" name="Group 45">
                    <a:extLst>
                      <a:ext uri="{FF2B5EF4-FFF2-40B4-BE49-F238E27FC236}">
                        <a16:creationId xmlns:a16="http://schemas.microsoft.com/office/drawing/2014/main" id="{DC26C7CD-1D00-8332-1D2B-4FD16A0FDCA7}"/>
                      </a:ext>
                    </a:extLst>
                  </xdr:cNvPr>
                  <xdr:cNvGrpSpPr/>
                </xdr:nvGrpSpPr>
                <xdr:grpSpPr>
                  <a:xfrm>
                    <a:off x="205740" y="3192780"/>
                    <a:ext cx="2743200" cy="1943100"/>
                    <a:chOff x="205740" y="3192780"/>
                    <a:chExt cx="2743200" cy="1943100"/>
                  </a:xfrm>
                </xdr:grpSpPr>
                <xdr:grpSp>
                  <xdr:nvGrpSpPr>
                    <xdr:cNvPr id="3112" name="Group 3111">
                      <a:extLst>
                        <a:ext uri="{FF2B5EF4-FFF2-40B4-BE49-F238E27FC236}">
                          <a16:creationId xmlns:a16="http://schemas.microsoft.com/office/drawing/2014/main" id="{E1C76B1B-201E-9A19-7FD9-B02E982F0743}"/>
                        </a:ext>
                      </a:extLst>
                    </xdr:cNvPr>
                    <xdr:cNvGrpSpPr/>
                  </xdr:nvGrpSpPr>
                  <xdr:grpSpPr>
                    <a:xfrm>
                      <a:off x="205740" y="3192780"/>
                      <a:ext cx="2743200" cy="1714500"/>
                      <a:chOff x="60960" y="3154680"/>
                      <a:chExt cx="2743200" cy="1714500"/>
                    </a:xfrm>
                  </xdr:grpSpPr>
                  <xdr:sp macro="" textlink="">
                    <xdr:nvSpPr>
                      <xdr:cNvPr id="3114" name="Rectangle 3113">
                        <a:extLst>
                          <a:ext uri="{FF2B5EF4-FFF2-40B4-BE49-F238E27FC236}">
                            <a16:creationId xmlns:a16="http://schemas.microsoft.com/office/drawing/2014/main" id="{D09F10FD-FD7A-3905-A166-31D8F895DF33}"/>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3115" name="Group 3114">
                        <a:extLst>
                          <a:ext uri="{FF2B5EF4-FFF2-40B4-BE49-F238E27FC236}">
                            <a16:creationId xmlns:a16="http://schemas.microsoft.com/office/drawing/2014/main" id="{3B5FE7E8-8140-9D00-D0B5-5D1862FF6EEC}"/>
                          </a:ext>
                        </a:extLst>
                      </xdr:cNvPr>
                      <xdr:cNvGrpSpPr/>
                    </xdr:nvGrpSpPr>
                    <xdr:grpSpPr>
                      <a:xfrm>
                        <a:off x="365760" y="3535680"/>
                        <a:ext cx="2438400" cy="457200"/>
                        <a:chOff x="365760" y="3535680"/>
                        <a:chExt cx="1584960" cy="457200"/>
                      </a:xfrm>
                    </xdr:grpSpPr>
                    <xdr:sp macro="" textlink="">
                      <xdr:nvSpPr>
                        <xdr:cNvPr id="3122" name="Rectangle 3121">
                          <a:hlinkClick xmlns:r="http://schemas.openxmlformats.org/officeDocument/2006/relationships" r:id="rId25"/>
                          <a:extLst>
                            <a:ext uri="{FF2B5EF4-FFF2-40B4-BE49-F238E27FC236}">
                              <a16:creationId xmlns:a16="http://schemas.microsoft.com/office/drawing/2014/main" id="{6FAB5D88-FA35-858C-77B8-A0DA70106C9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3123" name="Rectangle 3122">
                          <a:hlinkClick xmlns:r="http://schemas.openxmlformats.org/officeDocument/2006/relationships" r:id="rId26"/>
                          <a:extLst>
                            <a:ext uri="{FF2B5EF4-FFF2-40B4-BE49-F238E27FC236}">
                              <a16:creationId xmlns:a16="http://schemas.microsoft.com/office/drawing/2014/main" id="{BAB9BD98-BF49-44CF-3D01-916F90AFDB1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3116" name="Group 3115">
                        <a:extLst>
                          <a:ext uri="{FF2B5EF4-FFF2-40B4-BE49-F238E27FC236}">
                            <a16:creationId xmlns:a16="http://schemas.microsoft.com/office/drawing/2014/main" id="{9190A842-AB45-78E3-60E3-13403E2D79F8}"/>
                          </a:ext>
                        </a:extLst>
                      </xdr:cNvPr>
                      <xdr:cNvGrpSpPr/>
                    </xdr:nvGrpSpPr>
                    <xdr:grpSpPr>
                      <a:xfrm>
                        <a:off x="365760" y="3977640"/>
                        <a:ext cx="2438400" cy="457200"/>
                        <a:chOff x="365760" y="3535680"/>
                        <a:chExt cx="1584960" cy="457200"/>
                      </a:xfrm>
                    </xdr:grpSpPr>
                    <xdr:sp macro="" textlink="">
                      <xdr:nvSpPr>
                        <xdr:cNvPr id="3120" name="Rectangle 3119">
                          <a:hlinkClick xmlns:r="http://schemas.openxmlformats.org/officeDocument/2006/relationships" r:id="rId27"/>
                          <a:extLst>
                            <a:ext uri="{FF2B5EF4-FFF2-40B4-BE49-F238E27FC236}">
                              <a16:creationId xmlns:a16="http://schemas.microsoft.com/office/drawing/2014/main" id="{6587F27E-B056-3EEE-BE23-291AD32825F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3121" name="Rectangle 3120">
                          <a:hlinkClick xmlns:r="http://schemas.openxmlformats.org/officeDocument/2006/relationships" r:id="rId28"/>
                          <a:extLst>
                            <a:ext uri="{FF2B5EF4-FFF2-40B4-BE49-F238E27FC236}">
                              <a16:creationId xmlns:a16="http://schemas.microsoft.com/office/drawing/2014/main" id="{C50C4842-87AF-2812-D270-C10E9BB76D0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3117" name="Group 3116">
                        <a:extLst>
                          <a:ext uri="{FF2B5EF4-FFF2-40B4-BE49-F238E27FC236}">
                            <a16:creationId xmlns:a16="http://schemas.microsoft.com/office/drawing/2014/main" id="{1DFCE5B8-4ADD-E539-C653-D8C5D7EA8834}"/>
                          </a:ext>
                        </a:extLst>
                      </xdr:cNvPr>
                      <xdr:cNvGrpSpPr/>
                    </xdr:nvGrpSpPr>
                    <xdr:grpSpPr>
                      <a:xfrm>
                        <a:off x="365760" y="4411980"/>
                        <a:ext cx="2438400" cy="457200"/>
                        <a:chOff x="365760" y="3535680"/>
                        <a:chExt cx="1584960" cy="457200"/>
                      </a:xfrm>
                    </xdr:grpSpPr>
                    <xdr:sp macro="" textlink="">
                      <xdr:nvSpPr>
                        <xdr:cNvPr id="3118" name="Rectangle 3117">
                          <a:hlinkClick xmlns:r="http://schemas.openxmlformats.org/officeDocument/2006/relationships" r:id="rId29"/>
                          <a:extLst>
                            <a:ext uri="{FF2B5EF4-FFF2-40B4-BE49-F238E27FC236}">
                              <a16:creationId xmlns:a16="http://schemas.microsoft.com/office/drawing/2014/main" id="{56E64E18-358C-EDCE-7FA2-A6490F7A0AF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3119" name="Rectangle 3118">
                          <a:hlinkClick xmlns:r="http://schemas.openxmlformats.org/officeDocument/2006/relationships" r:id="rId30"/>
                          <a:extLst>
                            <a:ext uri="{FF2B5EF4-FFF2-40B4-BE49-F238E27FC236}">
                              <a16:creationId xmlns:a16="http://schemas.microsoft.com/office/drawing/2014/main" id="{2D4C9596-9CC0-5079-3BB1-02110AD9551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3113" name="Rectangle 3112">
                      <a:hlinkClick xmlns:r="http://schemas.openxmlformats.org/officeDocument/2006/relationships" r:id="rId25"/>
                      <a:extLst>
                        <a:ext uri="{FF2B5EF4-FFF2-40B4-BE49-F238E27FC236}">
                          <a16:creationId xmlns:a16="http://schemas.microsoft.com/office/drawing/2014/main" id="{5128DD45-0F1C-D392-AA1C-429570408BE3}"/>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47" name="Group 46">
                    <a:extLst>
                      <a:ext uri="{FF2B5EF4-FFF2-40B4-BE49-F238E27FC236}">
                        <a16:creationId xmlns:a16="http://schemas.microsoft.com/office/drawing/2014/main" id="{6F546CC8-88B0-C123-C38F-0E81CE7C0D16}"/>
                      </a:ext>
                    </a:extLst>
                  </xdr:cNvPr>
                  <xdr:cNvGrpSpPr/>
                </xdr:nvGrpSpPr>
                <xdr:grpSpPr>
                  <a:xfrm>
                    <a:off x="5692140" y="3208020"/>
                    <a:ext cx="2743200" cy="1935480"/>
                    <a:chOff x="2948940" y="3200400"/>
                    <a:chExt cx="2743200" cy="1935480"/>
                  </a:xfrm>
                </xdr:grpSpPr>
                <xdr:grpSp>
                  <xdr:nvGrpSpPr>
                    <xdr:cNvPr id="3100" name="Group 3099">
                      <a:extLst>
                        <a:ext uri="{FF2B5EF4-FFF2-40B4-BE49-F238E27FC236}">
                          <a16:creationId xmlns:a16="http://schemas.microsoft.com/office/drawing/2014/main" id="{0DDE4AC1-B850-0B5C-EB7C-9BB46F39F157}"/>
                        </a:ext>
                      </a:extLst>
                    </xdr:cNvPr>
                    <xdr:cNvGrpSpPr/>
                  </xdr:nvGrpSpPr>
                  <xdr:grpSpPr>
                    <a:xfrm>
                      <a:off x="2948940" y="3200400"/>
                      <a:ext cx="2743200" cy="1714500"/>
                      <a:chOff x="60960" y="3154680"/>
                      <a:chExt cx="2743200" cy="1714500"/>
                    </a:xfrm>
                  </xdr:grpSpPr>
                  <xdr:sp macro="" textlink="">
                    <xdr:nvSpPr>
                      <xdr:cNvPr id="3102" name="Rectangle 3101">
                        <a:extLst>
                          <a:ext uri="{FF2B5EF4-FFF2-40B4-BE49-F238E27FC236}">
                            <a16:creationId xmlns:a16="http://schemas.microsoft.com/office/drawing/2014/main" id="{CB6869D7-4A84-C7B2-0195-71572DE6470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3103" name="Group 3102">
                        <a:extLst>
                          <a:ext uri="{FF2B5EF4-FFF2-40B4-BE49-F238E27FC236}">
                            <a16:creationId xmlns:a16="http://schemas.microsoft.com/office/drawing/2014/main" id="{29CCB629-72A8-68B1-E5AF-557AF108A795}"/>
                          </a:ext>
                        </a:extLst>
                      </xdr:cNvPr>
                      <xdr:cNvGrpSpPr/>
                    </xdr:nvGrpSpPr>
                    <xdr:grpSpPr>
                      <a:xfrm>
                        <a:off x="365760" y="3535680"/>
                        <a:ext cx="2438400" cy="457200"/>
                        <a:chOff x="365760" y="3535680"/>
                        <a:chExt cx="1584960" cy="457200"/>
                      </a:xfrm>
                    </xdr:grpSpPr>
                    <xdr:sp macro="" textlink="">
                      <xdr:nvSpPr>
                        <xdr:cNvPr id="3110" name="Rectangle 3109">
                          <a:hlinkClick xmlns:r="http://schemas.openxmlformats.org/officeDocument/2006/relationships" r:id="rId31"/>
                          <a:extLst>
                            <a:ext uri="{FF2B5EF4-FFF2-40B4-BE49-F238E27FC236}">
                              <a16:creationId xmlns:a16="http://schemas.microsoft.com/office/drawing/2014/main" id="{F9277A8A-98FB-DA7E-8878-EBE22B3AC76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3111" name="Rectangle 3110">
                          <a:hlinkClick xmlns:r="http://schemas.openxmlformats.org/officeDocument/2006/relationships" r:id="rId32"/>
                          <a:extLst>
                            <a:ext uri="{FF2B5EF4-FFF2-40B4-BE49-F238E27FC236}">
                              <a16:creationId xmlns:a16="http://schemas.microsoft.com/office/drawing/2014/main" id="{A5E17E21-D676-50F5-1EF5-496A9CB76A8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3104" name="Group 3103">
                        <a:extLst>
                          <a:ext uri="{FF2B5EF4-FFF2-40B4-BE49-F238E27FC236}">
                            <a16:creationId xmlns:a16="http://schemas.microsoft.com/office/drawing/2014/main" id="{1DF0303B-738D-76B4-C72D-5E6D585A2A86}"/>
                          </a:ext>
                        </a:extLst>
                      </xdr:cNvPr>
                      <xdr:cNvGrpSpPr/>
                    </xdr:nvGrpSpPr>
                    <xdr:grpSpPr>
                      <a:xfrm>
                        <a:off x="365760" y="3977640"/>
                        <a:ext cx="2438400" cy="457200"/>
                        <a:chOff x="365760" y="3535680"/>
                        <a:chExt cx="1584960" cy="457200"/>
                      </a:xfrm>
                    </xdr:grpSpPr>
                    <xdr:sp macro="" textlink="">
                      <xdr:nvSpPr>
                        <xdr:cNvPr id="3108" name="Rectangle 3107">
                          <a:extLst>
                            <a:ext uri="{FF2B5EF4-FFF2-40B4-BE49-F238E27FC236}">
                              <a16:creationId xmlns:a16="http://schemas.microsoft.com/office/drawing/2014/main" id="{A23C9659-1475-6CB6-58E2-09AA1A69927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3109" name="Rectangle 3108">
                          <a:extLst>
                            <a:ext uri="{FF2B5EF4-FFF2-40B4-BE49-F238E27FC236}">
                              <a16:creationId xmlns:a16="http://schemas.microsoft.com/office/drawing/2014/main" id="{7EBEF4C9-2422-AFDC-F39A-A6542C976BA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3105" name="Group 3104">
                        <a:extLst>
                          <a:ext uri="{FF2B5EF4-FFF2-40B4-BE49-F238E27FC236}">
                            <a16:creationId xmlns:a16="http://schemas.microsoft.com/office/drawing/2014/main" id="{D723D6C9-B824-FEE0-AA80-3DA5430BCB50}"/>
                          </a:ext>
                        </a:extLst>
                      </xdr:cNvPr>
                      <xdr:cNvGrpSpPr/>
                    </xdr:nvGrpSpPr>
                    <xdr:grpSpPr>
                      <a:xfrm>
                        <a:off x="365760" y="4411980"/>
                        <a:ext cx="2438400" cy="457200"/>
                        <a:chOff x="365760" y="3535680"/>
                        <a:chExt cx="1584960" cy="457200"/>
                      </a:xfrm>
                    </xdr:grpSpPr>
                    <xdr:sp macro="" textlink="">
                      <xdr:nvSpPr>
                        <xdr:cNvPr id="3106" name="Rectangle 3105">
                          <a:extLst>
                            <a:ext uri="{FF2B5EF4-FFF2-40B4-BE49-F238E27FC236}">
                              <a16:creationId xmlns:a16="http://schemas.microsoft.com/office/drawing/2014/main" id="{D42FE5AA-CD1E-6EAA-D3DC-361627D337E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3107" name="Rectangle 3106">
                          <a:extLst>
                            <a:ext uri="{FF2B5EF4-FFF2-40B4-BE49-F238E27FC236}">
                              <a16:creationId xmlns:a16="http://schemas.microsoft.com/office/drawing/2014/main" id="{3121E9CC-500F-2597-F424-96EE9B0D425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3101" name="Rectangle 3100">
                      <a:extLst>
                        <a:ext uri="{FF2B5EF4-FFF2-40B4-BE49-F238E27FC236}">
                          <a16:creationId xmlns:a16="http://schemas.microsoft.com/office/drawing/2014/main" id="{29A1008D-519D-50B4-BFB1-E831B1FD3040}"/>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48" name="Group 47">
                    <a:extLst>
                      <a:ext uri="{FF2B5EF4-FFF2-40B4-BE49-F238E27FC236}">
                        <a16:creationId xmlns:a16="http://schemas.microsoft.com/office/drawing/2014/main" id="{7C483A29-500A-BF1E-811A-91650927BA35}"/>
                      </a:ext>
                    </a:extLst>
                  </xdr:cNvPr>
                  <xdr:cNvGrpSpPr/>
                </xdr:nvGrpSpPr>
                <xdr:grpSpPr>
                  <a:xfrm>
                    <a:off x="8435340" y="3208020"/>
                    <a:ext cx="2743200" cy="1935480"/>
                    <a:chOff x="2948940" y="3200400"/>
                    <a:chExt cx="2743200" cy="1935480"/>
                  </a:xfrm>
                </xdr:grpSpPr>
                <xdr:grpSp>
                  <xdr:nvGrpSpPr>
                    <xdr:cNvPr id="3088" name="Group 3087">
                      <a:extLst>
                        <a:ext uri="{FF2B5EF4-FFF2-40B4-BE49-F238E27FC236}">
                          <a16:creationId xmlns:a16="http://schemas.microsoft.com/office/drawing/2014/main" id="{16DA4531-2989-E7D1-07E7-8E7085AD555F}"/>
                        </a:ext>
                      </a:extLst>
                    </xdr:cNvPr>
                    <xdr:cNvGrpSpPr/>
                  </xdr:nvGrpSpPr>
                  <xdr:grpSpPr>
                    <a:xfrm>
                      <a:off x="2948940" y="3200400"/>
                      <a:ext cx="2743200" cy="1714500"/>
                      <a:chOff x="60960" y="3154680"/>
                      <a:chExt cx="2743200" cy="1714500"/>
                    </a:xfrm>
                  </xdr:grpSpPr>
                  <xdr:sp macro="" textlink="">
                    <xdr:nvSpPr>
                      <xdr:cNvPr id="3090" name="Rectangle 3089">
                        <a:extLst>
                          <a:ext uri="{FF2B5EF4-FFF2-40B4-BE49-F238E27FC236}">
                            <a16:creationId xmlns:a16="http://schemas.microsoft.com/office/drawing/2014/main" id="{EE04F634-6DAB-E99B-2134-656BF751707C}"/>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091" name="Group 3090">
                        <a:extLst>
                          <a:ext uri="{FF2B5EF4-FFF2-40B4-BE49-F238E27FC236}">
                            <a16:creationId xmlns:a16="http://schemas.microsoft.com/office/drawing/2014/main" id="{A9BE0E10-4A54-D56A-EDEC-1FC3A176F947}"/>
                          </a:ext>
                        </a:extLst>
                      </xdr:cNvPr>
                      <xdr:cNvGrpSpPr/>
                    </xdr:nvGrpSpPr>
                    <xdr:grpSpPr>
                      <a:xfrm>
                        <a:off x="365760" y="3535680"/>
                        <a:ext cx="2438400" cy="457200"/>
                        <a:chOff x="365760" y="3535680"/>
                        <a:chExt cx="1584960" cy="457200"/>
                      </a:xfrm>
                    </xdr:grpSpPr>
                    <xdr:sp macro="" textlink="">
                      <xdr:nvSpPr>
                        <xdr:cNvPr id="3098" name="Rectangle 3097">
                          <a:extLst>
                            <a:ext uri="{FF2B5EF4-FFF2-40B4-BE49-F238E27FC236}">
                              <a16:creationId xmlns:a16="http://schemas.microsoft.com/office/drawing/2014/main" id="{6592E7F0-8281-63B9-1A7B-8DBD4ECD1DC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3099" name="Rectangle 3098">
                          <a:extLst>
                            <a:ext uri="{FF2B5EF4-FFF2-40B4-BE49-F238E27FC236}">
                              <a16:creationId xmlns:a16="http://schemas.microsoft.com/office/drawing/2014/main" id="{7CB5914C-0A56-AF9A-4B00-2713DB06F17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092" name="Group 3091">
                        <a:extLst>
                          <a:ext uri="{FF2B5EF4-FFF2-40B4-BE49-F238E27FC236}">
                            <a16:creationId xmlns:a16="http://schemas.microsoft.com/office/drawing/2014/main" id="{B40A2DA5-3E53-CA56-A6B5-D9EADBDBBD47}"/>
                          </a:ext>
                        </a:extLst>
                      </xdr:cNvPr>
                      <xdr:cNvGrpSpPr/>
                    </xdr:nvGrpSpPr>
                    <xdr:grpSpPr>
                      <a:xfrm>
                        <a:off x="365760" y="3977640"/>
                        <a:ext cx="2438400" cy="457200"/>
                        <a:chOff x="365760" y="3535680"/>
                        <a:chExt cx="1584960" cy="457200"/>
                      </a:xfrm>
                    </xdr:grpSpPr>
                    <xdr:sp macro="" textlink="">
                      <xdr:nvSpPr>
                        <xdr:cNvPr id="3096" name="Rectangle 3095">
                          <a:extLst>
                            <a:ext uri="{FF2B5EF4-FFF2-40B4-BE49-F238E27FC236}">
                              <a16:creationId xmlns:a16="http://schemas.microsoft.com/office/drawing/2014/main" id="{64697E87-1EE0-4BEF-2EB1-F2434871C6D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3097" name="Rectangle 3096">
                          <a:extLst>
                            <a:ext uri="{FF2B5EF4-FFF2-40B4-BE49-F238E27FC236}">
                              <a16:creationId xmlns:a16="http://schemas.microsoft.com/office/drawing/2014/main" id="{73BF38FD-819D-66F6-E125-FF967861E98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093" name="Group 3092">
                        <a:extLst>
                          <a:ext uri="{FF2B5EF4-FFF2-40B4-BE49-F238E27FC236}">
                            <a16:creationId xmlns:a16="http://schemas.microsoft.com/office/drawing/2014/main" id="{6012BB23-E22B-964F-241B-3B60ECAD859C}"/>
                          </a:ext>
                        </a:extLst>
                      </xdr:cNvPr>
                      <xdr:cNvGrpSpPr/>
                    </xdr:nvGrpSpPr>
                    <xdr:grpSpPr>
                      <a:xfrm>
                        <a:off x="365760" y="4411980"/>
                        <a:ext cx="2438400" cy="457200"/>
                        <a:chOff x="365760" y="3535680"/>
                        <a:chExt cx="1584960" cy="457200"/>
                      </a:xfrm>
                    </xdr:grpSpPr>
                    <xdr:sp macro="" textlink="">
                      <xdr:nvSpPr>
                        <xdr:cNvPr id="3094" name="Rectangle 3093">
                          <a:extLst>
                            <a:ext uri="{FF2B5EF4-FFF2-40B4-BE49-F238E27FC236}">
                              <a16:creationId xmlns:a16="http://schemas.microsoft.com/office/drawing/2014/main" id="{C0EEBBBB-8EAC-9D61-8BCF-1204243EFE6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095" name="Rectangle 3094">
                          <a:extLst>
                            <a:ext uri="{FF2B5EF4-FFF2-40B4-BE49-F238E27FC236}">
                              <a16:creationId xmlns:a16="http://schemas.microsoft.com/office/drawing/2014/main" id="{976015A5-DA17-4881-D142-45512AE2B33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089" name="Rectangle 3088">
                      <a:extLst>
                        <a:ext uri="{FF2B5EF4-FFF2-40B4-BE49-F238E27FC236}">
                          <a16:creationId xmlns:a16="http://schemas.microsoft.com/office/drawing/2014/main" id="{A77D93D9-6DB5-5992-0E9B-D20ECC3548FF}"/>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49" name="Group 48">
                    <a:extLst>
                      <a:ext uri="{FF2B5EF4-FFF2-40B4-BE49-F238E27FC236}">
                        <a16:creationId xmlns:a16="http://schemas.microsoft.com/office/drawing/2014/main" id="{5DB97F8B-CA2A-83AC-C8BE-45128A89B790}"/>
                      </a:ext>
                    </a:extLst>
                  </xdr:cNvPr>
                  <xdr:cNvGrpSpPr/>
                </xdr:nvGrpSpPr>
                <xdr:grpSpPr>
                  <a:xfrm>
                    <a:off x="11170920" y="3208020"/>
                    <a:ext cx="2743200" cy="1935480"/>
                    <a:chOff x="2948940" y="3200400"/>
                    <a:chExt cx="2743200" cy="1935480"/>
                  </a:xfrm>
                </xdr:grpSpPr>
                <xdr:grpSp>
                  <xdr:nvGrpSpPr>
                    <xdr:cNvPr id="50" name="Group 49">
                      <a:extLst>
                        <a:ext uri="{FF2B5EF4-FFF2-40B4-BE49-F238E27FC236}">
                          <a16:creationId xmlns:a16="http://schemas.microsoft.com/office/drawing/2014/main" id="{00FBC5EE-AD0B-DCA6-CA8B-E07193D41669}"/>
                        </a:ext>
                      </a:extLst>
                    </xdr:cNvPr>
                    <xdr:cNvGrpSpPr/>
                  </xdr:nvGrpSpPr>
                  <xdr:grpSpPr>
                    <a:xfrm>
                      <a:off x="2948940" y="3200400"/>
                      <a:ext cx="2743200" cy="1714500"/>
                      <a:chOff x="60960" y="3154680"/>
                      <a:chExt cx="2743200" cy="1714500"/>
                    </a:xfrm>
                  </xdr:grpSpPr>
                  <xdr:sp macro="" textlink="">
                    <xdr:nvSpPr>
                      <xdr:cNvPr id="57" name="Rectangle 56">
                        <a:extLst>
                          <a:ext uri="{FF2B5EF4-FFF2-40B4-BE49-F238E27FC236}">
                            <a16:creationId xmlns:a16="http://schemas.microsoft.com/office/drawing/2014/main" id="{0B3909A2-224E-EBCB-19E1-DE0B405F32EE}"/>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64" name="Group 63">
                        <a:extLst>
                          <a:ext uri="{FF2B5EF4-FFF2-40B4-BE49-F238E27FC236}">
                            <a16:creationId xmlns:a16="http://schemas.microsoft.com/office/drawing/2014/main" id="{7D3CF857-2BA0-79E1-CD92-E5602EF21313}"/>
                          </a:ext>
                        </a:extLst>
                      </xdr:cNvPr>
                      <xdr:cNvGrpSpPr/>
                    </xdr:nvGrpSpPr>
                    <xdr:grpSpPr>
                      <a:xfrm>
                        <a:off x="365760" y="3535680"/>
                        <a:ext cx="2438400" cy="457200"/>
                        <a:chOff x="365760" y="3535680"/>
                        <a:chExt cx="1584960" cy="457200"/>
                      </a:xfrm>
                    </xdr:grpSpPr>
                    <xdr:sp macro="" textlink="">
                      <xdr:nvSpPr>
                        <xdr:cNvPr id="3086" name="Rectangle 3085">
                          <a:hlinkClick xmlns:r="http://schemas.openxmlformats.org/officeDocument/2006/relationships" r:id="rId33"/>
                          <a:extLst>
                            <a:ext uri="{FF2B5EF4-FFF2-40B4-BE49-F238E27FC236}">
                              <a16:creationId xmlns:a16="http://schemas.microsoft.com/office/drawing/2014/main" id="{5CD1554A-742B-01BE-CCEB-20487BB4A45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87" name="Rectangle 3086">
                          <a:hlinkClick xmlns:r="http://schemas.openxmlformats.org/officeDocument/2006/relationships" r:id="rId34"/>
                          <a:extLst>
                            <a:ext uri="{FF2B5EF4-FFF2-40B4-BE49-F238E27FC236}">
                              <a16:creationId xmlns:a16="http://schemas.microsoft.com/office/drawing/2014/main" id="{EC15BF79-894F-3DA5-5605-787DB9B3769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65" name="Group 64">
                        <a:extLst>
                          <a:ext uri="{FF2B5EF4-FFF2-40B4-BE49-F238E27FC236}">
                            <a16:creationId xmlns:a16="http://schemas.microsoft.com/office/drawing/2014/main" id="{7ADA5566-826A-0DCD-12E7-D0F152584077}"/>
                          </a:ext>
                        </a:extLst>
                      </xdr:cNvPr>
                      <xdr:cNvGrpSpPr/>
                    </xdr:nvGrpSpPr>
                    <xdr:grpSpPr>
                      <a:xfrm>
                        <a:off x="365760" y="3977640"/>
                        <a:ext cx="2438400" cy="457200"/>
                        <a:chOff x="365760" y="3535680"/>
                        <a:chExt cx="1584960" cy="457200"/>
                      </a:xfrm>
                    </xdr:grpSpPr>
                    <xdr:sp macro="" textlink="">
                      <xdr:nvSpPr>
                        <xdr:cNvPr id="83" name="Rectangle 82">
                          <a:hlinkClick xmlns:r="http://schemas.openxmlformats.org/officeDocument/2006/relationships" r:id="rId35"/>
                          <a:extLst>
                            <a:ext uri="{FF2B5EF4-FFF2-40B4-BE49-F238E27FC236}">
                              <a16:creationId xmlns:a16="http://schemas.microsoft.com/office/drawing/2014/main" id="{E1CB8BA0-257A-422C-7A89-C7BD901F75C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3085" name="Rectangle 3084">
                          <a:extLst>
                            <a:ext uri="{FF2B5EF4-FFF2-40B4-BE49-F238E27FC236}">
                              <a16:creationId xmlns:a16="http://schemas.microsoft.com/office/drawing/2014/main" id="{2885628B-E160-F796-F24E-7A97A14DB6D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66" name="Group 65">
                        <a:extLst>
                          <a:ext uri="{FF2B5EF4-FFF2-40B4-BE49-F238E27FC236}">
                            <a16:creationId xmlns:a16="http://schemas.microsoft.com/office/drawing/2014/main" id="{6F9DA8DF-BC4F-5403-0B68-320ECAEAB8D8}"/>
                          </a:ext>
                        </a:extLst>
                      </xdr:cNvPr>
                      <xdr:cNvGrpSpPr/>
                    </xdr:nvGrpSpPr>
                    <xdr:grpSpPr>
                      <a:xfrm>
                        <a:off x="365760" y="4411980"/>
                        <a:ext cx="2438400" cy="457200"/>
                        <a:chOff x="365760" y="3535680"/>
                        <a:chExt cx="1584960" cy="457200"/>
                      </a:xfrm>
                    </xdr:grpSpPr>
                    <xdr:sp macro="" textlink="">
                      <xdr:nvSpPr>
                        <xdr:cNvPr id="67" name="Rectangle 66">
                          <a:extLst>
                            <a:ext uri="{FF2B5EF4-FFF2-40B4-BE49-F238E27FC236}">
                              <a16:creationId xmlns:a16="http://schemas.microsoft.com/office/drawing/2014/main" id="{12ADF900-DCCD-0E69-1364-E3FB27C2350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68" name="Rectangle 67">
                          <a:extLst>
                            <a:ext uri="{FF2B5EF4-FFF2-40B4-BE49-F238E27FC236}">
                              <a16:creationId xmlns:a16="http://schemas.microsoft.com/office/drawing/2014/main" id="{607C280A-A3A2-535A-037A-B16B59283EB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56" name="Rectangle 55">
                      <a:extLst>
                        <a:ext uri="{FF2B5EF4-FFF2-40B4-BE49-F238E27FC236}">
                          <a16:creationId xmlns:a16="http://schemas.microsoft.com/office/drawing/2014/main" id="{F453028A-D3F8-3B6A-204C-756C2B92E2CD}"/>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DAD4FAD3-AB4F-04FB-035D-58A7EED59A82}"/>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38" name="Rectangle: Rounded Corners 37">
              <a:extLst>
                <a:ext uri="{FF2B5EF4-FFF2-40B4-BE49-F238E27FC236}">
                  <a16:creationId xmlns:a16="http://schemas.microsoft.com/office/drawing/2014/main" id="{AE5CEADF-68B2-938A-E32A-D78757B40F5D}"/>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39" name="Rectangle: Rounded Corners 38">
              <a:extLst>
                <a:ext uri="{FF2B5EF4-FFF2-40B4-BE49-F238E27FC236}">
                  <a16:creationId xmlns:a16="http://schemas.microsoft.com/office/drawing/2014/main" id="{0FAD7EBF-295D-DF5C-8F8A-22A7E61BC90B}"/>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40" name="Rectangle: Rounded Corners 39">
              <a:extLst>
                <a:ext uri="{FF2B5EF4-FFF2-40B4-BE49-F238E27FC236}">
                  <a16:creationId xmlns:a16="http://schemas.microsoft.com/office/drawing/2014/main" id="{4BB63FD6-69CC-BF93-496B-CD662FC0D9C3}"/>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36"/>
            <a:extLst>
              <a:ext uri="{FF2B5EF4-FFF2-40B4-BE49-F238E27FC236}">
                <a16:creationId xmlns:a16="http://schemas.microsoft.com/office/drawing/2014/main" id="{2B2E3F00-BD3C-B460-28B5-BFE272D40A7C}"/>
              </a:ext>
            </a:extLst>
          </xdr:cNvPr>
          <xdr:cNvPicPr>
            <a:picLocks noChangeAspect="1"/>
          </xdr:cNvPicPr>
        </xdr:nvPicPr>
        <xdr:blipFill rotWithShape="1">
          <a:blip xmlns:r="http://schemas.openxmlformats.org/officeDocument/2006/relationships" r:embed="rId37">
            <a:extLst>
              <a:ext uri="{BEBA8EAE-BF5A-486C-A8C5-ECC9F3942E4B}">
                <a14:imgProps xmlns:a14="http://schemas.microsoft.com/office/drawing/2010/main">
                  <a14:imgLayer r:embed="rId38">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twoCellAnchor>
    <xdr:from>
      <xdr:col>23</xdr:col>
      <xdr:colOff>533400</xdr:colOff>
      <xdr:row>3</xdr:row>
      <xdr:rowOff>111338</xdr:rowOff>
    </xdr:from>
    <xdr:to>
      <xdr:col>29</xdr:col>
      <xdr:colOff>533401</xdr:colOff>
      <xdr:row>10</xdr:row>
      <xdr:rowOff>149012</xdr:rowOff>
    </xdr:to>
    <xdr:grpSp>
      <xdr:nvGrpSpPr>
        <xdr:cNvPr id="3136" name="Group 3135">
          <a:extLst>
            <a:ext uri="{FF2B5EF4-FFF2-40B4-BE49-F238E27FC236}">
              <a16:creationId xmlns:a16="http://schemas.microsoft.com/office/drawing/2014/main" id="{4DC572DF-916A-4F15-952D-9C1213AD6C2A}"/>
            </a:ext>
          </a:extLst>
        </xdr:cNvPr>
        <xdr:cNvGrpSpPr/>
      </xdr:nvGrpSpPr>
      <xdr:grpSpPr>
        <a:xfrm>
          <a:off x="19392900" y="682838"/>
          <a:ext cx="2714626" cy="1371174"/>
          <a:chOff x="16551064" y="631192"/>
          <a:chExt cx="2256789" cy="1284391"/>
        </a:xfrm>
      </xdr:grpSpPr>
      <xdr:sp macro="" textlink="">
        <xdr:nvSpPr>
          <xdr:cNvPr id="3137" name="Rectangle 3136">
            <a:extLst>
              <a:ext uri="{FF2B5EF4-FFF2-40B4-BE49-F238E27FC236}">
                <a16:creationId xmlns:a16="http://schemas.microsoft.com/office/drawing/2014/main" id="{23659DA6-B079-6876-91FA-CBCA19D656C7}"/>
              </a:ext>
            </a:extLst>
          </xdr:cNvPr>
          <xdr:cNvSpPr/>
        </xdr:nvSpPr>
        <xdr:spPr>
          <a:xfrm>
            <a:off x="16882956" y="1017690"/>
            <a:ext cx="1587500" cy="281517"/>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a:t>
            </a:r>
            <a:r>
              <a:rPr lang="fr-FR" sz="1100" b="1" baseline="0">
                <a:latin typeface="+mn-lt"/>
              </a:rPr>
              <a:t> assistance</a:t>
            </a:r>
            <a:endParaRPr lang="fr-FR" sz="1100" b="1">
              <a:latin typeface="+mn-lt"/>
            </a:endParaRPr>
          </a:p>
        </xdr:txBody>
      </xdr:sp>
      <xdr:sp macro="" textlink="">
        <xdr:nvSpPr>
          <xdr:cNvPr id="3138" name="Rectangle 3137">
            <a:extLst>
              <a:ext uri="{FF2B5EF4-FFF2-40B4-BE49-F238E27FC236}">
                <a16:creationId xmlns:a16="http://schemas.microsoft.com/office/drawing/2014/main" id="{418C2BEE-056E-5E39-4356-786326F61591}"/>
              </a:ext>
            </a:extLst>
          </xdr:cNvPr>
          <xdr:cNvSpPr/>
        </xdr:nvSpPr>
        <xdr:spPr>
          <a:xfrm>
            <a:off x="16877452" y="1283542"/>
            <a:ext cx="1583690" cy="278977"/>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IT</a:t>
            </a:r>
            <a:r>
              <a:rPr lang="fr-FR" sz="1100" b="1" baseline="0">
                <a:latin typeface="+mn-lt"/>
              </a:rPr>
              <a:t> Support</a:t>
            </a:r>
            <a:endParaRPr lang="fr-FR" sz="1100" b="1">
              <a:latin typeface="+mn-lt"/>
            </a:endParaRPr>
          </a:p>
        </xdr:txBody>
      </xdr:sp>
      <xdr:sp macro="" textlink="">
        <xdr:nvSpPr>
          <xdr:cNvPr id="3139" name="Rectangle 3138">
            <a:extLst>
              <a:ext uri="{FF2B5EF4-FFF2-40B4-BE49-F238E27FC236}">
                <a16:creationId xmlns:a16="http://schemas.microsoft.com/office/drawing/2014/main" id="{88920218-C417-16B2-1D62-E904EA1AD222}"/>
              </a:ext>
            </a:extLst>
          </xdr:cNvPr>
          <xdr:cNvSpPr/>
        </xdr:nvSpPr>
        <xdr:spPr>
          <a:xfrm>
            <a:off x="16881263" y="1518915"/>
            <a:ext cx="1926590" cy="396668"/>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development</a:t>
            </a:r>
            <a:endParaRPr lang="fr-FR" sz="1100" b="1">
              <a:latin typeface="+mn-lt"/>
            </a:endParaRPr>
          </a:p>
        </xdr:txBody>
      </xdr:sp>
      <xdr:sp macro="" textlink="">
        <xdr:nvSpPr>
          <xdr:cNvPr id="3140" name="Rectangle 3139">
            <a:extLst>
              <a:ext uri="{FF2B5EF4-FFF2-40B4-BE49-F238E27FC236}">
                <a16:creationId xmlns:a16="http://schemas.microsoft.com/office/drawing/2014/main" id="{CC2E0445-4DF5-EBB5-1564-9F20457E6D7B}"/>
              </a:ext>
            </a:extLst>
          </xdr:cNvPr>
          <xdr:cNvSpPr/>
        </xdr:nvSpPr>
        <xdr:spPr>
          <a:xfrm>
            <a:off x="16551064" y="631192"/>
            <a:ext cx="1546437" cy="359831"/>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Help</a:t>
            </a:r>
            <a:r>
              <a:rPr lang="fr-FR" sz="1800" b="1" baseline="0">
                <a:latin typeface="+mj-lt"/>
              </a:rPr>
              <a:t> Center</a:t>
            </a:r>
            <a:endParaRPr lang="fr-FR" sz="18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71717</xdr:rowOff>
    </xdr:from>
    <xdr:to>
      <xdr:col>27</xdr:col>
      <xdr:colOff>16635</xdr:colOff>
      <xdr:row>14</xdr:row>
      <xdr:rowOff>71603</xdr:rowOff>
    </xdr:to>
    <xdr:grpSp>
      <xdr:nvGrpSpPr>
        <xdr:cNvPr id="3" name="Group 2">
          <a:extLst>
            <a:ext uri="{FF2B5EF4-FFF2-40B4-BE49-F238E27FC236}">
              <a16:creationId xmlns:a16="http://schemas.microsoft.com/office/drawing/2014/main" id="{2510019F-9BA8-4A8E-916E-7BBC7120C08E}"/>
            </a:ext>
          </a:extLst>
        </xdr:cNvPr>
        <xdr:cNvGrpSpPr/>
      </xdr:nvGrpSpPr>
      <xdr:grpSpPr>
        <a:xfrm>
          <a:off x="0" y="71717"/>
          <a:ext cx="20964164" cy="2647577"/>
          <a:chOff x="0" y="25400"/>
          <a:chExt cx="18808713" cy="2465554"/>
        </a:xfrm>
      </xdr:grpSpPr>
      <xdr:grpSp>
        <xdr:nvGrpSpPr>
          <xdr:cNvPr id="4" name="Group 3">
            <a:extLst>
              <a:ext uri="{FF2B5EF4-FFF2-40B4-BE49-F238E27FC236}">
                <a16:creationId xmlns:a16="http://schemas.microsoft.com/office/drawing/2014/main" id="{0BD70621-0AA7-1711-9A4D-F237D5EFE998}"/>
              </a:ext>
            </a:extLst>
          </xdr:cNvPr>
          <xdr:cNvGrpSpPr/>
        </xdr:nvGrpSpPr>
        <xdr:grpSpPr>
          <a:xfrm>
            <a:off x="0" y="268648"/>
            <a:ext cx="18808713" cy="2222306"/>
            <a:chOff x="-2" y="774501"/>
            <a:chExt cx="14238616" cy="2312445"/>
          </a:xfrm>
        </xdr:grpSpPr>
        <xdr:sp macro="" textlink="">
          <xdr:nvSpPr>
            <xdr:cNvPr id="6" name="Rectangle: Rounded Corners 5">
              <a:extLst>
                <a:ext uri="{FF2B5EF4-FFF2-40B4-BE49-F238E27FC236}">
                  <a16:creationId xmlns:a16="http://schemas.microsoft.com/office/drawing/2014/main" id="{6920DFFD-EEF6-B903-5FEB-7D181D8AA832}"/>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7" name="Group 6">
              <a:extLst>
                <a:ext uri="{FF2B5EF4-FFF2-40B4-BE49-F238E27FC236}">
                  <a16:creationId xmlns:a16="http://schemas.microsoft.com/office/drawing/2014/main" id="{164F3A0B-56F1-1F64-AE15-6BD79E832CAE}"/>
                </a:ext>
              </a:extLst>
            </xdr:cNvPr>
            <xdr:cNvGrpSpPr/>
          </xdr:nvGrpSpPr>
          <xdr:grpSpPr>
            <a:xfrm>
              <a:off x="-2" y="977052"/>
              <a:ext cx="14238606" cy="2109894"/>
              <a:chOff x="15238" y="3223260"/>
              <a:chExt cx="14214009" cy="2072640"/>
            </a:xfrm>
          </xdr:grpSpPr>
          <xdr:sp macro="" textlink="">
            <xdr:nvSpPr>
              <xdr:cNvPr id="11" name="Rectangle 10">
                <a:extLst>
                  <a:ext uri="{FF2B5EF4-FFF2-40B4-BE49-F238E27FC236}">
                    <a16:creationId xmlns:a16="http://schemas.microsoft.com/office/drawing/2014/main" id="{32038FEE-0F01-ED38-7770-6D081B1F462B}"/>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2" name="Group 11">
                <a:extLst>
                  <a:ext uri="{FF2B5EF4-FFF2-40B4-BE49-F238E27FC236}">
                    <a16:creationId xmlns:a16="http://schemas.microsoft.com/office/drawing/2014/main" id="{60CF7755-F900-1E06-9D8B-578F74F2A644}"/>
                  </a:ext>
                </a:extLst>
              </xdr:cNvPr>
              <xdr:cNvGrpSpPr/>
            </xdr:nvGrpSpPr>
            <xdr:grpSpPr>
              <a:xfrm>
                <a:off x="121920" y="3291840"/>
                <a:ext cx="13708380" cy="1950720"/>
                <a:chOff x="205740" y="2491740"/>
                <a:chExt cx="13708380" cy="1950720"/>
              </a:xfrm>
            </xdr:grpSpPr>
            <xdr:grpSp>
              <xdr:nvGrpSpPr>
                <xdr:cNvPr id="13" name="Group 12">
                  <a:extLst>
                    <a:ext uri="{FF2B5EF4-FFF2-40B4-BE49-F238E27FC236}">
                      <a16:creationId xmlns:a16="http://schemas.microsoft.com/office/drawing/2014/main" id="{21B6E1AC-9B47-2852-AB73-6A7B16744842}"/>
                    </a:ext>
                  </a:extLst>
                </xdr:cNvPr>
                <xdr:cNvGrpSpPr/>
              </xdr:nvGrpSpPr>
              <xdr:grpSpPr>
                <a:xfrm>
                  <a:off x="205740" y="2491740"/>
                  <a:ext cx="13708380" cy="1950720"/>
                  <a:chOff x="205740" y="3192780"/>
                  <a:chExt cx="13708380" cy="1950720"/>
                </a:xfrm>
              </xdr:grpSpPr>
              <xdr:grpSp>
                <xdr:nvGrpSpPr>
                  <xdr:cNvPr id="15" name="Group 14">
                    <a:extLst>
                      <a:ext uri="{FF2B5EF4-FFF2-40B4-BE49-F238E27FC236}">
                        <a16:creationId xmlns:a16="http://schemas.microsoft.com/office/drawing/2014/main" id="{223754E4-8A52-2DB5-AFA9-BE408D723940}"/>
                      </a:ext>
                    </a:extLst>
                  </xdr:cNvPr>
                  <xdr:cNvGrpSpPr/>
                </xdr:nvGrpSpPr>
                <xdr:grpSpPr>
                  <a:xfrm>
                    <a:off x="2948940" y="3200400"/>
                    <a:ext cx="2743200" cy="1935480"/>
                    <a:chOff x="2948940" y="3200400"/>
                    <a:chExt cx="2743200" cy="1935480"/>
                  </a:xfrm>
                </xdr:grpSpPr>
                <xdr:grpSp>
                  <xdr:nvGrpSpPr>
                    <xdr:cNvPr id="68" name="Group 67">
                      <a:extLst>
                        <a:ext uri="{FF2B5EF4-FFF2-40B4-BE49-F238E27FC236}">
                          <a16:creationId xmlns:a16="http://schemas.microsoft.com/office/drawing/2014/main" id="{B5B4C1B4-6E84-267E-70F2-9D7B38AA4B3F}"/>
                        </a:ext>
                      </a:extLst>
                    </xdr:cNvPr>
                    <xdr:cNvGrpSpPr/>
                  </xdr:nvGrpSpPr>
                  <xdr:grpSpPr>
                    <a:xfrm>
                      <a:off x="2948940" y="3200400"/>
                      <a:ext cx="2743200" cy="1714500"/>
                      <a:chOff x="60960" y="3154680"/>
                      <a:chExt cx="2743200" cy="1714500"/>
                    </a:xfrm>
                  </xdr:grpSpPr>
                  <xdr:sp macro="" textlink="">
                    <xdr:nvSpPr>
                      <xdr:cNvPr id="70" name="Rectangle 69">
                        <a:extLst>
                          <a:ext uri="{FF2B5EF4-FFF2-40B4-BE49-F238E27FC236}">
                            <a16:creationId xmlns:a16="http://schemas.microsoft.com/office/drawing/2014/main" id="{BAD253C1-0964-DFB0-4261-D28EB940E170}"/>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1" name="Group 70">
                        <a:extLst>
                          <a:ext uri="{FF2B5EF4-FFF2-40B4-BE49-F238E27FC236}">
                            <a16:creationId xmlns:a16="http://schemas.microsoft.com/office/drawing/2014/main" id="{10490593-6229-2E67-309D-4B6381BB732D}"/>
                          </a:ext>
                        </a:extLst>
                      </xdr:cNvPr>
                      <xdr:cNvGrpSpPr/>
                    </xdr:nvGrpSpPr>
                    <xdr:grpSpPr>
                      <a:xfrm>
                        <a:off x="365760" y="3535680"/>
                        <a:ext cx="2438400" cy="457200"/>
                        <a:chOff x="365760" y="3535680"/>
                        <a:chExt cx="1584960" cy="457200"/>
                      </a:xfrm>
                    </xdr:grpSpPr>
                    <xdr:sp macro="" textlink="">
                      <xdr:nvSpPr>
                        <xdr:cNvPr id="78" name="Rectangle 77">
                          <a:hlinkClick xmlns:r="http://schemas.openxmlformats.org/officeDocument/2006/relationships" r:id="rId1"/>
                          <a:extLst>
                            <a:ext uri="{FF2B5EF4-FFF2-40B4-BE49-F238E27FC236}">
                              <a16:creationId xmlns:a16="http://schemas.microsoft.com/office/drawing/2014/main" id="{B3EC948B-09E3-F4C0-C8B1-7F47DDBE27D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9" name="Rectangle 78">
                          <a:hlinkClick xmlns:r="http://schemas.openxmlformats.org/officeDocument/2006/relationships" r:id="rId1"/>
                          <a:extLst>
                            <a:ext uri="{FF2B5EF4-FFF2-40B4-BE49-F238E27FC236}">
                              <a16:creationId xmlns:a16="http://schemas.microsoft.com/office/drawing/2014/main" id="{7AC58F3F-8607-7215-D095-7272D5AA183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2" name="Group 71">
                        <a:extLst>
                          <a:ext uri="{FF2B5EF4-FFF2-40B4-BE49-F238E27FC236}">
                            <a16:creationId xmlns:a16="http://schemas.microsoft.com/office/drawing/2014/main" id="{ADBFD0AB-FFCD-EB02-7A65-4AAF121F3468}"/>
                          </a:ext>
                        </a:extLst>
                      </xdr:cNvPr>
                      <xdr:cNvGrpSpPr/>
                    </xdr:nvGrpSpPr>
                    <xdr:grpSpPr>
                      <a:xfrm>
                        <a:off x="365760" y="3977640"/>
                        <a:ext cx="2438400" cy="457200"/>
                        <a:chOff x="365760" y="3535680"/>
                        <a:chExt cx="1584960" cy="457200"/>
                      </a:xfrm>
                    </xdr:grpSpPr>
                    <xdr:sp macro="" textlink="">
                      <xdr:nvSpPr>
                        <xdr:cNvPr id="76" name="Rectangle 75">
                          <a:extLst>
                            <a:ext uri="{FF2B5EF4-FFF2-40B4-BE49-F238E27FC236}">
                              <a16:creationId xmlns:a16="http://schemas.microsoft.com/office/drawing/2014/main" id="{7512B1D9-4948-118C-96FA-F758AD29767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7" name="Rectangle 76">
                          <a:hlinkClick xmlns:r="http://schemas.openxmlformats.org/officeDocument/2006/relationships" r:id="rId2"/>
                          <a:extLst>
                            <a:ext uri="{FF2B5EF4-FFF2-40B4-BE49-F238E27FC236}">
                              <a16:creationId xmlns:a16="http://schemas.microsoft.com/office/drawing/2014/main" id="{FBA21321-B3CD-DD36-4AF0-75C8A25F2FD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3" name="Group 72">
                        <a:extLst>
                          <a:ext uri="{FF2B5EF4-FFF2-40B4-BE49-F238E27FC236}">
                            <a16:creationId xmlns:a16="http://schemas.microsoft.com/office/drawing/2014/main" id="{326C742F-F5A6-60B6-1F40-2951A01451CB}"/>
                          </a:ext>
                        </a:extLst>
                      </xdr:cNvPr>
                      <xdr:cNvGrpSpPr/>
                    </xdr:nvGrpSpPr>
                    <xdr:grpSpPr>
                      <a:xfrm>
                        <a:off x="365760" y="4411980"/>
                        <a:ext cx="2438400" cy="457200"/>
                        <a:chOff x="365760" y="3535680"/>
                        <a:chExt cx="1584960" cy="457200"/>
                      </a:xfrm>
                    </xdr:grpSpPr>
                    <xdr:sp macro="" textlink="">
                      <xdr:nvSpPr>
                        <xdr:cNvPr id="74" name="Rectangle 73">
                          <a:hlinkClick xmlns:r="http://schemas.openxmlformats.org/officeDocument/2006/relationships" r:id="rId3"/>
                          <a:extLst>
                            <a:ext uri="{FF2B5EF4-FFF2-40B4-BE49-F238E27FC236}">
                              <a16:creationId xmlns:a16="http://schemas.microsoft.com/office/drawing/2014/main" id="{9009C51E-A0FC-286A-A453-DC44B00F348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5" name="Rectangle 74">
                          <a:extLst>
                            <a:ext uri="{FF2B5EF4-FFF2-40B4-BE49-F238E27FC236}">
                              <a16:creationId xmlns:a16="http://schemas.microsoft.com/office/drawing/2014/main" id="{7D992B57-4B75-38FD-03A6-C9CC6106AE6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9" name="Rectangle 68">
                      <a:extLst>
                        <a:ext uri="{FF2B5EF4-FFF2-40B4-BE49-F238E27FC236}">
                          <a16:creationId xmlns:a16="http://schemas.microsoft.com/office/drawing/2014/main" id="{EF626A19-B8E2-92A8-F15E-FFE4F49EAC7A}"/>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6" name="Group 15">
                    <a:extLst>
                      <a:ext uri="{FF2B5EF4-FFF2-40B4-BE49-F238E27FC236}">
                        <a16:creationId xmlns:a16="http://schemas.microsoft.com/office/drawing/2014/main" id="{891AAE96-F409-9E51-26B2-70E8CD33B22B}"/>
                      </a:ext>
                    </a:extLst>
                  </xdr:cNvPr>
                  <xdr:cNvGrpSpPr/>
                </xdr:nvGrpSpPr>
                <xdr:grpSpPr>
                  <a:xfrm>
                    <a:off x="205740" y="3192780"/>
                    <a:ext cx="2743200" cy="1943100"/>
                    <a:chOff x="205740" y="3192780"/>
                    <a:chExt cx="2743200" cy="1943100"/>
                  </a:xfrm>
                </xdr:grpSpPr>
                <xdr:grpSp>
                  <xdr:nvGrpSpPr>
                    <xdr:cNvPr id="56" name="Group 55">
                      <a:extLst>
                        <a:ext uri="{FF2B5EF4-FFF2-40B4-BE49-F238E27FC236}">
                          <a16:creationId xmlns:a16="http://schemas.microsoft.com/office/drawing/2014/main" id="{1AEAC9D6-34BA-CA75-9D26-A52DD9A08CA0}"/>
                        </a:ext>
                      </a:extLst>
                    </xdr:cNvPr>
                    <xdr:cNvGrpSpPr/>
                  </xdr:nvGrpSpPr>
                  <xdr:grpSpPr>
                    <a:xfrm>
                      <a:off x="205740" y="3192780"/>
                      <a:ext cx="2743200" cy="1714500"/>
                      <a:chOff x="60960" y="3154680"/>
                      <a:chExt cx="2743200" cy="1714500"/>
                    </a:xfrm>
                  </xdr:grpSpPr>
                  <xdr:sp macro="" textlink="">
                    <xdr:nvSpPr>
                      <xdr:cNvPr id="58" name="Rectangle 57">
                        <a:extLst>
                          <a:ext uri="{FF2B5EF4-FFF2-40B4-BE49-F238E27FC236}">
                            <a16:creationId xmlns:a16="http://schemas.microsoft.com/office/drawing/2014/main" id="{5198F437-F1C6-BBC1-80D7-11B9F3BBC327}"/>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9" name="Group 58">
                        <a:extLst>
                          <a:ext uri="{FF2B5EF4-FFF2-40B4-BE49-F238E27FC236}">
                            <a16:creationId xmlns:a16="http://schemas.microsoft.com/office/drawing/2014/main" id="{3033916B-64F2-6470-F0B7-4E382DFF7C9B}"/>
                          </a:ext>
                        </a:extLst>
                      </xdr:cNvPr>
                      <xdr:cNvGrpSpPr/>
                    </xdr:nvGrpSpPr>
                    <xdr:grpSpPr>
                      <a:xfrm>
                        <a:off x="365760" y="3535680"/>
                        <a:ext cx="2438400" cy="457200"/>
                        <a:chOff x="365760" y="3535680"/>
                        <a:chExt cx="1584960" cy="457200"/>
                      </a:xfrm>
                    </xdr:grpSpPr>
                    <xdr:sp macro="" textlink="">
                      <xdr:nvSpPr>
                        <xdr:cNvPr id="66" name="Rectangle 65">
                          <a:hlinkClick xmlns:r="http://schemas.openxmlformats.org/officeDocument/2006/relationships" r:id="rId4"/>
                          <a:extLst>
                            <a:ext uri="{FF2B5EF4-FFF2-40B4-BE49-F238E27FC236}">
                              <a16:creationId xmlns:a16="http://schemas.microsoft.com/office/drawing/2014/main" id="{E9BFDF91-6F16-963B-4E7C-A29BE7011B3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7" name="Rectangle 66">
                          <a:hlinkClick xmlns:r="http://schemas.openxmlformats.org/officeDocument/2006/relationships" r:id="rId5"/>
                          <a:extLst>
                            <a:ext uri="{FF2B5EF4-FFF2-40B4-BE49-F238E27FC236}">
                              <a16:creationId xmlns:a16="http://schemas.microsoft.com/office/drawing/2014/main" id="{E540F545-F083-DA92-120A-4A090C98359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60" name="Group 59">
                        <a:extLst>
                          <a:ext uri="{FF2B5EF4-FFF2-40B4-BE49-F238E27FC236}">
                            <a16:creationId xmlns:a16="http://schemas.microsoft.com/office/drawing/2014/main" id="{B74DFFC6-9065-A593-D06F-9702195F0A99}"/>
                          </a:ext>
                        </a:extLst>
                      </xdr:cNvPr>
                      <xdr:cNvGrpSpPr/>
                    </xdr:nvGrpSpPr>
                    <xdr:grpSpPr>
                      <a:xfrm>
                        <a:off x="365760" y="3977640"/>
                        <a:ext cx="2438400" cy="457200"/>
                        <a:chOff x="365760" y="3535680"/>
                        <a:chExt cx="1584960" cy="457200"/>
                      </a:xfrm>
                    </xdr:grpSpPr>
                    <xdr:sp macro="" textlink="">
                      <xdr:nvSpPr>
                        <xdr:cNvPr id="64" name="Rectangle 63">
                          <a:hlinkClick xmlns:r="http://schemas.openxmlformats.org/officeDocument/2006/relationships" r:id="rId6"/>
                          <a:extLst>
                            <a:ext uri="{FF2B5EF4-FFF2-40B4-BE49-F238E27FC236}">
                              <a16:creationId xmlns:a16="http://schemas.microsoft.com/office/drawing/2014/main" id="{9E029228-2341-185C-1CA8-C5C93B5F505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5" name="Rectangle 64">
                          <a:hlinkClick xmlns:r="http://schemas.openxmlformats.org/officeDocument/2006/relationships" r:id="rId7"/>
                          <a:extLst>
                            <a:ext uri="{FF2B5EF4-FFF2-40B4-BE49-F238E27FC236}">
                              <a16:creationId xmlns:a16="http://schemas.microsoft.com/office/drawing/2014/main" id="{0465E2B3-3913-8B23-E73C-A937028A7D0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1" name="Group 60">
                        <a:extLst>
                          <a:ext uri="{FF2B5EF4-FFF2-40B4-BE49-F238E27FC236}">
                            <a16:creationId xmlns:a16="http://schemas.microsoft.com/office/drawing/2014/main" id="{68BF51B4-3D18-280E-9FB5-9FFEFE391E0A}"/>
                          </a:ext>
                        </a:extLst>
                      </xdr:cNvPr>
                      <xdr:cNvGrpSpPr/>
                    </xdr:nvGrpSpPr>
                    <xdr:grpSpPr>
                      <a:xfrm>
                        <a:off x="365760" y="4411980"/>
                        <a:ext cx="2438400" cy="457200"/>
                        <a:chOff x="365760" y="3535680"/>
                        <a:chExt cx="1584960" cy="457200"/>
                      </a:xfrm>
                    </xdr:grpSpPr>
                    <xdr:sp macro="" textlink="">
                      <xdr:nvSpPr>
                        <xdr:cNvPr id="62" name="Rectangle 61">
                          <a:hlinkClick xmlns:r="http://schemas.openxmlformats.org/officeDocument/2006/relationships" r:id="rId8"/>
                          <a:extLst>
                            <a:ext uri="{FF2B5EF4-FFF2-40B4-BE49-F238E27FC236}">
                              <a16:creationId xmlns:a16="http://schemas.microsoft.com/office/drawing/2014/main" id="{6CAAC134-141E-AC8E-6B04-66E0147BC8C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3" name="Rectangle 62">
                          <a:hlinkClick xmlns:r="http://schemas.openxmlformats.org/officeDocument/2006/relationships" r:id="rId9"/>
                          <a:extLst>
                            <a:ext uri="{FF2B5EF4-FFF2-40B4-BE49-F238E27FC236}">
                              <a16:creationId xmlns:a16="http://schemas.microsoft.com/office/drawing/2014/main" id="{44CFE067-F150-54C6-0388-FFCB6E5FAF4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7" name="Rectangle 56">
                      <a:hlinkClick xmlns:r="http://schemas.openxmlformats.org/officeDocument/2006/relationships" r:id="rId4"/>
                      <a:extLst>
                        <a:ext uri="{FF2B5EF4-FFF2-40B4-BE49-F238E27FC236}">
                          <a16:creationId xmlns:a16="http://schemas.microsoft.com/office/drawing/2014/main" id="{9A421A72-9072-4310-9400-68CF8B7A979D}"/>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7" name="Group 16">
                    <a:extLst>
                      <a:ext uri="{FF2B5EF4-FFF2-40B4-BE49-F238E27FC236}">
                        <a16:creationId xmlns:a16="http://schemas.microsoft.com/office/drawing/2014/main" id="{10182790-DB32-32BD-D83C-68380560AB84}"/>
                      </a:ext>
                    </a:extLst>
                  </xdr:cNvPr>
                  <xdr:cNvGrpSpPr/>
                </xdr:nvGrpSpPr>
                <xdr:grpSpPr>
                  <a:xfrm>
                    <a:off x="5692140" y="3208020"/>
                    <a:ext cx="2743200" cy="1935480"/>
                    <a:chOff x="2948940" y="3200400"/>
                    <a:chExt cx="2743200" cy="1935480"/>
                  </a:xfrm>
                </xdr:grpSpPr>
                <xdr:grpSp>
                  <xdr:nvGrpSpPr>
                    <xdr:cNvPr id="44" name="Group 43">
                      <a:extLst>
                        <a:ext uri="{FF2B5EF4-FFF2-40B4-BE49-F238E27FC236}">
                          <a16:creationId xmlns:a16="http://schemas.microsoft.com/office/drawing/2014/main" id="{5D4A386B-F804-1205-FC84-73A0C69FCC45}"/>
                        </a:ext>
                      </a:extLst>
                    </xdr:cNvPr>
                    <xdr:cNvGrpSpPr/>
                  </xdr:nvGrpSpPr>
                  <xdr:grpSpPr>
                    <a:xfrm>
                      <a:off x="2948940" y="3200400"/>
                      <a:ext cx="2743200" cy="1714500"/>
                      <a:chOff x="60960" y="3154680"/>
                      <a:chExt cx="2743200" cy="1714500"/>
                    </a:xfrm>
                  </xdr:grpSpPr>
                  <xdr:sp macro="" textlink="">
                    <xdr:nvSpPr>
                      <xdr:cNvPr id="46" name="Rectangle 45">
                        <a:extLst>
                          <a:ext uri="{FF2B5EF4-FFF2-40B4-BE49-F238E27FC236}">
                            <a16:creationId xmlns:a16="http://schemas.microsoft.com/office/drawing/2014/main" id="{8B4E5195-65D2-8BDF-8F82-B116EFB97244}"/>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7" name="Group 46">
                        <a:extLst>
                          <a:ext uri="{FF2B5EF4-FFF2-40B4-BE49-F238E27FC236}">
                            <a16:creationId xmlns:a16="http://schemas.microsoft.com/office/drawing/2014/main" id="{67206509-0151-4AF8-4B64-D5BD702E825C}"/>
                          </a:ext>
                        </a:extLst>
                      </xdr:cNvPr>
                      <xdr:cNvGrpSpPr/>
                    </xdr:nvGrpSpPr>
                    <xdr:grpSpPr>
                      <a:xfrm>
                        <a:off x="365760" y="3535680"/>
                        <a:ext cx="2438400" cy="457200"/>
                        <a:chOff x="365760" y="3535680"/>
                        <a:chExt cx="1584960" cy="457200"/>
                      </a:xfrm>
                    </xdr:grpSpPr>
                    <xdr:sp macro="" textlink="">
                      <xdr:nvSpPr>
                        <xdr:cNvPr id="54" name="Rectangle 53">
                          <a:hlinkClick xmlns:r="http://schemas.openxmlformats.org/officeDocument/2006/relationships" r:id="rId10"/>
                          <a:extLst>
                            <a:ext uri="{FF2B5EF4-FFF2-40B4-BE49-F238E27FC236}">
                              <a16:creationId xmlns:a16="http://schemas.microsoft.com/office/drawing/2014/main" id="{A4618657-F121-903C-F9C9-C74C8B2CCBB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5" name="Rectangle 54">
                          <a:hlinkClick xmlns:r="http://schemas.openxmlformats.org/officeDocument/2006/relationships" r:id="rId11"/>
                          <a:extLst>
                            <a:ext uri="{FF2B5EF4-FFF2-40B4-BE49-F238E27FC236}">
                              <a16:creationId xmlns:a16="http://schemas.microsoft.com/office/drawing/2014/main" id="{FADE1FFC-D6E3-1C8C-96C6-F93ADDD6AA5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8" name="Group 47">
                        <a:extLst>
                          <a:ext uri="{FF2B5EF4-FFF2-40B4-BE49-F238E27FC236}">
                            <a16:creationId xmlns:a16="http://schemas.microsoft.com/office/drawing/2014/main" id="{446FC747-9A58-1148-90D7-F6881F08EE06}"/>
                          </a:ext>
                        </a:extLst>
                      </xdr:cNvPr>
                      <xdr:cNvGrpSpPr/>
                    </xdr:nvGrpSpPr>
                    <xdr:grpSpPr>
                      <a:xfrm>
                        <a:off x="365760" y="3977640"/>
                        <a:ext cx="2438400" cy="457200"/>
                        <a:chOff x="365760" y="3535680"/>
                        <a:chExt cx="1584960" cy="457200"/>
                      </a:xfrm>
                    </xdr:grpSpPr>
                    <xdr:sp macro="" textlink="">
                      <xdr:nvSpPr>
                        <xdr:cNvPr id="52" name="Rectangle 51">
                          <a:extLst>
                            <a:ext uri="{FF2B5EF4-FFF2-40B4-BE49-F238E27FC236}">
                              <a16:creationId xmlns:a16="http://schemas.microsoft.com/office/drawing/2014/main" id="{E2AF0149-C73D-6482-98AC-B6A5A522830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3" name="Rectangle 52">
                          <a:extLst>
                            <a:ext uri="{FF2B5EF4-FFF2-40B4-BE49-F238E27FC236}">
                              <a16:creationId xmlns:a16="http://schemas.microsoft.com/office/drawing/2014/main" id="{99565E22-8EE4-F874-E01B-32F2D5D9907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9" name="Group 48">
                        <a:extLst>
                          <a:ext uri="{FF2B5EF4-FFF2-40B4-BE49-F238E27FC236}">
                            <a16:creationId xmlns:a16="http://schemas.microsoft.com/office/drawing/2014/main" id="{1C761FDB-7105-FA35-5F95-CB6CC149BFDB}"/>
                          </a:ext>
                        </a:extLst>
                      </xdr:cNvPr>
                      <xdr:cNvGrpSpPr/>
                    </xdr:nvGrpSpPr>
                    <xdr:grpSpPr>
                      <a:xfrm>
                        <a:off x="365760" y="4411980"/>
                        <a:ext cx="2438400" cy="457200"/>
                        <a:chOff x="365760" y="3535680"/>
                        <a:chExt cx="1584960" cy="457200"/>
                      </a:xfrm>
                    </xdr:grpSpPr>
                    <xdr:sp macro="" textlink="">
                      <xdr:nvSpPr>
                        <xdr:cNvPr id="50" name="Rectangle 49">
                          <a:extLst>
                            <a:ext uri="{FF2B5EF4-FFF2-40B4-BE49-F238E27FC236}">
                              <a16:creationId xmlns:a16="http://schemas.microsoft.com/office/drawing/2014/main" id="{D76BD8DC-0FED-6883-BDEB-2440929681E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1" name="Rectangle 50">
                          <a:extLst>
                            <a:ext uri="{FF2B5EF4-FFF2-40B4-BE49-F238E27FC236}">
                              <a16:creationId xmlns:a16="http://schemas.microsoft.com/office/drawing/2014/main" id="{C09DC0CE-B979-F9C6-1D87-61DBBFAFEAB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5" name="Rectangle 44">
                      <a:extLst>
                        <a:ext uri="{FF2B5EF4-FFF2-40B4-BE49-F238E27FC236}">
                          <a16:creationId xmlns:a16="http://schemas.microsoft.com/office/drawing/2014/main" id="{5B93C7D9-B0D2-EA4E-B52B-D5DF0C3EE507}"/>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8" name="Group 17">
                    <a:extLst>
                      <a:ext uri="{FF2B5EF4-FFF2-40B4-BE49-F238E27FC236}">
                        <a16:creationId xmlns:a16="http://schemas.microsoft.com/office/drawing/2014/main" id="{E6F255D9-9099-A8B4-7943-C6DF03241CC0}"/>
                      </a:ext>
                    </a:extLst>
                  </xdr:cNvPr>
                  <xdr:cNvGrpSpPr/>
                </xdr:nvGrpSpPr>
                <xdr:grpSpPr>
                  <a:xfrm>
                    <a:off x="8435340" y="3208020"/>
                    <a:ext cx="2743200" cy="1935480"/>
                    <a:chOff x="2948940" y="3200400"/>
                    <a:chExt cx="2743200" cy="1935480"/>
                  </a:xfrm>
                </xdr:grpSpPr>
                <xdr:grpSp>
                  <xdr:nvGrpSpPr>
                    <xdr:cNvPr id="32" name="Group 31">
                      <a:extLst>
                        <a:ext uri="{FF2B5EF4-FFF2-40B4-BE49-F238E27FC236}">
                          <a16:creationId xmlns:a16="http://schemas.microsoft.com/office/drawing/2014/main" id="{E3800E59-F3CD-3A9F-401D-453720B74078}"/>
                        </a:ext>
                      </a:extLst>
                    </xdr:cNvPr>
                    <xdr:cNvGrpSpPr/>
                  </xdr:nvGrpSpPr>
                  <xdr:grpSpPr>
                    <a:xfrm>
                      <a:off x="2948940" y="3200400"/>
                      <a:ext cx="2743200" cy="1714500"/>
                      <a:chOff x="60960" y="3154680"/>
                      <a:chExt cx="2743200" cy="1714500"/>
                    </a:xfrm>
                  </xdr:grpSpPr>
                  <xdr:sp macro="" textlink="">
                    <xdr:nvSpPr>
                      <xdr:cNvPr id="34" name="Rectangle 33">
                        <a:extLst>
                          <a:ext uri="{FF2B5EF4-FFF2-40B4-BE49-F238E27FC236}">
                            <a16:creationId xmlns:a16="http://schemas.microsoft.com/office/drawing/2014/main" id="{A9E39166-21FC-12D1-3F82-357F24C8DEB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5" name="Group 34">
                        <a:extLst>
                          <a:ext uri="{FF2B5EF4-FFF2-40B4-BE49-F238E27FC236}">
                            <a16:creationId xmlns:a16="http://schemas.microsoft.com/office/drawing/2014/main" id="{09FCF634-C01F-4B8E-C2BC-DC7DA008589E}"/>
                          </a:ext>
                        </a:extLst>
                      </xdr:cNvPr>
                      <xdr:cNvGrpSpPr/>
                    </xdr:nvGrpSpPr>
                    <xdr:grpSpPr>
                      <a:xfrm>
                        <a:off x="365760" y="3535680"/>
                        <a:ext cx="2438400" cy="457200"/>
                        <a:chOff x="365760" y="3535680"/>
                        <a:chExt cx="1584960" cy="457200"/>
                      </a:xfrm>
                    </xdr:grpSpPr>
                    <xdr:sp macro="" textlink="">
                      <xdr:nvSpPr>
                        <xdr:cNvPr id="42" name="Rectangle 41">
                          <a:extLst>
                            <a:ext uri="{FF2B5EF4-FFF2-40B4-BE49-F238E27FC236}">
                              <a16:creationId xmlns:a16="http://schemas.microsoft.com/office/drawing/2014/main" id="{97F8212F-82B2-6D2F-67CB-8E425855404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3" name="Rectangle 42">
                          <a:extLst>
                            <a:ext uri="{FF2B5EF4-FFF2-40B4-BE49-F238E27FC236}">
                              <a16:creationId xmlns:a16="http://schemas.microsoft.com/office/drawing/2014/main" id="{90C977E6-8FCD-D8DD-A83D-7476CBA3EE0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6" name="Group 35">
                        <a:extLst>
                          <a:ext uri="{FF2B5EF4-FFF2-40B4-BE49-F238E27FC236}">
                            <a16:creationId xmlns:a16="http://schemas.microsoft.com/office/drawing/2014/main" id="{9A6C5DE9-0F60-5411-2158-5AA56C74E388}"/>
                          </a:ext>
                        </a:extLst>
                      </xdr:cNvPr>
                      <xdr:cNvGrpSpPr/>
                    </xdr:nvGrpSpPr>
                    <xdr:grpSpPr>
                      <a:xfrm>
                        <a:off x="365760" y="3977640"/>
                        <a:ext cx="2438400" cy="457200"/>
                        <a:chOff x="365760" y="3535680"/>
                        <a:chExt cx="1584960" cy="457200"/>
                      </a:xfrm>
                    </xdr:grpSpPr>
                    <xdr:sp macro="" textlink="">
                      <xdr:nvSpPr>
                        <xdr:cNvPr id="40" name="Rectangle 39">
                          <a:extLst>
                            <a:ext uri="{FF2B5EF4-FFF2-40B4-BE49-F238E27FC236}">
                              <a16:creationId xmlns:a16="http://schemas.microsoft.com/office/drawing/2014/main" id="{DBF15AFE-1BDC-343F-69FA-FD8524DD839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1" name="Rectangle 40">
                          <a:extLst>
                            <a:ext uri="{FF2B5EF4-FFF2-40B4-BE49-F238E27FC236}">
                              <a16:creationId xmlns:a16="http://schemas.microsoft.com/office/drawing/2014/main" id="{F322ABC6-0444-D1D7-C13C-BCA5B5B7489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7" name="Group 36">
                        <a:extLst>
                          <a:ext uri="{FF2B5EF4-FFF2-40B4-BE49-F238E27FC236}">
                            <a16:creationId xmlns:a16="http://schemas.microsoft.com/office/drawing/2014/main" id="{AD2EAD05-CB22-5144-E0A9-A90A5225A430}"/>
                          </a:ext>
                        </a:extLst>
                      </xdr:cNvPr>
                      <xdr:cNvGrpSpPr/>
                    </xdr:nvGrpSpPr>
                    <xdr:grpSpPr>
                      <a:xfrm>
                        <a:off x="365760" y="4411980"/>
                        <a:ext cx="2438400" cy="457200"/>
                        <a:chOff x="365760" y="3535680"/>
                        <a:chExt cx="1584960" cy="457200"/>
                      </a:xfrm>
                    </xdr:grpSpPr>
                    <xdr:sp macro="" textlink="">
                      <xdr:nvSpPr>
                        <xdr:cNvPr id="38" name="Rectangle 37">
                          <a:extLst>
                            <a:ext uri="{FF2B5EF4-FFF2-40B4-BE49-F238E27FC236}">
                              <a16:creationId xmlns:a16="http://schemas.microsoft.com/office/drawing/2014/main" id="{85C48A03-F42A-B497-F8E8-A212F666B7A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9" name="Rectangle 38">
                          <a:extLst>
                            <a:ext uri="{FF2B5EF4-FFF2-40B4-BE49-F238E27FC236}">
                              <a16:creationId xmlns:a16="http://schemas.microsoft.com/office/drawing/2014/main" id="{A5651929-5529-871A-3FAD-C70227B09BC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3" name="Rectangle 32">
                      <a:extLst>
                        <a:ext uri="{FF2B5EF4-FFF2-40B4-BE49-F238E27FC236}">
                          <a16:creationId xmlns:a16="http://schemas.microsoft.com/office/drawing/2014/main" id="{84A9DCFF-E33A-F21D-CB7D-F580B78EAE29}"/>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9" name="Group 18">
                    <a:extLst>
                      <a:ext uri="{FF2B5EF4-FFF2-40B4-BE49-F238E27FC236}">
                        <a16:creationId xmlns:a16="http://schemas.microsoft.com/office/drawing/2014/main" id="{7EFE447E-9B4A-C3DC-435C-F09476E34106}"/>
                      </a:ext>
                    </a:extLst>
                  </xdr:cNvPr>
                  <xdr:cNvGrpSpPr/>
                </xdr:nvGrpSpPr>
                <xdr:grpSpPr>
                  <a:xfrm>
                    <a:off x="11170920" y="3208020"/>
                    <a:ext cx="2743200" cy="1935480"/>
                    <a:chOff x="2948940" y="3200400"/>
                    <a:chExt cx="2743200" cy="1935480"/>
                  </a:xfrm>
                </xdr:grpSpPr>
                <xdr:grpSp>
                  <xdr:nvGrpSpPr>
                    <xdr:cNvPr id="20" name="Group 19">
                      <a:extLst>
                        <a:ext uri="{FF2B5EF4-FFF2-40B4-BE49-F238E27FC236}">
                          <a16:creationId xmlns:a16="http://schemas.microsoft.com/office/drawing/2014/main" id="{622C0AC1-056F-E18B-9500-ECA1F199FCA0}"/>
                        </a:ext>
                      </a:extLst>
                    </xdr:cNvPr>
                    <xdr:cNvGrpSpPr/>
                  </xdr:nvGrpSpPr>
                  <xdr:grpSpPr>
                    <a:xfrm>
                      <a:off x="2948940" y="3200400"/>
                      <a:ext cx="2743200" cy="1714500"/>
                      <a:chOff x="60960" y="3154680"/>
                      <a:chExt cx="2743200" cy="1714500"/>
                    </a:xfrm>
                  </xdr:grpSpPr>
                  <xdr:sp macro="" textlink="">
                    <xdr:nvSpPr>
                      <xdr:cNvPr id="22" name="Rectangle 21">
                        <a:extLst>
                          <a:ext uri="{FF2B5EF4-FFF2-40B4-BE49-F238E27FC236}">
                            <a16:creationId xmlns:a16="http://schemas.microsoft.com/office/drawing/2014/main" id="{B72E709F-AF84-F560-2467-A618D71CF48B}"/>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3" name="Group 22">
                        <a:extLst>
                          <a:ext uri="{FF2B5EF4-FFF2-40B4-BE49-F238E27FC236}">
                            <a16:creationId xmlns:a16="http://schemas.microsoft.com/office/drawing/2014/main" id="{3332E0E7-CD59-7EF7-B3B9-594DA7CFA55A}"/>
                          </a:ext>
                        </a:extLst>
                      </xdr:cNvPr>
                      <xdr:cNvGrpSpPr/>
                    </xdr:nvGrpSpPr>
                    <xdr:grpSpPr>
                      <a:xfrm>
                        <a:off x="365760" y="3535680"/>
                        <a:ext cx="2438400" cy="457200"/>
                        <a:chOff x="365760" y="3535680"/>
                        <a:chExt cx="1584960" cy="457200"/>
                      </a:xfrm>
                    </xdr:grpSpPr>
                    <xdr:sp macro="" textlink="">
                      <xdr:nvSpPr>
                        <xdr:cNvPr id="30" name="Rectangle 29">
                          <a:hlinkClick xmlns:r="http://schemas.openxmlformats.org/officeDocument/2006/relationships" r:id="rId12"/>
                          <a:extLst>
                            <a:ext uri="{FF2B5EF4-FFF2-40B4-BE49-F238E27FC236}">
                              <a16:creationId xmlns:a16="http://schemas.microsoft.com/office/drawing/2014/main" id="{5502D308-9C92-B15C-A87A-3D8FD55FBEE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1" name="Rectangle 30">
                          <a:hlinkClick xmlns:r="http://schemas.openxmlformats.org/officeDocument/2006/relationships" r:id="rId13"/>
                          <a:extLst>
                            <a:ext uri="{FF2B5EF4-FFF2-40B4-BE49-F238E27FC236}">
                              <a16:creationId xmlns:a16="http://schemas.microsoft.com/office/drawing/2014/main" id="{83AB9352-5B10-DAB8-4DD9-C9B8F08A797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4" name="Group 23">
                        <a:extLst>
                          <a:ext uri="{FF2B5EF4-FFF2-40B4-BE49-F238E27FC236}">
                            <a16:creationId xmlns:a16="http://schemas.microsoft.com/office/drawing/2014/main" id="{90EE673C-AC83-8569-84C2-3555C2EFC4EA}"/>
                          </a:ext>
                        </a:extLst>
                      </xdr:cNvPr>
                      <xdr:cNvGrpSpPr/>
                    </xdr:nvGrpSpPr>
                    <xdr:grpSpPr>
                      <a:xfrm>
                        <a:off x="365760" y="3977640"/>
                        <a:ext cx="2438400" cy="457200"/>
                        <a:chOff x="365760" y="3535680"/>
                        <a:chExt cx="1584960" cy="457200"/>
                      </a:xfrm>
                    </xdr:grpSpPr>
                    <xdr:sp macro="" textlink="">
                      <xdr:nvSpPr>
                        <xdr:cNvPr id="28" name="Rectangle 27">
                          <a:hlinkClick xmlns:r="http://schemas.openxmlformats.org/officeDocument/2006/relationships" r:id="rId14"/>
                          <a:extLst>
                            <a:ext uri="{FF2B5EF4-FFF2-40B4-BE49-F238E27FC236}">
                              <a16:creationId xmlns:a16="http://schemas.microsoft.com/office/drawing/2014/main" id="{7EB835B0-7819-7066-7786-566B7E4603A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9" name="Rectangle 28">
                          <a:extLst>
                            <a:ext uri="{FF2B5EF4-FFF2-40B4-BE49-F238E27FC236}">
                              <a16:creationId xmlns:a16="http://schemas.microsoft.com/office/drawing/2014/main" id="{798CC722-87DA-366A-9CC6-02175D636BE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5" name="Group 24">
                        <a:extLst>
                          <a:ext uri="{FF2B5EF4-FFF2-40B4-BE49-F238E27FC236}">
                            <a16:creationId xmlns:a16="http://schemas.microsoft.com/office/drawing/2014/main" id="{5C3A7454-8268-A778-A05E-62C96166A83A}"/>
                          </a:ext>
                        </a:extLst>
                      </xdr:cNvPr>
                      <xdr:cNvGrpSpPr/>
                    </xdr:nvGrpSpPr>
                    <xdr:grpSpPr>
                      <a:xfrm>
                        <a:off x="365760" y="4411980"/>
                        <a:ext cx="2438400" cy="457200"/>
                        <a:chOff x="365760" y="3535680"/>
                        <a:chExt cx="1584960" cy="457200"/>
                      </a:xfrm>
                    </xdr:grpSpPr>
                    <xdr:sp macro="" textlink="">
                      <xdr:nvSpPr>
                        <xdr:cNvPr id="26" name="Rectangle 25">
                          <a:extLst>
                            <a:ext uri="{FF2B5EF4-FFF2-40B4-BE49-F238E27FC236}">
                              <a16:creationId xmlns:a16="http://schemas.microsoft.com/office/drawing/2014/main" id="{D79E71A3-1E61-2251-B6E7-5767AD6425F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7" name="Rectangle 26">
                          <a:extLst>
                            <a:ext uri="{FF2B5EF4-FFF2-40B4-BE49-F238E27FC236}">
                              <a16:creationId xmlns:a16="http://schemas.microsoft.com/office/drawing/2014/main" id="{9C72E0A5-CD68-CC29-50E8-2815E840D9D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1" name="Rectangle 20">
                      <a:extLst>
                        <a:ext uri="{FF2B5EF4-FFF2-40B4-BE49-F238E27FC236}">
                          <a16:creationId xmlns:a16="http://schemas.microsoft.com/office/drawing/2014/main" id="{01A43463-8411-1177-9255-7E46F4354D3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4" name="Rectangle 13">
                  <a:extLst>
                    <a:ext uri="{FF2B5EF4-FFF2-40B4-BE49-F238E27FC236}">
                      <a16:creationId xmlns:a16="http://schemas.microsoft.com/office/drawing/2014/main" id="{46B61FB7-957A-9DD1-5F8C-69057748E914}"/>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8" name="Rectangle: Rounded Corners 7">
              <a:extLst>
                <a:ext uri="{FF2B5EF4-FFF2-40B4-BE49-F238E27FC236}">
                  <a16:creationId xmlns:a16="http://schemas.microsoft.com/office/drawing/2014/main" id="{5AE0DE52-EC71-70C1-AD44-B626C1F7434B}"/>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9" name="Rectangle: Rounded Corners 8">
              <a:extLst>
                <a:ext uri="{FF2B5EF4-FFF2-40B4-BE49-F238E27FC236}">
                  <a16:creationId xmlns:a16="http://schemas.microsoft.com/office/drawing/2014/main" id="{419D9252-1875-CE0A-3EE2-B894B4F71652}"/>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10" name="Rectangle: Rounded Corners 9">
              <a:extLst>
                <a:ext uri="{FF2B5EF4-FFF2-40B4-BE49-F238E27FC236}">
                  <a16:creationId xmlns:a16="http://schemas.microsoft.com/office/drawing/2014/main" id="{CFFFBA56-94A2-6857-1A79-33B49E6FB6E1}"/>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5" name="Picture 4">
            <a:hlinkClick xmlns:r="http://schemas.openxmlformats.org/officeDocument/2006/relationships" r:id="rId15"/>
            <a:extLst>
              <a:ext uri="{FF2B5EF4-FFF2-40B4-BE49-F238E27FC236}">
                <a16:creationId xmlns:a16="http://schemas.microsoft.com/office/drawing/2014/main" id="{84CA680F-AA58-7A3F-B281-1C0F48EA770E}"/>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98612</xdr:rowOff>
    </xdr:from>
    <xdr:to>
      <xdr:col>27</xdr:col>
      <xdr:colOff>16635</xdr:colOff>
      <xdr:row>14</xdr:row>
      <xdr:rowOff>98498</xdr:rowOff>
    </xdr:to>
    <xdr:grpSp>
      <xdr:nvGrpSpPr>
        <xdr:cNvPr id="2" name="Group 1">
          <a:extLst>
            <a:ext uri="{FF2B5EF4-FFF2-40B4-BE49-F238E27FC236}">
              <a16:creationId xmlns:a16="http://schemas.microsoft.com/office/drawing/2014/main" id="{F5E8578D-95A4-4002-B473-EB42859E5B8F}"/>
            </a:ext>
          </a:extLst>
        </xdr:cNvPr>
        <xdr:cNvGrpSpPr/>
      </xdr:nvGrpSpPr>
      <xdr:grpSpPr>
        <a:xfrm>
          <a:off x="0" y="98612"/>
          <a:ext cx="20964164" cy="2719180"/>
          <a:chOff x="0" y="25400"/>
          <a:chExt cx="18808713" cy="2465554"/>
        </a:xfrm>
      </xdr:grpSpPr>
      <xdr:grpSp>
        <xdr:nvGrpSpPr>
          <xdr:cNvPr id="3" name="Group 2">
            <a:extLst>
              <a:ext uri="{FF2B5EF4-FFF2-40B4-BE49-F238E27FC236}">
                <a16:creationId xmlns:a16="http://schemas.microsoft.com/office/drawing/2014/main" id="{05785DF8-DB2D-62C0-C2A3-22D15B5170F7}"/>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972DB4C0-87B1-5805-19D2-3AD84C2E9A00}"/>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3947E2DC-8C87-7BCA-A26E-3A3BA9B37523}"/>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92CFF8A5-8039-1DDA-E410-9FABE2439CC2}"/>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69AB0379-F61F-1856-CC91-65298F0825C4}"/>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9B65F9DE-0DB2-EF3C-9AC6-6D0543BB963F}"/>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26FAAFF8-4A22-801E-63F0-C9C4C2B3AC8A}"/>
                      </a:ext>
                    </a:extLst>
                  </xdr:cNvPr>
                  <xdr:cNvGrpSpPr/>
                </xdr:nvGrpSpPr>
                <xdr:grpSpPr>
                  <a:xfrm>
                    <a:off x="2948940" y="3200400"/>
                    <a:ext cx="2743200" cy="1935480"/>
                    <a:chOff x="2948940" y="3200400"/>
                    <a:chExt cx="2743200" cy="1935480"/>
                  </a:xfrm>
                </xdr:grpSpPr>
                <xdr:grpSp>
                  <xdr:nvGrpSpPr>
                    <xdr:cNvPr id="68" name="Group 67">
                      <a:extLst>
                        <a:ext uri="{FF2B5EF4-FFF2-40B4-BE49-F238E27FC236}">
                          <a16:creationId xmlns:a16="http://schemas.microsoft.com/office/drawing/2014/main" id="{77E75A7C-84D6-8451-A6F8-AD747FEA1F77}"/>
                        </a:ext>
                      </a:extLst>
                    </xdr:cNvPr>
                    <xdr:cNvGrpSpPr/>
                  </xdr:nvGrpSpPr>
                  <xdr:grpSpPr>
                    <a:xfrm>
                      <a:off x="2948940" y="3200400"/>
                      <a:ext cx="2743200" cy="1714500"/>
                      <a:chOff x="60960" y="3154680"/>
                      <a:chExt cx="2743200" cy="1714500"/>
                    </a:xfrm>
                  </xdr:grpSpPr>
                  <xdr:sp macro="" textlink="">
                    <xdr:nvSpPr>
                      <xdr:cNvPr id="70" name="Rectangle 69">
                        <a:extLst>
                          <a:ext uri="{FF2B5EF4-FFF2-40B4-BE49-F238E27FC236}">
                            <a16:creationId xmlns:a16="http://schemas.microsoft.com/office/drawing/2014/main" id="{4C293A4B-AAA5-32F2-8E59-9B19B6D7CB56}"/>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1" name="Group 70">
                        <a:extLst>
                          <a:ext uri="{FF2B5EF4-FFF2-40B4-BE49-F238E27FC236}">
                            <a16:creationId xmlns:a16="http://schemas.microsoft.com/office/drawing/2014/main" id="{983E7CB4-91D8-1215-BB25-9E02BF3F49C0}"/>
                          </a:ext>
                        </a:extLst>
                      </xdr:cNvPr>
                      <xdr:cNvGrpSpPr/>
                    </xdr:nvGrpSpPr>
                    <xdr:grpSpPr>
                      <a:xfrm>
                        <a:off x="365760" y="3535680"/>
                        <a:ext cx="2438400" cy="457200"/>
                        <a:chOff x="365760" y="3535680"/>
                        <a:chExt cx="1584960" cy="457200"/>
                      </a:xfrm>
                    </xdr:grpSpPr>
                    <xdr:sp macro="" textlink="">
                      <xdr:nvSpPr>
                        <xdr:cNvPr id="78" name="Rectangle 77">
                          <a:hlinkClick xmlns:r="http://schemas.openxmlformats.org/officeDocument/2006/relationships" r:id="rId1"/>
                          <a:extLst>
                            <a:ext uri="{FF2B5EF4-FFF2-40B4-BE49-F238E27FC236}">
                              <a16:creationId xmlns:a16="http://schemas.microsoft.com/office/drawing/2014/main" id="{E7FE27DA-7C6D-B3CD-EA54-8286BAE165E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9" name="Rectangle 78">
                          <a:hlinkClick xmlns:r="http://schemas.openxmlformats.org/officeDocument/2006/relationships" r:id="rId1"/>
                          <a:extLst>
                            <a:ext uri="{FF2B5EF4-FFF2-40B4-BE49-F238E27FC236}">
                              <a16:creationId xmlns:a16="http://schemas.microsoft.com/office/drawing/2014/main" id="{EA7BD462-C4FE-A34E-66A7-0EE1C643DCA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2" name="Group 71">
                        <a:extLst>
                          <a:ext uri="{FF2B5EF4-FFF2-40B4-BE49-F238E27FC236}">
                            <a16:creationId xmlns:a16="http://schemas.microsoft.com/office/drawing/2014/main" id="{DCB0FA4D-EABE-C7B4-0876-44B4EE67AE5C}"/>
                          </a:ext>
                        </a:extLst>
                      </xdr:cNvPr>
                      <xdr:cNvGrpSpPr/>
                    </xdr:nvGrpSpPr>
                    <xdr:grpSpPr>
                      <a:xfrm>
                        <a:off x="365760" y="3977640"/>
                        <a:ext cx="2438400" cy="457200"/>
                        <a:chOff x="365760" y="3535680"/>
                        <a:chExt cx="1584960" cy="457200"/>
                      </a:xfrm>
                    </xdr:grpSpPr>
                    <xdr:sp macro="" textlink="">
                      <xdr:nvSpPr>
                        <xdr:cNvPr id="76" name="Rectangle 75">
                          <a:extLst>
                            <a:ext uri="{FF2B5EF4-FFF2-40B4-BE49-F238E27FC236}">
                              <a16:creationId xmlns:a16="http://schemas.microsoft.com/office/drawing/2014/main" id="{94A7BFF6-CA88-E3A8-7510-91AF664505F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7" name="Rectangle 76">
                          <a:hlinkClick xmlns:r="http://schemas.openxmlformats.org/officeDocument/2006/relationships" r:id="rId2"/>
                          <a:extLst>
                            <a:ext uri="{FF2B5EF4-FFF2-40B4-BE49-F238E27FC236}">
                              <a16:creationId xmlns:a16="http://schemas.microsoft.com/office/drawing/2014/main" id="{7CA2445E-F901-0AA9-2867-8FCC0F83469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3" name="Group 72">
                        <a:extLst>
                          <a:ext uri="{FF2B5EF4-FFF2-40B4-BE49-F238E27FC236}">
                            <a16:creationId xmlns:a16="http://schemas.microsoft.com/office/drawing/2014/main" id="{5401CFC0-0FD2-1AF6-F708-D4D9EA8307C2}"/>
                          </a:ext>
                        </a:extLst>
                      </xdr:cNvPr>
                      <xdr:cNvGrpSpPr/>
                    </xdr:nvGrpSpPr>
                    <xdr:grpSpPr>
                      <a:xfrm>
                        <a:off x="365760" y="4411980"/>
                        <a:ext cx="2438400" cy="457200"/>
                        <a:chOff x="365760" y="3535680"/>
                        <a:chExt cx="1584960" cy="457200"/>
                      </a:xfrm>
                    </xdr:grpSpPr>
                    <xdr:sp macro="" textlink="">
                      <xdr:nvSpPr>
                        <xdr:cNvPr id="74" name="Rectangle 73">
                          <a:hlinkClick xmlns:r="http://schemas.openxmlformats.org/officeDocument/2006/relationships" r:id="rId3"/>
                          <a:extLst>
                            <a:ext uri="{FF2B5EF4-FFF2-40B4-BE49-F238E27FC236}">
                              <a16:creationId xmlns:a16="http://schemas.microsoft.com/office/drawing/2014/main" id="{18DCB8E6-DEAE-0687-057D-00F841DA432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5" name="Rectangle 74">
                          <a:extLst>
                            <a:ext uri="{FF2B5EF4-FFF2-40B4-BE49-F238E27FC236}">
                              <a16:creationId xmlns:a16="http://schemas.microsoft.com/office/drawing/2014/main" id="{2E4FB570-5594-CB19-1B44-998957379E6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9" name="Rectangle 68">
                      <a:extLst>
                        <a:ext uri="{FF2B5EF4-FFF2-40B4-BE49-F238E27FC236}">
                          <a16:creationId xmlns:a16="http://schemas.microsoft.com/office/drawing/2014/main" id="{E9AA0BB0-9593-DB68-4306-1AFED8F8DB4F}"/>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D8EB671D-ED25-AF06-2E7F-E94BD9090736}"/>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E1BE896C-D822-1837-4D76-773EC71101B7}"/>
                        </a:ext>
                      </a:extLst>
                    </xdr:cNvPr>
                    <xdr:cNvGrpSpPr/>
                  </xdr:nvGrpSpPr>
                  <xdr:grpSpPr>
                    <a:xfrm>
                      <a:off x="205740" y="3192780"/>
                      <a:ext cx="2743200" cy="1714500"/>
                      <a:chOff x="60960" y="3154680"/>
                      <a:chExt cx="2743200" cy="1714500"/>
                    </a:xfrm>
                  </xdr:grpSpPr>
                  <xdr:sp macro="" textlink="">
                    <xdr:nvSpPr>
                      <xdr:cNvPr id="58" name="Rectangle 57">
                        <a:extLst>
                          <a:ext uri="{FF2B5EF4-FFF2-40B4-BE49-F238E27FC236}">
                            <a16:creationId xmlns:a16="http://schemas.microsoft.com/office/drawing/2014/main" id="{159D2BBE-2A0C-2092-B9C4-165EF1967CCC}"/>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9" name="Group 58">
                        <a:extLst>
                          <a:ext uri="{FF2B5EF4-FFF2-40B4-BE49-F238E27FC236}">
                            <a16:creationId xmlns:a16="http://schemas.microsoft.com/office/drawing/2014/main" id="{FBF3FBC5-82E3-55FB-1FDB-C54E8B715885}"/>
                          </a:ext>
                        </a:extLst>
                      </xdr:cNvPr>
                      <xdr:cNvGrpSpPr/>
                    </xdr:nvGrpSpPr>
                    <xdr:grpSpPr>
                      <a:xfrm>
                        <a:off x="365760" y="3535680"/>
                        <a:ext cx="2438400" cy="457200"/>
                        <a:chOff x="365760" y="3535680"/>
                        <a:chExt cx="1584960" cy="457200"/>
                      </a:xfrm>
                    </xdr:grpSpPr>
                    <xdr:sp macro="" textlink="">
                      <xdr:nvSpPr>
                        <xdr:cNvPr id="66" name="Rectangle 65">
                          <a:hlinkClick xmlns:r="http://schemas.openxmlformats.org/officeDocument/2006/relationships" r:id="rId4"/>
                          <a:extLst>
                            <a:ext uri="{FF2B5EF4-FFF2-40B4-BE49-F238E27FC236}">
                              <a16:creationId xmlns:a16="http://schemas.microsoft.com/office/drawing/2014/main" id="{99C84208-D159-1405-4AAC-54D1824D0B8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7" name="Rectangle 66">
                          <a:hlinkClick xmlns:r="http://schemas.openxmlformats.org/officeDocument/2006/relationships" r:id="rId5"/>
                          <a:extLst>
                            <a:ext uri="{FF2B5EF4-FFF2-40B4-BE49-F238E27FC236}">
                              <a16:creationId xmlns:a16="http://schemas.microsoft.com/office/drawing/2014/main" id="{E6F594F2-3DFC-87C5-52A0-76A75D77C81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60" name="Group 59">
                        <a:extLst>
                          <a:ext uri="{FF2B5EF4-FFF2-40B4-BE49-F238E27FC236}">
                            <a16:creationId xmlns:a16="http://schemas.microsoft.com/office/drawing/2014/main" id="{FE510837-66A5-70FB-CFB6-CD990806C868}"/>
                          </a:ext>
                        </a:extLst>
                      </xdr:cNvPr>
                      <xdr:cNvGrpSpPr/>
                    </xdr:nvGrpSpPr>
                    <xdr:grpSpPr>
                      <a:xfrm>
                        <a:off x="365760" y="3977640"/>
                        <a:ext cx="2438400" cy="457200"/>
                        <a:chOff x="365760" y="3535680"/>
                        <a:chExt cx="1584960" cy="457200"/>
                      </a:xfrm>
                    </xdr:grpSpPr>
                    <xdr:sp macro="" textlink="">
                      <xdr:nvSpPr>
                        <xdr:cNvPr id="64" name="Rectangle 63">
                          <a:hlinkClick xmlns:r="http://schemas.openxmlformats.org/officeDocument/2006/relationships" r:id="rId6"/>
                          <a:extLst>
                            <a:ext uri="{FF2B5EF4-FFF2-40B4-BE49-F238E27FC236}">
                              <a16:creationId xmlns:a16="http://schemas.microsoft.com/office/drawing/2014/main" id="{74D80900-B03D-3224-F787-F869B59722F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5" name="Rectangle 64">
                          <a:hlinkClick xmlns:r="http://schemas.openxmlformats.org/officeDocument/2006/relationships" r:id="rId7"/>
                          <a:extLst>
                            <a:ext uri="{FF2B5EF4-FFF2-40B4-BE49-F238E27FC236}">
                              <a16:creationId xmlns:a16="http://schemas.microsoft.com/office/drawing/2014/main" id="{BD1F3E47-B65A-9A2F-D94C-2ADC4C50DA3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1" name="Group 60">
                        <a:extLst>
                          <a:ext uri="{FF2B5EF4-FFF2-40B4-BE49-F238E27FC236}">
                            <a16:creationId xmlns:a16="http://schemas.microsoft.com/office/drawing/2014/main" id="{C30D2686-8822-C2E8-849C-92CDE9C05C17}"/>
                          </a:ext>
                        </a:extLst>
                      </xdr:cNvPr>
                      <xdr:cNvGrpSpPr/>
                    </xdr:nvGrpSpPr>
                    <xdr:grpSpPr>
                      <a:xfrm>
                        <a:off x="365760" y="4411980"/>
                        <a:ext cx="2438400" cy="457200"/>
                        <a:chOff x="365760" y="3535680"/>
                        <a:chExt cx="1584960" cy="457200"/>
                      </a:xfrm>
                    </xdr:grpSpPr>
                    <xdr:sp macro="" textlink="">
                      <xdr:nvSpPr>
                        <xdr:cNvPr id="62" name="Rectangle 61">
                          <a:hlinkClick xmlns:r="http://schemas.openxmlformats.org/officeDocument/2006/relationships" r:id="rId8"/>
                          <a:extLst>
                            <a:ext uri="{FF2B5EF4-FFF2-40B4-BE49-F238E27FC236}">
                              <a16:creationId xmlns:a16="http://schemas.microsoft.com/office/drawing/2014/main" id="{214A16B3-92B5-E998-09F1-93E5B3FD2C6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3" name="Rectangle 62">
                          <a:hlinkClick xmlns:r="http://schemas.openxmlformats.org/officeDocument/2006/relationships" r:id="rId9"/>
                          <a:extLst>
                            <a:ext uri="{FF2B5EF4-FFF2-40B4-BE49-F238E27FC236}">
                              <a16:creationId xmlns:a16="http://schemas.microsoft.com/office/drawing/2014/main" id="{E4F7F16E-B84E-FDDA-7090-B6704F90C24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01D57144-CF80-7EAB-5937-AA98B2BECB6D}"/>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A50E72D2-335A-0752-B385-16489BD21F2E}"/>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C1ABAC98-D38C-51CD-F883-6B5A89923F64}"/>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309D0F05-5F24-6D70-15B8-1856181D45C4}"/>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719EAE6F-70BE-DB1A-C1C9-F556B2CD3F67}"/>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54A6B0B5-BA7E-FC2B-24F0-39D1CE6DBA0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957CEAAB-5B51-3295-92DB-B11AF98F858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BA2C7AA5-B31F-F2C1-9FFD-57956F4CDA9C}"/>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CB626A3D-9789-5FDC-882B-76F1FAB8891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C72B98CC-2247-20FD-BDFC-2DE3E733FD0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AAA056DC-F004-DD01-D9A5-BB80EFB79178}"/>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D7353B92-3164-8A69-7648-3192B333C11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0DEF4DAE-9E51-7565-3C48-25AD7354B26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20D78CAF-80B3-DF50-BE09-92BFA8DCF0E8}"/>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C460D3DC-A7E6-9757-1CB7-FFC665F29F3A}"/>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01AB8440-1346-9032-E289-B5EDA6755E60}"/>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882E80E4-4CFC-9EC2-8888-DC7784553015}"/>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A00E6D38-2AFA-1AAD-66E8-45730782FF4F}"/>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03925660-27C6-837D-84B7-AB72430C210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DD2CD76F-89BD-A8B1-B903-8308A61EF45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2D047B2F-42BF-D2C7-10B0-1C3E3D706F11}"/>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095535AC-1924-09BD-210B-4B9AE7E694D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83BF272B-3D8F-992D-0B8F-98986F7C7C9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C4BE970D-ECF5-76E9-0850-BA16AA368EC3}"/>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9BC63E2B-78E7-DAA8-E6DE-A44D5FB1748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8A4407F5-1C04-040A-82E1-9E2E052C3B7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646A9A5B-B800-69FF-919C-A0AF083C7220}"/>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FC516872-A45F-7636-F36B-0657C482D28C}"/>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F4DFB58E-FB84-8B39-634A-BDEEAAB3698C}"/>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67467CEA-F5FB-E309-05ED-EB53004DD732}"/>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7090B4B1-EBA1-8868-0D2F-9169B7001F03}"/>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79FE753B-C5E5-03AB-AB09-A9C80928D1F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BE975670-9100-4C7B-2A77-17D57E66E88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3C9BAE90-E53B-47F7-E876-1F920D0E7D92}"/>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21415DD9-53E6-67F6-F6CA-DB0EBFA70B0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8E2110D8-48D7-8FB0-B4BF-D9AEB34120B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08F9DB73-8569-E7C0-6CF4-1C15231D7B89}"/>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69EF1DFA-4813-5E61-798F-5871265EA0D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E618C3AB-5256-1244-3C10-C0BFE81985C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D19B5758-836E-50C8-3FE3-4F0B475859F1}"/>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F9F1637A-AB6A-89F8-D6A2-8C1382447D72}"/>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56978141-6B97-BE6D-81FD-A41E444BA25C}"/>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4FF169D1-58E6-F92D-2F45-84185DA6EEEF}"/>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FDACD9D9-CCBC-8B13-8ACC-8BB495A8AA34}"/>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184A103B-38DD-3772-1B91-660DEDF4A2FE}"/>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12700</xdr:colOff>
          <xdr:row>21</xdr:row>
          <xdr:rowOff>254000</xdr:rowOff>
        </xdr:from>
        <xdr:to>
          <xdr:col>15</xdr:col>
          <xdr:colOff>469900</xdr:colOff>
          <xdr:row>30</xdr:row>
          <xdr:rowOff>88900</xdr:rowOff>
        </xdr:to>
        <xdr:sp macro="" textlink="">
          <xdr:nvSpPr>
            <xdr:cNvPr id="7169" name="TextBox1" hidden="1">
              <a:extLst>
                <a:ext uri="{63B3BB69-23CF-44E3-9099-C40C66FF867C}">
                  <a14:compatExt spid="_x0000_s7169"/>
                </a:ext>
                <a:ext uri="{FF2B5EF4-FFF2-40B4-BE49-F238E27FC236}">
                  <a16:creationId xmlns:a16="http://schemas.microsoft.com/office/drawing/2014/main" id="{00000000-0008-0000-0F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25400</xdr:colOff>
          <xdr:row>33</xdr:row>
          <xdr:rowOff>241300</xdr:rowOff>
        </xdr:from>
        <xdr:to>
          <xdr:col>8</xdr:col>
          <xdr:colOff>660400</xdr:colOff>
          <xdr:row>36</xdr:row>
          <xdr:rowOff>215900</xdr:rowOff>
        </xdr:to>
        <xdr:sp macro="" textlink="">
          <xdr:nvSpPr>
            <xdr:cNvPr id="7170" name="TextBox2" hidden="1">
              <a:extLst>
                <a:ext uri="{63B3BB69-23CF-44E3-9099-C40C66FF867C}">
                  <a14:compatExt spid="_x0000_s7170"/>
                </a:ext>
                <a:ext uri="{FF2B5EF4-FFF2-40B4-BE49-F238E27FC236}">
                  <a16:creationId xmlns:a16="http://schemas.microsoft.com/office/drawing/2014/main" id="{00000000-0008-0000-0F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800100</xdr:colOff>
          <xdr:row>33</xdr:row>
          <xdr:rowOff>241300</xdr:rowOff>
        </xdr:from>
        <xdr:to>
          <xdr:col>15</xdr:col>
          <xdr:colOff>431800</xdr:colOff>
          <xdr:row>36</xdr:row>
          <xdr:rowOff>215900</xdr:rowOff>
        </xdr:to>
        <xdr:sp macro="" textlink="">
          <xdr:nvSpPr>
            <xdr:cNvPr id="7171" name="TextBox3" hidden="1">
              <a:extLst>
                <a:ext uri="{63B3BB69-23CF-44E3-9099-C40C66FF867C}">
                  <a14:compatExt spid="_x0000_s7171"/>
                </a:ext>
                <a:ext uri="{FF2B5EF4-FFF2-40B4-BE49-F238E27FC236}">
                  <a16:creationId xmlns:a16="http://schemas.microsoft.com/office/drawing/2014/main" id="{00000000-0008-0000-0F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25400</xdr:colOff>
          <xdr:row>37</xdr:row>
          <xdr:rowOff>266700</xdr:rowOff>
        </xdr:from>
        <xdr:to>
          <xdr:col>8</xdr:col>
          <xdr:colOff>660400</xdr:colOff>
          <xdr:row>40</xdr:row>
          <xdr:rowOff>241300</xdr:rowOff>
        </xdr:to>
        <xdr:sp macro="" textlink="">
          <xdr:nvSpPr>
            <xdr:cNvPr id="7172" name="TextBox4" hidden="1">
              <a:extLst>
                <a:ext uri="{63B3BB69-23CF-44E3-9099-C40C66FF867C}">
                  <a14:compatExt spid="_x0000_s7172"/>
                </a:ext>
                <a:ext uri="{FF2B5EF4-FFF2-40B4-BE49-F238E27FC236}">
                  <a16:creationId xmlns:a16="http://schemas.microsoft.com/office/drawing/2014/main" id="{00000000-0008-0000-0F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787400</xdr:colOff>
          <xdr:row>37</xdr:row>
          <xdr:rowOff>241300</xdr:rowOff>
        </xdr:from>
        <xdr:to>
          <xdr:col>15</xdr:col>
          <xdr:colOff>419100</xdr:colOff>
          <xdr:row>40</xdr:row>
          <xdr:rowOff>241300</xdr:rowOff>
        </xdr:to>
        <xdr:sp macro="" textlink="">
          <xdr:nvSpPr>
            <xdr:cNvPr id="7173" name="TextBox5" hidden="1">
              <a:extLst>
                <a:ext uri="{63B3BB69-23CF-44E3-9099-C40C66FF867C}">
                  <a14:compatExt spid="_x0000_s7173"/>
                </a:ext>
                <a:ext uri="{FF2B5EF4-FFF2-40B4-BE49-F238E27FC236}">
                  <a16:creationId xmlns:a16="http://schemas.microsoft.com/office/drawing/2014/main" id="{00000000-0008-0000-0F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xdr:row>
          <xdr:rowOff>12700</xdr:rowOff>
        </xdr:from>
        <xdr:to>
          <xdr:col>15</xdr:col>
          <xdr:colOff>406400</xdr:colOff>
          <xdr:row>51</xdr:row>
          <xdr:rowOff>177800</xdr:rowOff>
        </xdr:to>
        <xdr:sp macro="" textlink="">
          <xdr:nvSpPr>
            <xdr:cNvPr id="7174" name="TextBox6" hidden="1">
              <a:extLst>
                <a:ext uri="{63B3BB69-23CF-44E3-9099-C40C66FF867C}">
                  <a14:compatExt spid="_x0000_s7174"/>
                </a:ext>
                <a:ext uri="{FF2B5EF4-FFF2-40B4-BE49-F238E27FC236}">
                  <a16:creationId xmlns:a16="http://schemas.microsoft.com/office/drawing/2014/main" id="{00000000-0008-0000-0F00-000006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139700</xdr:colOff>
          <xdr:row>54</xdr:row>
          <xdr:rowOff>38100</xdr:rowOff>
        </xdr:from>
        <xdr:to>
          <xdr:col>15</xdr:col>
          <xdr:colOff>393700</xdr:colOff>
          <xdr:row>62</xdr:row>
          <xdr:rowOff>203200</xdr:rowOff>
        </xdr:to>
        <xdr:sp macro="" textlink="">
          <xdr:nvSpPr>
            <xdr:cNvPr id="7175" name="TextBox7" hidden="1">
              <a:extLst>
                <a:ext uri="{63B3BB69-23CF-44E3-9099-C40C66FF867C}">
                  <a14:compatExt spid="_x0000_s7175"/>
                </a:ext>
                <a:ext uri="{FF2B5EF4-FFF2-40B4-BE49-F238E27FC236}">
                  <a16:creationId xmlns:a16="http://schemas.microsoft.com/office/drawing/2014/main" id="{00000000-0008-0000-0F00-000007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0</xdr:row>
      <xdr:rowOff>98612</xdr:rowOff>
    </xdr:from>
    <xdr:to>
      <xdr:col>27</xdr:col>
      <xdr:colOff>16635</xdr:colOff>
      <xdr:row>14</xdr:row>
      <xdr:rowOff>98498</xdr:rowOff>
    </xdr:to>
    <xdr:grpSp>
      <xdr:nvGrpSpPr>
        <xdr:cNvPr id="4" name="Group 3">
          <a:extLst>
            <a:ext uri="{FF2B5EF4-FFF2-40B4-BE49-F238E27FC236}">
              <a16:creationId xmlns:a16="http://schemas.microsoft.com/office/drawing/2014/main" id="{E9EBBD72-30F9-43EE-A15B-839AD036FA36}"/>
            </a:ext>
          </a:extLst>
        </xdr:cNvPr>
        <xdr:cNvGrpSpPr/>
      </xdr:nvGrpSpPr>
      <xdr:grpSpPr>
        <a:xfrm>
          <a:off x="0" y="98612"/>
          <a:ext cx="21035135" cy="2666886"/>
          <a:chOff x="0" y="25400"/>
          <a:chExt cx="18808713" cy="2465554"/>
        </a:xfrm>
      </xdr:grpSpPr>
      <xdr:grpSp>
        <xdr:nvGrpSpPr>
          <xdr:cNvPr id="5" name="Group 4">
            <a:extLst>
              <a:ext uri="{FF2B5EF4-FFF2-40B4-BE49-F238E27FC236}">
                <a16:creationId xmlns:a16="http://schemas.microsoft.com/office/drawing/2014/main" id="{FE14A778-8ED3-C49A-5D2B-939C0BE6329C}"/>
              </a:ext>
            </a:extLst>
          </xdr:cNvPr>
          <xdr:cNvGrpSpPr/>
        </xdr:nvGrpSpPr>
        <xdr:grpSpPr>
          <a:xfrm>
            <a:off x="0" y="268648"/>
            <a:ext cx="18808713" cy="2222306"/>
            <a:chOff x="-2" y="774501"/>
            <a:chExt cx="14238616" cy="2312445"/>
          </a:xfrm>
        </xdr:grpSpPr>
        <xdr:sp macro="" textlink="">
          <xdr:nvSpPr>
            <xdr:cNvPr id="7" name="Rectangle: Rounded Corners 6">
              <a:extLst>
                <a:ext uri="{FF2B5EF4-FFF2-40B4-BE49-F238E27FC236}">
                  <a16:creationId xmlns:a16="http://schemas.microsoft.com/office/drawing/2014/main" id="{4E5DB478-2DE7-8C9B-A8A5-F1F75499EE60}"/>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8" name="Group 7">
              <a:extLst>
                <a:ext uri="{FF2B5EF4-FFF2-40B4-BE49-F238E27FC236}">
                  <a16:creationId xmlns:a16="http://schemas.microsoft.com/office/drawing/2014/main" id="{57C7E47B-9D77-2CF3-AFB7-B24F13F5FE7C}"/>
                </a:ext>
              </a:extLst>
            </xdr:cNvPr>
            <xdr:cNvGrpSpPr/>
          </xdr:nvGrpSpPr>
          <xdr:grpSpPr>
            <a:xfrm>
              <a:off x="-2" y="977052"/>
              <a:ext cx="14238606" cy="2109894"/>
              <a:chOff x="15238" y="3223260"/>
              <a:chExt cx="14214009" cy="2072640"/>
            </a:xfrm>
          </xdr:grpSpPr>
          <xdr:sp macro="" textlink="">
            <xdr:nvSpPr>
              <xdr:cNvPr id="12" name="Rectangle 11">
                <a:extLst>
                  <a:ext uri="{FF2B5EF4-FFF2-40B4-BE49-F238E27FC236}">
                    <a16:creationId xmlns:a16="http://schemas.microsoft.com/office/drawing/2014/main" id="{E6917B9A-D1A7-7CCB-536B-CBD2860C9F3C}"/>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3" name="Group 12">
                <a:extLst>
                  <a:ext uri="{FF2B5EF4-FFF2-40B4-BE49-F238E27FC236}">
                    <a16:creationId xmlns:a16="http://schemas.microsoft.com/office/drawing/2014/main" id="{1380D364-9492-D1AC-D188-D5DEDD8A6467}"/>
                  </a:ext>
                </a:extLst>
              </xdr:cNvPr>
              <xdr:cNvGrpSpPr/>
            </xdr:nvGrpSpPr>
            <xdr:grpSpPr>
              <a:xfrm>
                <a:off x="121920" y="3291840"/>
                <a:ext cx="13708380" cy="1950720"/>
                <a:chOff x="205740" y="2491740"/>
                <a:chExt cx="13708380" cy="1950720"/>
              </a:xfrm>
            </xdr:grpSpPr>
            <xdr:grpSp>
              <xdr:nvGrpSpPr>
                <xdr:cNvPr id="14" name="Group 13">
                  <a:extLst>
                    <a:ext uri="{FF2B5EF4-FFF2-40B4-BE49-F238E27FC236}">
                      <a16:creationId xmlns:a16="http://schemas.microsoft.com/office/drawing/2014/main" id="{139E6EED-8C6A-339A-DE4F-840A1FBEDC53}"/>
                    </a:ext>
                  </a:extLst>
                </xdr:cNvPr>
                <xdr:cNvGrpSpPr/>
              </xdr:nvGrpSpPr>
              <xdr:grpSpPr>
                <a:xfrm>
                  <a:off x="205740" y="2491740"/>
                  <a:ext cx="13708380" cy="1950720"/>
                  <a:chOff x="205740" y="3192780"/>
                  <a:chExt cx="13708380" cy="1950720"/>
                </a:xfrm>
              </xdr:grpSpPr>
              <xdr:grpSp>
                <xdr:nvGrpSpPr>
                  <xdr:cNvPr id="16" name="Group 15">
                    <a:extLst>
                      <a:ext uri="{FF2B5EF4-FFF2-40B4-BE49-F238E27FC236}">
                        <a16:creationId xmlns:a16="http://schemas.microsoft.com/office/drawing/2014/main" id="{17687921-F29C-B221-0FC4-98D453A88CF3}"/>
                      </a:ext>
                    </a:extLst>
                  </xdr:cNvPr>
                  <xdr:cNvGrpSpPr/>
                </xdr:nvGrpSpPr>
                <xdr:grpSpPr>
                  <a:xfrm>
                    <a:off x="2948940" y="3200400"/>
                    <a:ext cx="2743200" cy="1935480"/>
                    <a:chOff x="2948940" y="3200400"/>
                    <a:chExt cx="2743200" cy="1935480"/>
                  </a:xfrm>
                </xdr:grpSpPr>
                <xdr:grpSp>
                  <xdr:nvGrpSpPr>
                    <xdr:cNvPr id="7181" name="Group 7180">
                      <a:extLst>
                        <a:ext uri="{FF2B5EF4-FFF2-40B4-BE49-F238E27FC236}">
                          <a16:creationId xmlns:a16="http://schemas.microsoft.com/office/drawing/2014/main" id="{E97338A3-694C-2732-9256-511F6D1699CA}"/>
                        </a:ext>
                      </a:extLst>
                    </xdr:cNvPr>
                    <xdr:cNvGrpSpPr/>
                  </xdr:nvGrpSpPr>
                  <xdr:grpSpPr>
                    <a:xfrm>
                      <a:off x="2948940" y="3200400"/>
                      <a:ext cx="2743200" cy="1714500"/>
                      <a:chOff x="60960" y="3154680"/>
                      <a:chExt cx="2743200" cy="1714500"/>
                    </a:xfrm>
                  </xdr:grpSpPr>
                  <xdr:sp macro="" textlink="">
                    <xdr:nvSpPr>
                      <xdr:cNvPr id="7183" name="Rectangle 7182">
                        <a:extLst>
                          <a:ext uri="{FF2B5EF4-FFF2-40B4-BE49-F238E27FC236}">
                            <a16:creationId xmlns:a16="http://schemas.microsoft.com/office/drawing/2014/main" id="{3C1CF2BC-16CE-F19D-4CF9-5DFAC633EA0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184" name="Group 7183">
                        <a:extLst>
                          <a:ext uri="{FF2B5EF4-FFF2-40B4-BE49-F238E27FC236}">
                            <a16:creationId xmlns:a16="http://schemas.microsoft.com/office/drawing/2014/main" id="{26F2C9BD-A3FE-DCC2-1D99-9ABB446B2A1B}"/>
                          </a:ext>
                        </a:extLst>
                      </xdr:cNvPr>
                      <xdr:cNvGrpSpPr/>
                    </xdr:nvGrpSpPr>
                    <xdr:grpSpPr>
                      <a:xfrm>
                        <a:off x="365760" y="3535680"/>
                        <a:ext cx="2438400" cy="457200"/>
                        <a:chOff x="365760" y="3535680"/>
                        <a:chExt cx="1584960" cy="457200"/>
                      </a:xfrm>
                    </xdr:grpSpPr>
                    <xdr:sp macro="" textlink="">
                      <xdr:nvSpPr>
                        <xdr:cNvPr id="7191" name="Rectangle 7190">
                          <a:hlinkClick xmlns:r="http://schemas.openxmlformats.org/officeDocument/2006/relationships" r:id="rId1"/>
                          <a:extLst>
                            <a:ext uri="{FF2B5EF4-FFF2-40B4-BE49-F238E27FC236}">
                              <a16:creationId xmlns:a16="http://schemas.microsoft.com/office/drawing/2014/main" id="{05D50382-014F-9220-FFCD-DDD9FF9F439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192" name="Rectangle 7191">
                          <a:hlinkClick xmlns:r="http://schemas.openxmlformats.org/officeDocument/2006/relationships" r:id="rId1"/>
                          <a:extLst>
                            <a:ext uri="{FF2B5EF4-FFF2-40B4-BE49-F238E27FC236}">
                              <a16:creationId xmlns:a16="http://schemas.microsoft.com/office/drawing/2014/main" id="{788565A6-4F44-E9AC-F2B1-8994BEE46D3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85" name="Group 7184">
                        <a:extLst>
                          <a:ext uri="{FF2B5EF4-FFF2-40B4-BE49-F238E27FC236}">
                            <a16:creationId xmlns:a16="http://schemas.microsoft.com/office/drawing/2014/main" id="{3100175F-14BC-F6BE-3BB6-4C9586D57FB5}"/>
                          </a:ext>
                        </a:extLst>
                      </xdr:cNvPr>
                      <xdr:cNvGrpSpPr/>
                    </xdr:nvGrpSpPr>
                    <xdr:grpSpPr>
                      <a:xfrm>
                        <a:off x="365760" y="3977640"/>
                        <a:ext cx="2438400" cy="457200"/>
                        <a:chOff x="365760" y="3535680"/>
                        <a:chExt cx="1584960" cy="457200"/>
                      </a:xfrm>
                    </xdr:grpSpPr>
                    <xdr:sp macro="" textlink="">
                      <xdr:nvSpPr>
                        <xdr:cNvPr id="7189" name="Rectangle 7188">
                          <a:extLst>
                            <a:ext uri="{FF2B5EF4-FFF2-40B4-BE49-F238E27FC236}">
                              <a16:creationId xmlns:a16="http://schemas.microsoft.com/office/drawing/2014/main" id="{9F50A3E2-7E42-EBD8-04CB-EF04F108044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190" name="Rectangle 7189">
                          <a:hlinkClick xmlns:r="http://schemas.openxmlformats.org/officeDocument/2006/relationships" r:id="rId2"/>
                          <a:extLst>
                            <a:ext uri="{FF2B5EF4-FFF2-40B4-BE49-F238E27FC236}">
                              <a16:creationId xmlns:a16="http://schemas.microsoft.com/office/drawing/2014/main" id="{6DBF2819-F5D2-16A2-89F5-FDCB971DFBF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186" name="Group 7185">
                        <a:extLst>
                          <a:ext uri="{FF2B5EF4-FFF2-40B4-BE49-F238E27FC236}">
                            <a16:creationId xmlns:a16="http://schemas.microsoft.com/office/drawing/2014/main" id="{49777DF7-74DB-EAA3-4C11-46C7039C0263}"/>
                          </a:ext>
                        </a:extLst>
                      </xdr:cNvPr>
                      <xdr:cNvGrpSpPr/>
                    </xdr:nvGrpSpPr>
                    <xdr:grpSpPr>
                      <a:xfrm>
                        <a:off x="365760" y="4411980"/>
                        <a:ext cx="2438400" cy="457200"/>
                        <a:chOff x="365760" y="3535680"/>
                        <a:chExt cx="1584960" cy="457200"/>
                      </a:xfrm>
                    </xdr:grpSpPr>
                    <xdr:sp macro="" textlink="">
                      <xdr:nvSpPr>
                        <xdr:cNvPr id="7187" name="Rectangle 7186">
                          <a:hlinkClick xmlns:r="http://schemas.openxmlformats.org/officeDocument/2006/relationships" r:id="rId3"/>
                          <a:extLst>
                            <a:ext uri="{FF2B5EF4-FFF2-40B4-BE49-F238E27FC236}">
                              <a16:creationId xmlns:a16="http://schemas.microsoft.com/office/drawing/2014/main" id="{57179AC3-FF57-E7F0-67C5-94C21B15F1F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188" name="Rectangle 7187">
                          <a:extLst>
                            <a:ext uri="{FF2B5EF4-FFF2-40B4-BE49-F238E27FC236}">
                              <a16:creationId xmlns:a16="http://schemas.microsoft.com/office/drawing/2014/main" id="{3DFD9804-A5BE-8019-4969-8256BF3FDBD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7182" name="Rectangle 7181">
                      <a:extLst>
                        <a:ext uri="{FF2B5EF4-FFF2-40B4-BE49-F238E27FC236}">
                          <a16:creationId xmlns:a16="http://schemas.microsoft.com/office/drawing/2014/main" id="{A97C57F7-FCB5-78A7-9D1A-63BACF3FA966}"/>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7" name="Group 16">
                    <a:extLst>
                      <a:ext uri="{FF2B5EF4-FFF2-40B4-BE49-F238E27FC236}">
                        <a16:creationId xmlns:a16="http://schemas.microsoft.com/office/drawing/2014/main" id="{2DA40A90-B159-D940-32C4-6A2A84BCF427}"/>
                      </a:ext>
                    </a:extLst>
                  </xdr:cNvPr>
                  <xdr:cNvGrpSpPr/>
                </xdr:nvGrpSpPr>
                <xdr:grpSpPr>
                  <a:xfrm>
                    <a:off x="205740" y="3192780"/>
                    <a:ext cx="2743200" cy="1943100"/>
                    <a:chOff x="205740" y="3192780"/>
                    <a:chExt cx="2743200" cy="1943100"/>
                  </a:xfrm>
                </xdr:grpSpPr>
                <xdr:grpSp>
                  <xdr:nvGrpSpPr>
                    <xdr:cNvPr id="58" name="Group 57">
                      <a:extLst>
                        <a:ext uri="{FF2B5EF4-FFF2-40B4-BE49-F238E27FC236}">
                          <a16:creationId xmlns:a16="http://schemas.microsoft.com/office/drawing/2014/main" id="{1931B3AD-363E-29CF-EBC5-0C034C00618C}"/>
                        </a:ext>
                      </a:extLst>
                    </xdr:cNvPr>
                    <xdr:cNvGrpSpPr/>
                  </xdr:nvGrpSpPr>
                  <xdr:grpSpPr>
                    <a:xfrm>
                      <a:off x="205740" y="3192780"/>
                      <a:ext cx="2743200" cy="1714500"/>
                      <a:chOff x="60960" y="3154680"/>
                      <a:chExt cx="2743200" cy="1714500"/>
                    </a:xfrm>
                  </xdr:grpSpPr>
                  <xdr:sp macro="" textlink="">
                    <xdr:nvSpPr>
                      <xdr:cNvPr id="60" name="Rectangle 59">
                        <a:extLst>
                          <a:ext uri="{FF2B5EF4-FFF2-40B4-BE49-F238E27FC236}">
                            <a16:creationId xmlns:a16="http://schemas.microsoft.com/office/drawing/2014/main" id="{5C655C6E-4D48-DF6F-298B-F5B0FB0F9A59}"/>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61" name="Group 60">
                        <a:extLst>
                          <a:ext uri="{FF2B5EF4-FFF2-40B4-BE49-F238E27FC236}">
                            <a16:creationId xmlns:a16="http://schemas.microsoft.com/office/drawing/2014/main" id="{8A75C2EF-9076-8A33-769B-DE152B087AE2}"/>
                          </a:ext>
                        </a:extLst>
                      </xdr:cNvPr>
                      <xdr:cNvGrpSpPr/>
                    </xdr:nvGrpSpPr>
                    <xdr:grpSpPr>
                      <a:xfrm>
                        <a:off x="365760" y="3535680"/>
                        <a:ext cx="2438400" cy="457200"/>
                        <a:chOff x="365760" y="3535680"/>
                        <a:chExt cx="1584960" cy="457200"/>
                      </a:xfrm>
                    </xdr:grpSpPr>
                    <xdr:sp macro="" textlink="">
                      <xdr:nvSpPr>
                        <xdr:cNvPr id="7179" name="Rectangle 7178">
                          <a:hlinkClick xmlns:r="http://schemas.openxmlformats.org/officeDocument/2006/relationships" r:id="rId4"/>
                          <a:extLst>
                            <a:ext uri="{FF2B5EF4-FFF2-40B4-BE49-F238E27FC236}">
                              <a16:creationId xmlns:a16="http://schemas.microsoft.com/office/drawing/2014/main" id="{4EF4E89D-7DB4-BE94-4D56-8EDD8A1F8F9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7180" name="Rectangle 7179">
                          <a:hlinkClick xmlns:r="http://schemas.openxmlformats.org/officeDocument/2006/relationships" r:id="rId5"/>
                          <a:extLst>
                            <a:ext uri="{FF2B5EF4-FFF2-40B4-BE49-F238E27FC236}">
                              <a16:creationId xmlns:a16="http://schemas.microsoft.com/office/drawing/2014/main" id="{3C1E130B-0A3D-5A51-FF71-7DEF723B139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62" name="Group 61">
                        <a:extLst>
                          <a:ext uri="{FF2B5EF4-FFF2-40B4-BE49-F238E27FC236}">
                            <a16:creationId xmlns:a16="http://schemas.microsoft.com/office/drawing/2014/main" id="{F89D871C-1241-2C8F-136A-844962F32138}"/>
                          </a:ext>
                        </a:extLst>
                      </xdr:cNvPr>
                      <xdr:cNvGrpSpPr/>
                    </xdr:nvGrpSpPr>
                    <xdr:grpSpPr>
                      <a:xfrm>
                        <a:off x="365760" y="3977640"/>
                        <a:ext cx="2438400" cy="457200"/>
                        <a:chOff x="365760" y="3535680"/>
                        <a:chExt cx="1584960" cy="457200"/>
                      </a:xfrm>
                    </xdr:grpSpPr>
                    <xdr:sp macro="" textlink="">
                      <xdr:nvSpPr>
                        <xdr:cNvPr id="7177" name="Rectangle 7176">
                          <a:hlinkClick xmlns:r="http://schemas.openxmlformats.org/officeDocument/2006/relationships" r:id="rId6"/>
                          <a:extLst>
                            <a:ext uri="{FF2B5EF4-FFF2-40B4-BE49-F238E27FC236}">
                              <a16:creationId xmlns:a16="http://schemas.microsoft.com/office/drawing/2014/main" id="{97DA9BFD-BDB8-B595-5C48-7C2B15D6893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7178" name="Rectangle 7177">
                          <a:hlinkClick xmlns:r="http://schemas.openxmlformats.org/officeDocument/2006/relationships" r:id="rId7"/>
                          <a:extLst>
                            <a:ext uri="{FF2B5EF4-FFF2-40B4-BE49-F238E27FC236}">
                              <a16:creationId xmlns:a16="http://schemas.microsoft.com/office/drawing/2014/main" id="{98F0517E-E106-CE60-54E2-738FE5EE09F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3" name="Group 62">
                        <a:extLst>
                          <a:ext uri="{FF2B5EF4-FFF2-40B4-BE49-F238E27FC236}">
                            <a16:creationId xmlns:a16="http://schemas.microsoft.com/office/drawing/2014/main" id="{B4D5A2EB-C58C-CC60-F42E-823BC9AFBDEB}"/>
                          </a:ext>
                        </a:extLst>
                      </xdr:cNvPr>
                      <xdr:cNvGrpSpPr/>
                    </xdr:nvGrpSpPr>
                    <xdr:grpSpPr>
                      <a:xfrm>
                        <a:off x="365760" y="4411980"/>
                        <a:ext cx="2438400" cy="457200"/>
                        <a:chOff x="365760" y="3535680"/>
                        <a:chExt cx="1584960" cy="457200"/>
                      </a:xfrm>
                    </xdr:grpSpPr>
                    <xdr:sp macro="" textlink="">
                      <xdr:nvSpPr>
                        <xdr:cNvPr id="7168" name="Rectangle 7167">
                          <a:hlinkClick xmlns:r="http://schemas.openxmlformats.org/officeDocument/2006/relationships" r:id="rId8"/>
                          <a:extLst>
                            <a:ext uri="{FF2B5EF4-FFF2-40B4-BE49-F238E27FC236}">
                              <a16:creationId xmlns:a16="http://schemas.microsoft.com/office/drawing/2014/main" id="{522199E8-68F4-673B-8C87-D71840C5825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7176" name="Rectangle 7175">
                          <a:hlinkClick xmlns:r="http://schemas.openxmlformats.org/officeDocument/2006/relationships" r:id="rId9"/>
                          <a:extLst>
                            <a:ext uri="{FF2B5EF4-FFF2-40B4-BE49-F238E27FC236}">
                              <a16:creationId xmlns:a16="http://schemas.microsoft.com/office/drawing/2014/main" id="{28047206-9246-7C1A-9FB8-E2374FDA2CB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9" name="Rectangle 58">
                      <a:hlinkClick xmlns:r="http://schemas.openxmlformats.org/officeDocument/2006/relationships" r:id="rId4"/>
                      <a:extLst>
                        <a:ext uri="{FF2B5EF4-FFF2-40B4-BE49-F238E27FC236}">
                          <a16:creationId xmlns:a16="http://schemas.microsoft.com/office/drawing/2014/main" id="{A3C26B17-B36F-03F2-D6D3-E38EEA770F04}"/>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8" name="Group 17">
                    <a:extLst>
                      <a:ext uri="{FF2B5EF4-FFF2-40B4-BE49-F238E27FC236}">
                        <a16:creationId xmlns:a16="http://schemas.microsoft.com/office/drawing/2014/main" id="{64EB9AB9-9508-DD39-C194-A2702348A7A3}"/>
                      </a:ext>
                    </a:extLst>
                  </xdr:cNvPr>
                  <xdr:cNvGrpSpPr/>
                </xdr:nvGrpSpPr>
                <xdr:grpSpPr>
                  <a:xfrm>
                    <a:off x="5692140" y="3208020"/>
                    <a:ext cx="2743200" cy="1935480"/>
                    <a:chOff x="2948940" y="3200400"/>
                    <a:chExt cx="2743200" cy="1935480"/>
                  </a:xfrm>
                </xdr:grpSpPr>
                <xdr:grpSp>
                  <xdr:nvGrpSpPr>
                    <xdr:cNvPr id="46" name="Group 45">
                      <a:extLst>
                        <a:ext uri="{FF2B5EF4-FFF2-40B4-BE49-F238E27FC236}">
                          <a16:creationId xmlns:a16="http://schemas.microsoft.com/office/drawing/2014/main" id="{11764598-59E4-6479-1C80-3CE84207C88D}"/>
                        </a:ext>
                      </a:extLst>
                    </xdr:cNvPr>
                    <xdr:cNvGrpSpPr/>
                  </xdr:nvGrpSpPr>
                  <xdr:grpSpPr>
                    <a:xfrm>
                      <a:off x="2948940" y="3200400"/>
                      <a:ext cx="2743200" cy="1714500"/>
                      <a:chOff x="60960" y="3154680"/>
                      <a:chExt cx="2743200" cy="1714500"/>
                    </a:xfrm>
                  </xdr:grpSpPr>
                  <xdr:sp macro="" textlink="">
                    <xdr:nvSpPr>
                      <xdr:cNvPr id="48" name="Rectangle 47">
                        <a:extLst>
                          <a:ext uri="{FF2B5EF4-FFF2-40B4-BE49-F238E27FC236}">
                            <a16:creationId xmlns:a16="http://schemas.microsoft.com/office/drawing/2014/main" id="{2A622686-18B9-031A-FE5B-835849ACBD77}"/>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9" name="Group 48">
                        <a:extLst>
                          <a:ext uri="{FF2B5EF4-FFF2-40B4-BE49-F238E27FC236}">
                            <a16:creationId xmlns:a16="http://schemas.microsoft.com/office/drawing/2014/main" id="{2821A54D-6845-3EFE-E792-9A6025246CB9}"/>
                          </a:ext>
                        </a:extLst>
                      </xdr:cNvPr>
                      <xdr:cNvGrpSpPr/>
                    </xdr:nvGrpSpPr>
                    <xdr:grpSpPr>
                      <a:xfrm>
                        <a:off x="365760" y="3535680"/>
                        <a:ext cx="2438400" cy="457200"/>
                        <a:chOff x="365760" y="3535680"/>
                        <a:chExt cx="1584960" cy="457200"/>
                      </a:xfrm>
                    </xdr:grpSpPr>
                    <xdr:sp macro="" textlink="">
                      <xdr:nvSpPr>
                        <xdr:cNvPr id="56" name="Rectangle 55">
                          <a:hlinkClick xmlns:r="http://schemas.openxmlformats.org/officeDocument/2006/relationships" r:id="rId10"/>
                          <a:extLst>
                            <a:ext uri="{FF2B5EF4-FFF2-40B4-BE49-F238E27FC236}">
                              <a16:creationId xmlns:a16="http://schemas.microsoft.com/office/drawing/2014/main" id="{96700964-1C5D-004A-6CFC-AA331AB3784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7" name="Rectangle 56">
                          <a:hlinkClick xmlns:r="http://schemas.openxmlformats.org/officeDocument/2006/relationships" r:id="rId11"/>
                          <a:extLst>
                            <a:ext uri="{FF2B5EF4-FFF2-40B4-BE49-F238E27FC236}">
                              <a16:creationId xmlns:a16="http://schemas.microsoft.com/office/drawing/2014/main" id="{ECEF4651-60E6-F64C-83FD-4246A220C3F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50" name="Group 49">
                        <a:extLst>
                          <a:ext uri="{FF2B5EF4-FFF2-40B4-BE49-F238E27FC236}">
                            <a16:creationId xmlns:a16="http://schemas.microsoft.com/office/drawing/2014/main" id="{CD2395D7-49E9-1E46-FF64-79F795975428}"/>
                          </a:ext>
                        </a:extLst>
                      </xdr:cNvPr>
                      <xdr:cNvGrpSpPr/>
                    </xdr:nvGrpSpPr>
                    <xdr:grpSpPr>
                      <a:xfrm>
                        <a:off x="365760" y="3977640"/>
                        <a:ext cx="2438400" cy="457200"/>
                        <a:chOff x="365760" y="3535680"/>
                        <a:chExt cx="1584960" cy="457200"/>
                      </a:xfrm>
                    </xdr:grpSpPr>
                    <xdr:sp macro="" textlink="">
                      <xdr:nvSpPr>
                        <xdr:cNvPr id="54" name="Rectangle 53">
                          <a:extLst>
                            <a:ext uri="{FF2B5EF4-FFF2-40B4-BE49-F238E27FC236}">
                              <a16:creationId xmlns:a16="http://schemas.microsoft.com/office/drawing/2014/main" id="{D759DA54-F043-6C5C-705A-DA6EC2AF367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5" name="Rectangle 54">
                          <a:extLst>
                            <a:ext uri="{FF2B5EF4-FFF2-40B4-BE49-F238E27FC236}">
                              <a16:creationId xmlns:a16="http://schemas.microsoft.com/office/drawing/2014/main" id="{E77F1717-FA76-46A8-0A05-D1664ECA5C2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51" name="Group 50">
                        <a:extLst>
                          <a:ext uri="{FF2B5EF4-FFF2-40B4-BE49-F238E27FC236}">
                            <a16:creationId xmlns:a16="http://schemas.microsoft.com/office/drawing/2014/main" id="{10466A4B-0277-5AE8-2E90-C0B0025C970E}"/>
                          </a:ext>
                        </a:extLst>
                      </xdr:cNvPr>
                      <xdr:cNvGrpSpPr/>
                    </xdr:nvGrpSpPr>
                    <xdr:grpSpPr>
                      <a:xfrm>
                        <a:off x="365760" y="4411980"/>
                        <a:ext cx="2438400" cy="457200"/>
                        <a:chOff x="365760" y="3535680"/>
                        <a:chExt cx="1584960" cy="457200"/>
                      </a:xfrm>
                    </xdr:grpSpPr>
                    <xdr:sp macro="" textlink="">
                      <xdr:nvSpPr>
                        <xdr:cNvPr id="52" name="Rectangle 51">
                          <a:extLst>
                            <a:ext uri="{FF2B5EF4-FFF2-40B4-BE49-F238E27FC236}">
                              <a16:creationId xmlns:a16="http://schemas.microsoft.com/office/drawing/2014/main" id="{CF6317F4-64CA-281C-E6E3-B31FC53C7AA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3" name="Rectangle 52">
                          <a:extLst>
                            <a:ext uri="{FF2B5EF4-FFF2-40B4-BE49-F238E27FC236}">
                              <a16:creationId xmlns:a16="http://schemas.microsoft.com/office/drawing/2014/main" id="{56453DD6-5ABA-F72F-1070-55C4314B827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7" name="Rectangle 46">
                      <a:extLst>
                        <a:ext uri="{FF2B5EF4-FFF2-40B4-BE49-F238E27FC236}">
                          <a16:creationId xmlns:a16="http://schemas.microsoft.com/office/drawing/2014/main" id="{CE93B6B2-B755-B5BB-628C-D2AFC73002DA}"/>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9" name="Group 18">
                    <a:extLst>
                      <a:ext uri="{FF2B5EF4-FFF2-40B4-BE49-F238E27FC236}">
                        <a16:creationId xmlns:a16="http://schemas.microsoft.com/office/drawing/2014/main" id="{A8F34D32-5053-0E88-45AC-EDE627C2D079}"/>
                      </a:ext>
                    </a:extLst>
                  </xdr:cNvPr>
                  <xdr:cNvGrpSpPr/>
                </xdr:nvGrpSpPr>
                <xdr:grpSpPr>
                  <a:xfrm>
                    <a:off x="8435340" y="3208020"/>
                    <a:ext cx="2743200" cy="1935480"/>
                    <a:chOff x="2948940" y="3200400"/>
                    <a:chExt cx="2743200" cy="1935480"/>
                  </a:xfrm>
                </xdr:grpSpPr>
                <xdr:grpSp>
                  <xdr:nvGrpSpPr>
                    <xdr:cNvPr id="34" name="Group 33">
                      <a:extLst>
                        <a:ext uri="{FF2B5EF4-FFF2-40B4-BE49-F238E27FC236}">
                          <a16:creationId xmlns:a16="http://schemas.microsoft.com/office/drawing/2014/main" id="{6A90D607-FEDC-DAB6-EAB1-989E5EADC5F6}"/>
                        </a:ext>
                      </a:extLst>
                    </xdr:cNvPr>
                    <xdr:cNvGrpSpPr/>
                  </xdr:nvGrpSpPr>
                  <xdr:grpSpPr>
                    <a:xfrm>
                      <a:off x="2948940" y="3200400"/>
                      <a:ext cx="2743200" cy="1714500"/>
                      <a:chOff x="60960" y="3154680"/>
                      <a:chExt cx="2743200" cy="1714500"/>
                    </a:xfrm>
                  </xdr:grpSpPr>
                  <xdr:sp macro="" textlink="">
                    <xdr:nvSpPr>
                      <xdr:cNvPr id="36" name="Rectangle 35">
                        <a:extLst>
                          <a:ext uri="{FF2B5EF4-FFF2-40B4-BE49-F238E27FC236}">
                            <a16:creationId xmlns:a16="http://schemas.microsoft.com/office/drawing/2014/main" id="{060BDFBC-E170-00B1-5C86-CBFDE2255486}"/>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7" name="Group 36">
                        <a:extLst>
                          <a:ext uri="{FF2B5EF4-FFF2-40B4-BE49-F238E27FC236}">
                            <a16:creationId xmlns:a16="http://schemas.microsoft.com/office/drawing/2014/main" id="{E72A0317-F4BC-E8D8-389E-A272B336BD79}"/>
                          </a:ext>
                        </a:extLst>
                      </xdr:cNvPr>
                      <xdr:cNvGrpSpPr/>
                    </xdr:nvGrpSpPr>
                    <xdr:grpSpPr>
                      <a:xfrm>
                        <a:off x="365760" y="3535680"/>
                        <a:ext cx="2438400" cy="457200"/>
                        <a:chOff x="365760" y="3535680"/>
                        <a:chExt cx="1584960" cy="457200"/>
                      </a:xfrm>
                    </xdr:grpSpPr>
                    <xdr:sp macro="" textlink="">
                      <xdr:nvSpPr>
                        <xdr:cNvPr id="44" name="Rectangle 43">
                          <a:extLst>
                            <a:ext uri="{FF2B5EF4-FFF2-40B4-BE49-F238E27FC236}">
                              <a16:creationId xmlns:a16="http://schemas.microsoft.com/office/drawing/2014/main" id="{CDCA58A7-C54A-3300-B051-CC4F879CAE0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5" name="Rectangle 44">
                          <a:extLst>
                            <a:ext uri="{FF2B5EF4-FFF2-40B4-BE49-F238E27FC236}">
                              <a16:creationId xmlns:a16="http://schemas.microsoft.com/office/drawing/2014/main" id="{EFEF64B6-5DBE-8F8E-E2BE-4FCF24F8709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8" name="Group 37">
                        <a:extLst>
                          <a:ext uri="{FF2B5EF4-FFF2-40B4-BE49-F238E27FC236}">
                            <a16:creationId xmlns:a16="http://schemas.microsoft.com/office/drawing/2014/main" id="{F29A2FE0-EE39-332F-6638-ED56B74D815F}"/>
                          </a:ext>
                        </a:extLst>
                      </xdr:cNvPr>
                      <xdr:cNvGrpSpPr/>
                    </xdr:nvGrpSpPr>
                    <xdr:grpSpPr>
                      <a:xfrm>
                        <a:off x="365760" y="3977640"/>
                        <a:ext cx="2438400" cy="457200"/>
                        <a:chOff x="365760" y="3535680"/>
                        <a:chExt cx="1584960" cy="457200"/>
                      </a:xfrm>
                    </xdr:grpSpPr>
                    <xdr:sp macro="" textlink="">
                      <xdr:nvSpPr>
                        <xdr:cNvPr id="42" name="Rectangle 41">
                          <a:extLst>
                            <a:ext uri="{FF2B5EF4-FFF2-40B4-BE49-F238E27FC236}">
                              <a16:creationId xmlns:a16="http://schemas.microsoft.com/office/drawing/2014/main" id="{D3ED6A2C-9A1D-636F-D5EC-FBFB27C3AAA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3" name="Rectangle 42">
                          <a:extLst>
                            <a:ext uri="{FF2B5EF4-FFF2-40B4-BE49-F238E27FC236}">
                              <a16:creationId xmlns:a16="http://schemas.microsoft.com/office/drawing/2014/main" id="{EA702C83-D168-3207-195D-DC3A0F2C0C8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9" name="Group 38">
                        <a:extLst>
                          <a:ext uri="{FF2B5EF4-FFF2-40B4-BE49-F238E27FC236}">
                            <a16:creationId xmlns:a16="http://schemas.microsoft.com/office/drawing/2014/main" id="{E7DABFA4-5AC5-6069-2146-9B3FDF797923}"/>
                          </a:ext>
                        </a:extLst>
                      </xdr:cNvPr>
                      <xdr:cNvGrpSpPr/>
                    </xdr:nvGrpSpPr>
                    <xdr:grpSpPr>
                      <a:xfrm>
                        <a:off x="365760" y="4411980"/>
                        <a:ext cx="2438400" cy="457200"/>
                        <a:chOff x="365760" y="3535680"/>
                        <a:chExt cx="1584960" cy="457200"/>
                      </a:xfrm>
                    </xdr:grpSpPr>
                    <xdr:sp macro="" textlink="">
                      <xdr:nvSpPr>
                        <xdr:cNvPr id="40" name="Rectangle 39">
                          <a:extLst>
                            <a:ext uri="{FF2B5EF4-FFF2-40B4-BE49-F238E27FC236}">
                              <a16:creationId xmlns:a16="http://schemas.microsoft.com/office/drawing/2014/main" id="{585C6261-0028-367A-7760-606A2DB5AA9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41" name="Rectangle 40">
                          <a:extLst>
                            <a:ext uri="{FF2B5EF4-FFF2-40B4-BE49-F238E27FC236}">
                              <a16:creationId xmlns:a16="http://schemas.microsoft.com/office/drawing/2014/main" id="{AC14889B-CBFD-FD61-51E4-DF457323CD8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5" name="Rectangle 34">
                      <a:extLst>
                        <a:ext uri="{FF2B5EF4-FFF2-40B4-BE49-F238E27FC236}">
                          <a16:creationId xmlns:a16="http://schemas.microsoft.com/office/drawing/2014/main" id="{CFC357B6-6E94-E844-BA5E-2716D24D2FB4}"/>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20" name="Group 19">
                    <a:extLst>
                      <a:ext uri="{FF2B5EF4-FFF2-40B4-BE49-F238E27FC236}">
                        <a16:creationId xmlns:a16="http://schemas.microsoft.com/office/drawing/2014/main" id="{A3C385A1-F5F7-80E0-72BA-FA62DEFB8116}"/>
                      </a:ext>
                    </a:extLst>
                  </xdr:cNvPr>
                  <xdr:cNvGrpSpPr/>
                </xdr:nvGrpSpPr>
                <xdr:grpSpPr>
                  <a:xfrm>
                    <a:off x="11170920" y="3208020"/>
                    <a:ext cx="2743200" cy="1935480"/>
                    <a:chOff x="2948940" y="3200400"/>
                    <a:chExt cx="2743200" cy="1935480"/>
                  </a:xfrm>
                </xdr:grpSpPr>
                <xdr:grpSp>
                  <xdr:nvGrpSpPr>
                    <xdr:cNvPr id="22" name="Group 21">
                      <a:extLst>
                        <a:ext uri="{FF2B5EF4-FFF2-40B4-BE49-F238E27FC236}">
                          <a16:creationId xmlns:a16="http://schemas.microsoft.com/office/drawing/2014/main" id="{6FDC9A87-C55F-D6AF-4469-4B343558199F}"/>
                        </a:ext>
                      </a:extLst>
                    </xdr:cNvPr>
                    <xdr:cNvGrpSpPr/>
                  </xdr:nvGrpSpPr>
                  <xdr:grpSpPr>
                    <a:xfrm>
                      <a:off x="2948940" y="3200400"/>
                      <a:ext cx="2743200" cy="1714500"/>
                      <a:chOff x="60960" y="3154680"/>
                      <a:chExt cx="2743200" cy="1714500"/>
                    </a:xfrm>
                  </xdr:grpSpPr>
                  <xdr:sp macro="" textlink="">
                    <xdr:nvSpPr>
                      <xdr:cNvPr id="24" name="Rectangle 23">
                        <a:extLst>
                          <a:ext uri="{FF2B5EF4-FFF2-40B4-BE49-F238E27FC236}">
                            <a16:creationId xmlns:a16="http://schemas.microsoft.com/office/drawing/2014/main" id="{421A6194-1408-E08E-AE75-541BE1D806D4}"/>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5" name="Group 24">
                        <a:extLst>
                          <a:ext uri="{FF2B5EF4-FFF2-40B4-BE49-F238E27FC236}">
                            <a16:creationId xmlns:a16="http://schemas.microsoft.com/office/drawing/2014/main" id="{B32DEE1A-24EE-BDC5-5D53-B79B0831841A}"/>
                          </a:ext>
                        </a:extLst>
                      </xdr:cNvPr>
                      <xdr:cNvGrpSpPr/>
                    </xdr:nvGrpSpPr>
                    <xdr:grpSpPr>
                      <a:xfrm>
                        <a:off x="365760" y="3535680"/>
                        <a:ext cx="2438400" cy="457200"/>
                        <a:chOff x="365760" y="3535680"/>
                        <a:chExt cx="1584960" cy="457200"/>
                      </a:xfrm>
                    </xdr:grpSpPr>
                    <xdr:sp macro="" textlink="">
                      <xdr:nvSpPr>
                        <xdr:cNvPr id="32" name="Rectangle 31">
                          <a:hlinkClick xmlns:r="http://schemas.openxmlformats.org/officeDocument/2006/relationships" r:id="rId12"/>
                          <a:extLst>
                            <a:ext uri="{FF2B5EF4-FFF2-40B4-BE49-F238E27FC236}">
                              <a16:creationId xmlns:a16="http://schemas.microsoft.com/office/drawing/2014/main" id="{1D13F576-D508-3760-D6F0-4268551017B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3" name="Rectangle 32">
                          <a:hlinkClick xmlns:r="http://schemas.openxmlformats.org/officeDocument/2006/relationships" r:id="rId13"/>
                          <a:extLst>
                            <a:ext uri="{FF2B5EF4-FFF2-40B4-BE49-F238E27FC236}">
                              <a16:creationId xmlns:a16="http://schemas.microsoft.com/office/drawing/2014/main" id="{AA92994C-0711-566C-DF3F-2855DFC0D6C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6" name="Group 25">
                        <a:extLst>
                          <a:ext uri="{FF2B5EF4-FFF2-40B4-BE49-F238E27FC236}">
                            <a16:creationId xmlns:a16="http://schemas.microsoft.com/office/drawing/2014/main" id="{8834D8F9-F41E-C9BF-E465-B43BF885C168}"/>
                          </a:ext>
                        </a:extLst>
                      </xdr:cNvPr>
                      <xdr:cNvGrpSpPr/>
                    </xdr:nvGrpSpPr>
                    <xdr:grpSpPr>
                      <a:xfrm>
                        <a:off x="365760" y="3977640"/>
                        <a:ext cx="2438400" cy="457200"/>
                        <a:chOff x="365760" y="3535680"/>
                        <a:chExt cx="1584960" cy="457200"/>
                      </a:xfrm>
                    </xdr:grpSpPr>
                    <xdr:sp macro="" textlink="">
                      <xdr:nvSpPr>
                        <xdr:cNvPr id="30" name="Rectangle 29">
                          <a:hlinkClick xmlns:r="http://schemas.openxmlformats.org/officeDocument/2006/relationships" r:id="rId14"/>
                          <a:extLst>
                            <a:ext uri="{FF2B5EF4-FFF2-40B4-BE49-F238E27FC236}">
                              <a16:creationId xmlns:a16="http://schemas.microsoft.com/office/drawing/2014/main" id="{88307B63-9D3A-0144-61A6-B68C1E5CF23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31" name="Rectangle 30">
                          <a:extLst>
                            <a:ext uri="{FF2B5EF4-FFF2-40B4-BE49-F238E27FC236}">
                              <a16:creationId xmlns:a16="http://schemas.microsoft.com/office/drawing/2014/main" id="{81B66B52-3CA3-027D-841D-85902E80238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7" name="Group 26">
                        <a:extLst>
                          <a:ext uri="{FF2B5EF4-FFF2-40B4-BE49-F238E27FC236}">
                            <a16:creationId xmlns:a16="http://schemas.microsoft.com/office/drawing/2014/main" id="{51476082-3098-59ED-35A0-8BCC3212EB35}"/>
                          </a:ext>
                        </a:extLst>
                      </xdr:cNvPr>
                      <xdr:cNvGrpSpPr/>
                    </xdr:nvGrpSpPr>
                    <xdr:grpSpPr>
                      <a:xfrm>
                        <a:off x="365760" y="4411980"/>
                        <a:ext cx="2438400" cy="457200"/>
                        <a:chOff x="365760" y="3535680"/>
                        <a:chExt cx="1584960" cy="457200"/>
                      </a:xfrm>
                    </xdr:grpSpPr>
                    <xdr:sp macro="" textlink="">
                      <xdr:nvSpPr>
                        <xdr:cNvPr id="28" name="Rectangle 27">
                          <a:extLst>
                            <a:ext uri="{FF2B5EF4-FFF2-40B4-BE49-F238E27FC236}">
                              <a16:creationId xmlns:a16="http://schemas.microsoft.com/office/drawing/2014/main" id="{3C61E11B-B033-A833-D155-C62C49D4008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9" name="Rectangle 28">
                          <a:extLst>
                            <a:ext uri="{FF2B5EF4-FFF2-40B4-BE49-F238E27FC236}">
                              <a16:creationId xmlns:a16="http://schemas.microsoft.com/office/drawing/2014/main" id="{10652480-57E9-B93D-9B92-975AAD9F3EC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3" name="Rectangle 22">
                      <a:extLst>
                        <a:ext uri="{FF2B5EF4-FFF2-40B4-BE49-F238E27FC236}">
                          <a16:creationId xmlns:a16="http://schemas.microsoft.com/office/drawing/2014/main" id="{2CA41E13-788D-2A07-6F35-E21E1A50A673}"/>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5" name="Rectangle 14">
                  <a:extLst>
                    <a:ext uri="{FF2B5EF4-FFF2-40B4-BE49-F238E27FC236}">
                      <a16:creationId xmlns:a16="http://schemas.microsoft.com/office/drawing/2014/main" id="{9B539DE8-677C-2039-BA52-4DB30F273022}"/>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9" name="Rectangle: Rounded Corners 8">
              <a:extLst>
                <a:ext uri="{FF2B5EF4-FFF2-40B4-BE49-F238E27FC236}">
                  <a16:creationId xmlns:a16="http://schemas.microsoft.com/office/drawing/2014/main" id="{9C0AEF93-F597-DF87-4B7B-4A5CEAB1EB58}"/>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10" name="Rectangle: Rounded Corners 9">
              <a:extLst>
                <a:ext uri="{FF2B5EF4-FFF2-40B4-BE49-F238E27FC236}">
                  <a16:creationId xmlns:a16="http://schemas.microsoft.com/office/drawing/2014/main" id="{341672DC-E363-3616-8D7B-44161DAE58B6}"/>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11" name="Rectangle: Rounded Corners 10">
              <a:extLst>
                <a:ext uri="{FF2B5EF4-FFF2-40B4-BE49-F238E27FC236}">
                  <a16:creationId xmlns:a16="http://schemas.microsoft.com/office/drawing/2014/main" id="{29CBBA26-1BEF-A967-2CB6-6DA8FB45A79A}"/>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6" name="Picture 5">
            <a:hlinkClick xmlns:r="http://schemas.openxmlformats.org/officeDocument/2006/relationships" r:id="rId15"/>
            <a:extLst>
              <a:ext uri="{FF2B5EF4-FFF2-40B4-BE49-F238E27FC236}">
                <a16:creationId xmlns:a16="http://schemas.microsoft.com/office/drawing/2014/main" id="{87CB108B-4116-DC70-A245-7A06D2EED1E8}"/>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88900</xdr:colOff>
          <xdr:row>21</xdr:row>
          <xdr:rowOff>254000</xdr:rowOff>
        </xdr:from>
        <xdr:to>
          <xdr:col>17</xdr:col>
          <xdr:colOff>254000</xdr:colOff>
          <xdr:row>30</xdr:row>
          <xdr:rowOff>88900</xdr:rowOff>
        </xdr:to>
        <xdr:sp macro="" textlink="">
          <xdr:nvSpPr>
            <xdr:cNvPr id="8193" name="TextBox1" hidden="1">
              <a:extLst>
                <a:ext uri="{63B3BB69-23CF-44E3-9099-C40C66FF867C}">
                  <a14:compatExt spid="_x0000_s8193"/>
                </a:ext>
                <a:ext uri="{FF2B5EF4-FFF2-40B4-BE49-F238E27FC236}">
                  <a16:creationId xmlns:a16="http://schemas.microsoft.com/office/drawing/2014/main" id="{00000000-0008-0000-10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88900</xdr:colOff>
          <xdr:row>33</xdr:row>
          <xdr:rowOff>12700</xdr:rowOff>
        </xdr:from>
        <xdr:to>
          <xdr:col>17</xdr:col>
          <xdr:colOff>254000</xdr:colOff>
          <xdr:row>41</xdr:row>
          <xdr:rowOff>114300</xdr:rowOff>
        </xdr:to>
        <xdr:sp macro="" textlink="">
          <xdr:nvSpPr>
            <xdr:cNvPr id="8194" name="TextBox2" hidden="1">
              <a:extLst>
                <a:ext uri="{63B3BB69-23CF-44E3-9099-C40C66FF867C}">
                  <a14:compatExt spid="_x0000_s8194"/>
                </a:ext>
                <a:ext uri="{FF2B5EF4-FFF2-40B4-BE49-F238E27FC236}">
                  <a16:creationId xmlns:a16="http://schemas.microsoft.com/office/drawing/2014/main" id="{00000000-0008-0000-10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0</xdr:row>
      <xdr:rowOff>104775</xdr:rowOff>
    </xdr:from>
    <xdr:to>
      <xdr:col>27</xdr:col>
      <xdr:colOff>50813</xdr:colOff>
      <xdr:row>14</xdr:row>
      <xdr:rowOff>81129</xdr:rowOff>
    </xdr:to>
    <xdr:grpSp>
      <xdr:nvGrpSpPr>
        <xdr:cNvPr id="8210" name="Group 8209">
          <a:extLst>
            <a:ext uri="{FF2B5EF4-FFF2-40B4-BE49-F238E27FC236}">
              <a16:creationId xmlns:a16="http://schemas.microsoft.com/office/drawing/2014/main" id="{E5197B22-37DA-4923-ADAA-2F6C43550A09}"/>
            </a:ext>
          </a:extLst>
        </xdr:cNvPr>
        <xdr:cNvGrpSpPr/>
      </xdr:nvGrpSpPr>
      <xdr:grpSpPr>
        <a:xfrm>
          <a:off x="0" y="104775"/>
          <a:ext cx="20958188" cy="2562225"/>
          <a:chOff x="0" y="25400"/>
          <a:chExt cx="18808713" cy="2465554"/>
        </a:xfrm>
      </xdr:grpSpPr>
      <xdr:grpSp>
        <xdr:nvGrpSpPr>
          <xdr:cNvPr id="8211" name="Group 8210">
            <a:extLst>
              <a:ext uri="{FF2B5EF4-FFF2-40B4-BE49-F238E27FC236}">
                <a16:creationId xmlns:a16="http://schemas.microsoft.com/office/drawing/2014/main" id="{50CA543C-DFF1-B08A-A824-E932ADB57BB7}"/>
              </a:ext>
            </a:extLst>
          </xdr:cNvPr>
          <xdr:cNvGrpSpPr/>
        </xdr:nvGrpSpPr>
        <xdr:grpSpPr>
          <a:xfrm>
            <a:off x="0" y="268648"/>
            <a:ext cx="18808713" cy="2222306"/>
            <a:chOff x="-2" y="774501"/>
            <a:chExt cx="14238616" cy="2312445"/>
          </a:xfrm>
        </xdr:grpSpPr>
        <xdr:sp macro="" textlink="">
          <xdr:nvSpPr>
            <xdr:cNvPr id="8213" name="Rectangle: Rounded Corners 8212">
              <a:extLst>
                <a:ext uri="{FF2B5EF4-FFF2-40B4-BE49-F238E27FC236}">
                  <a16:creationId xmlns:a16="http://schemas.microsoft.com/office/drawing/2014/main" id="{2D180C4B-ED55-C0E8-318E-C09996B8EE71}"/>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8214" name="Group 8213">
              <a:extLst>
                <a:ext uri="{FF2B5EF4-FFF2-40B4-BE49-F238E27FC236}">
                  <a16:creationId xmlns:a16="http://schemas.microsoft.com/office/drawing/2014/main" id="{F8D579A8-D1F7-BDF9-4C30-B03506BBA2D4}"/>
                </a:ext>
              </a:extLst>
            </xdr:cNvPr>
            <xdr:cNvGrpSpPr/>
          </xdr:nvGrpSpPr>
          <xdr:grpSpPr>
            <a:xfrm>
              <a:off x="-2" y="977052"/>
              <a:ext cx="14238606" cy="2109894"/>
              <a:chOff x="15238" y="3223260"/>
              <a:chExt cx="14214009" cy="2072640"/>
            </a:xfrm>
          </xdr:grpSpPr>
          <xdr:sp macro="" textlink="">
            <xdr:nvSpPr>
              <xdr:cNvPr id="8218" name="Rectangle 8217">
                <a:extLst>
                  <a:ext uri="{FF2B5EF4-FFF2-40B4-BE49-F238E27FC236}">
                    <a16:creationId xmlns:a16="http://schemas.microsoft.com/office/drawing/2014/main" id="{FD3D7166-0881-1082-D7A8-103A53176C8E}"/>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8219" name="Group 8218">
                <a:extLst>
                  <a:ext uri="{FF2B5EF4-FFF2-40B4-BE49-F238E27FC236}">
                    <a16:creationId xmlns:a16="http://schemas.microsoft.com/office/drawing/2014/main" id="{01AE9B3D-9BEC-35AF-EEEE-B2BD3F83C179}"/>
                  </a:ext>
                </a:extLst>
              </xdr:cNvPr>
              <xdr:cNvGrpSpPr/>
            </xdr:nvGrpSpPr>
            <xdr:grpSpPr>
              <a:xfrm>
                <a:off x="121920" y="3291840"/>
                <a:ext cx="13708380" cy="1950720"/>
                <a:chOff x="205740" y="2491740"/>
                <a:chExt cx="13708380" cy="1950720"/>
              </a:xfrm>
            </xdr:grpSpPr>
            <xdr:grpSp>
              <xdr:nvGrpSpPr>
                <xdr:cNvPr id="8220" name="Group 8219">
                  <a:extLst>
                    <a:ext uri="{FF2B5EF4-FFF2-40B4-BE49-F238E27FC236}">
                      <a16:creationId xmlns:a16="http://schemas.microsoft.com/office/drawing/2014/main" id="{5B8F246F-27A3-BD3A-696F-30BA24681B08}"/>
                    </a:ext>
                  </a:extLst>
                </xdr:cNvPr>
                <xdr:cNvGrpSpPr/>
              </xdr:nvGrpSpPr>
              <xdr:grpSpPr>
                <a:xfrm>
                  <a:off x="205740" y="2491740"/>
                  <a:ext cx="13708380" cy="1950720"/>
                  <a:chOff x="205740" y="3192780"/>
                  <a:chExt cx="13708380" cy="1950720"/>
                </a:xfrm>
              </xdr:grpSpPr>
              <xdr:grpSp>
                <xdr:nvGrpSpPr>
                  <xdr:cNvPr id="8222" name="Group 8221">
                    <a:extLst>
                      <a:ext uri="{FF2B5EF4-FFF2-40B4-BE49-F238E27FC236}">
                        <a16:creationId xmlns:a16="http://schemas.microsoft.com/office/drawing/2014/main" id="{A28DF8B0-4B51-94FB-01D6-D065886E5C3B}"/>
                      </a:ext>
                    </a:extLst>
                  </xdr:cNvPr>
                  <xdr:cNvGrpSpPr/>
                </xdr:nvGrpSpPr>
                <xdr:grpSpPr>
                  <a:xfrm>
                    <a:off x="2948940" y="3200400"/>
                    <a:ext cx="2743200" cy="1935480"/>
                    <a:chOff x="2948940" y="3200400"/>
                    <a:chExt cx="2743200" cy="1935480"/>
                  </a:xfrm>
                </xdr:grpSpPr>
                <xdr:grpSp>
                  <xdr:nvGrpSpPr>
                    <xdr:cNvPr id="8275" name="Group 8274">
                      <a:extLst>
                        <a:ext uri="{FF2B5EF4-FFF2-40B4-BE49-F238E27FC236}">
                          <a16:creationId xmlns:a16="http://schemas.microsoft.com/office/drawing/2014/main" id="{FC88EA37-245D-4D42-BCA4-003FB4344D9F}"/>
                        </a:ext>
                      </a:extLst>
                    </xdr:cNvPr>
                    <xdr:cNvGrpSpPr/>
                  </xdr:nvGrpSpPr>
                  <xdr:grpSpPr>
                    <a:xfrm>
                      <a:off x="2948940" y="3200400"/>
                      <a:ext cx="2743200" cy="1714500"/>
                      <a:chOff x="60960" y="3154680"/>
                      <a:chExt cx="2743200" cy="1714500"/>
                    </a:xfrm>
                  </xdr:grpSpPr>
                  <xdr:sp macro="" textlink="">
                    <xdr:nvSpPr>
                      <xdr:cNvPr id="8277" name="Rectangle 8276">
                        <a:extLst>
                          <a:ext uri="{FF2B5EF4-FFF2-40B4-BE49-F238E27FC236}">
                            <a16:creationId xmlns:a16="http://schemas.microsoft.com/office/drawing/2014/main" id="{9A4FBFBA-6B02-F430-27FC-9C6F94499C43}"/>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8278" name="Group 8277">
                        <a:extLst>
                          <a:ext uri="{FF2B5EF4-FFF2-40B4-BE49-F238E27FC236}">
                            <a16:creationId xmlns:a16="http://schemas.microsoft.com/office/drawing/2014/main" id="{65C79A5A-AAA7-CE23-C9CA-0DF7B2084589}"/>
                          </a:ext>
                        </a:extLst>
                      </xdr:cNvPr>
                      <xdr:cNvGrpSpPr/>
                    </xdr:nvGrpSpPr>
                    <xdr:grpSpPr>
                      <a:xfrm>
                        <a:off x="365760" y="3535680"/>
                        <a:ext cx="2438400" cy="457200"/>
                        <a:chOff x="365760" y="3535680"/>
                        <a:chExt cx="1584960" cy="457200"/>
                      </a:xfrm>
                    </xdr:grpSpPr>
                    <xdr:sp macro="" textlink="">
                      <xdr:nvSpPr>
                        <xdr:cNvPr id="8285" name="Rectangle 8284">
                          <a:hlinkClick xmlns:r="http://schemas.openxmlformats.org/officeDocument/2006/relationships" r:id="rId1"/>
                          <a:extLst>
                            <a:ext uri="{FF2B5EF4-FFF2-40B4-BE49-F238E27FC236}">
                              <a16:creationId xmlns:a16="http://schemas.microsoft.com/office/drawing/2014/main" id="{C979BF60-66C2-AF80-E5BC-ADAB4CBBF35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8286" name="Rectangle 8285">
                          <a:hlinkClick xmlns:r="http://schemas.openxmlformats.org/officeDocument/2006/relationships" r:id="rId1"/>
                          <a:extLst>
                            <a:ext uri="{FF2B5EF4-FFF2-40B4-BE49-F238E27FC236}">
                              <a16:creationId xmlns:a16="http://schemas.microsoft.com/office/drawing/2014/main" id="{EE798D7C-4654-B860-BF5D-320A9ED1DF2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8279" name="Group 8278">
                        <a:extLst>
                          <a:ext uri="{FF2B5EF4-FFF2-40B4-BE49-F238E27FC236}">
                            <a16:creationId xmlns:a16="http://schemas.microsoft.com/office/drawing/2014/main" id="{17FBE8FC-90A0-B8BC-4D43-264C56DD625C}"/>
                          </a:ext>
                        </a:extLst>
                      </xdr:cNvPr>
                      <xdr:cNvGrpSpPr/>
                    </xdr:nvGrpSpPr>
                    <xdr:grpSpPr>
                      <a:xfrm>
                        <a:off x="365760" y="3977640"/>
                        <a:ext cx="2438400" cy="457200"/>
                        <a:chOff x="365760" y="3535680"/>
                        <a:chExt cx="1584960" cy="457200"/>
                      </a:xfrm>
                    </xdr:grpSpPr>
                    <xdr:sp macro="" textlink="">
                      <xdr:nvSpPr>
                        <xdr:cNvPr id="8283" name="Rectangle 8282">
                          <a:extLst>
                            <a:ext uri="{FF2B5EF4-FFF2-40B4-BE49-F238E27FC236}">
                              <a16:creationId xmlns:a16="http://schemas.microsoft.com/office/drawing/2014/main" id="{13621E6E-5315-F83C-B118-CD60F2DD290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8284" name="Rectangle 8283">
                          <a:hlinkClick xmlns:r="http://schemas.openxmlformats.org/officeDocument/2006/relationships" r:id="rId2"/>
                          <a:extLst>
                            <a:ext uri="{FF2B5EF4-FFF2-40B4-BE49-F238E27FC236}">
                              <a16:creationId xmlns:a16="http://schemas.microsoft.com/office/drawing/2014/main" id="{B50D92FC-74C1-0ABF-11D1-1B6F4753567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8280" name="Group 8279">
                        <a:extLst>
                          <a:ext uri="{FF2B5EF4-FFF2-40B4-BE49-F238E27FC236}">
                            <a16:creationId xmlns:a16="http://schemas.microsoft.com/office/drawing/2014/main" id="{A2A5BC70-19D4-EFEF-48B9-FE82F783D1A5}"/>
                          </a:ext>
                        </a:extLst>
                      </xdr:cNvPr>
                      <xdr:cNvGrpSpPr/>
                    </xdr:nvGrpSpPr>
                    <xdr:grpSpPr>
                      <a:xfrm>
                        <a:off x="365760" y="4411980"/>
                        <a:ext cx="2438400" cy="457200"/>
                        <a:chOff x="365760" y="3535680"/>
                        <a:chExt cx="1584960" cy="457200"/>
                      </a:xfrm>
                    </xdr:grpSpPr>
                    <xdr:sp macro="" textlink="">
                      <xdr:nvSpPr>
                        <xdr:cNvPr id="8281" name="Rectangle 8280">
                          <a:hlinkClick xmlns:r="http://schemas.openxmlformats.org/officeDocument/2006/relationships" r:id="rId3"/>
                          <a:extLst>
                            <a:ext uri="{FF2B5EF4-FFF2-40B4-BE49-F238E27FC236}">
                              <a16:creationId xmlns:a16="http://schemas.microsoft.com/office/drawing/2014/main" id="{69898C16-9EE2-0178-DBF8-37765CC4035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8282" name="Rectangle 8281">
                          <a:extLst>
                            <a:ext uri="{FF2B5EF4-FFF2-40B4-BE49-F238E27FC236}">
                              <a16:creationId xmlns:a16="http://schemas.microsoft.com/office/drawing/2014/main" id="{0AD4A632-9B4B-A945-584E-C88332E149B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8276" name="Rectangle 8275">
                      <a:extLst>
                        <a:ext uri="{FF2B5EF4-FFF2-40B4-BE49-F238E27FC236}">
                          <a16:creationId xmlns:a16="http://schemas.microsoft.com/office/drawing/2014/main" id="{1A2A5F17-EADE-F2CC-AB98-6A9F482E0558}"/>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8223" name="Group 8222">
                    <a:extLst>
                      <a:ext uri="{FF2B5EF4-FFF2-40B4-BE49-F238E27FC236}">
                        <a16:creationId xmlns:a16="http://schemas.microsoft.com/office/drawing/2014/main" id="{96E4532F-CC0D-A423-866D-22A2104443EE}"/>
                      </a:ext>
                    </a:extLst>
                  </xdr:cNvPr>
                  <xdr:cNvGrpSpPr/>
                </xdr:nvGrpSpPr>
                <xdr:grpSpPr>
                  <a:xfrm>
                    <a:off x="205740" y="3192780"/>
                    <a:ext cx="2743200" cy="1943100"/>
                    <a:chOff x="205740" y="3192780"/>
                    <a:chExt cx="2743200" cy="1943100"/>
                  </a:xfrm>
                </xdr:grpSpPr>
                <xdr:grpSp>
                  <xdr:nvGrpSpPr>
                    <xdr:cNvPr id="8263" name="Group 8262">
                      <a:extLst>
                        <a:ext uri="{FF2B5EF4-FFF2-40B4-BE49-F238E27FC236}">
                          <a16:creationId xmlns:a16="http://schemas.microsoft.com/office/drawing/2014/main" id="{C32C9094-0192-11F9-D93A-10401238FA1D}"/>
                        </a:ext>
                      </a:extLst>
                    </xdr:cNvPr>
                    <xdr:cNvGrpSpPr/>
                  </xdr:nvGrpSpPr>
                  <xdr:grpSpPr>
                    <a:xfrm>
                      <a:off x="205740" y="3192780"/>
                      <a:ext cx="2743200" cy="1714500"/>
                      <a:chOff x="60960" y="3154680"/>
                      <a:chExt cx="2743200" cy="1714500"/>
                    </a:xfrm>
                  </xdr:grpSpPr>
                  <xdr:sp macro="" textlink="">
                    <xdr:nvSpPr>
                      <xdr:cNvPr id="8265" name="Rectangle 8264">
                        <a:extLst>
                          <a:ext uri="{FF2B5EF4-FFF2-40B4-BE49-F238E27FC236}">
                            <a16:creationId xmlns:a16="http://schemas.microsoft.com/office/drawing/2014/main" id="{955F6C21-AE33-3B1F-1715-01CE1B365648}"/>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8266" name="Group 8265">
                        <a:extLst>
                          <a:ext uri="{FF2B5EF4-FFF2-40B4-BE49-F238E27FC236}">
                            <a16:creationId xmlns:a16="http://schemas.microsoft.com/office/drawing/2014/main" id="{3B7B6305-218A-4B5C-A898-51CBAFA3B497}"/>
                          </a:ext>
                        </a:extLst>
                      </xdr:cNvPr>
                      <xdr:cNvGrpSpPr/>
                    </xdr:nvGrpSpPr>
                    <xdr:grpSpPr>
                      <a:xfrm>
                        <a:off x="365760" y="3535680"/>
                        <a:ext cx="2438400" cy="457200"/>
                        <a:chOff x="365760" y="3535680"/>
                        <a:chExt cx="1584960" cy="457200"/>
                      </a:xfrm>
                    </xdr:grpSpPr>
                    <xdr:sp macro="" textlink="">
                      <xdr:nvSpPr>
                        <xdr:cNvPr id="8273" name="Rectangle 8272">
                          <a:hlinkClick xmlns:r="http://schemas.openxmlformats.org/officeDocument/2006/relationships" r:id="rId4"/>
                          <a:extLst>
                            <a:ext uri="{FF2B5EF4-FFF2-40B4-BE49-F238E27FC236}">
                              <a16:creationId xmlns:a16="http://schemas.microsoft.com/office/drawing/2014/main" id="{361D250B-9AA6-8D67-7E41-92E4C15FB37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8274" name="Rectangle 8273">
                          <a:hlinkClick xmlns:r="http://schemas.openxmlformats.org/officeDocument/2006/relationships" r:id="rId5"/>
                          <a:extLst>
                            <a:ext uri="{FF2B5EF4-FFF2-40B4-BE49-F238E27FC236}">
                              <a16:creationId xmlns:a16="http://schemas.microsoft.com/office/drawing/2014/main" id="{727D57C5-9415-4859-4A1F-0A62FFF14AF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8267" name="Group 8266">
                        <a:extLst>
                          <a:ext uri="{FF2B5EF4-FFF2-40B4-BE49-F238E27FC236}">
                            <a16:creationId xmlns:a16="http://schemas.microsoft.com/office/drawing/2014/main" id="{FB735C1F-830F-CBE8-617D-38A2491061CB}"/>
                          </a:ext>
                        </a:extLst>
                      </xdr:cNvPr>
                      <xdr:cNvGrpSpPr/>
                    </xdr:nvGrpSpPr>
                    <xdr:grpSpPr>
                      <a:xfrm>
                        <a:off x="365760" y="3977640"/>
                        <a:ext cx="2438400" cy="457200"/>
                        <a:chOff x="365760" y="3535680"/>
                        <a:chExt cx="1584960" cy="457200"/>
                      </a:xfrm>
                    </xdr:grpSpPr>
                    <xdr:sp macro="" textlink="">
                      <xdr:nvSpPr>
                        <xdr:cNvPr id="8271" name="Rectangle 8270">
                          <a:hlinkClick xmlns:r="http://schemas.openxmlformats.org/officeDocument/2006/relationships" r:id="rId6"/>
                          <a:extLst>
                            <a:ext uri="{FF2B5EF4-FFF2-40B4-BE49-F238E27FC236}">
                              <a16:creationId xmlns:a16="http://schemas.microsoft.com/office/drawing/2014/main" id="{6217DE3F-EDE3-C363-AAC9-98E7938E536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8272" name="Rectangle 8271">
                          <a:hlinkClick xmlns:r="http://schemas.openxmlformats.org/officeDocument/2006/relationships" r:id="rId7"/>
                          <a:extLst>
                            <a:ext uri="{FF2B5EF4-FFF2-40B4-BE49-F238E27FC236}">
                              <a16:creationId xmlns:a16="http://schemas.microsoft.com/office/drawing/2014/main" id="{3AB2A62F-7037-023D-7BC4-AE5745E2F97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8268" name="Group 8267">
                        <a:extLst>
                          <a:ext uri="{FF2B5EF4-FFF2-40B4-BE49-F238E27FC236}">
                            <a16:creationId xmlns:a16="http://schemas.microsoft.com/office/drawing/2014/main" id="{7CFC0DDB-6806-D5CC-9D93-443AAE39DDB7}"/>
                          </a:ext>
                        </a:extLst>
                      </xdr:cNvPr>
                      <xdr:cNvGrpSpPr/>
                    </xdr:nvGrpSpPr>
                    <xdr:grpSpPr>
                      <a:xfrm>
                        <a:off x="365760" y="4411980"/>
                        <a:ext cx="2438400" cy="457200"/>
                        <a:chOff x="365760" y="3535680"/>
                        <a:chExt cx="1584960" cy="457200"/>
                      </a:xfrm>
                    </xdr:grpSpPr>
                    <xdr:sp macro="" textlink="">
                      <xdr:nvSpPr>
                        <xdr:cNvPr id="8269" name="Rectangle 8268">
                          <a:hlinkClick xmlns:r="http://schemas.openxmlformats.org/officeDocument/2006/relationships" r:id="rId8"/>
                          <a:extLst>
                            <a:ext uri="{FF2B5EF4-FFF2-40B4-BE49-F238E27FC236}">
                              <a16:creationId xmlns:a16="http://schemas.microsoft.com/office/drawing/2014/main" id="{3DE8D31E-692A-3B52-DD5F-D0E9812A8FA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8270" name="Rectangle 8269">
                          <a:hlinkClick xmlns:r="http://schemas.openxmlformats.org/officeDocument/2006/relationships" r:id="rId9"/>
                          <a:extLst>
                            <a:ext uri="{FF2B5EF4-FFF2-40B4-BE49-F238E27FC236}">
                              <a16:creationId xmlns:a16="http://schemas.microsoft.com/office/drawing/2014/main" id="{6D6F2950-D3E5-58F1-48BA-EA5FD563193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8264" name="Rectangle 8263">
                      <a:hlinkClick xmlns:r="http://schemas.openxmlformats.org/officeDocument/2006/relationships" r:id="rId4"/>
                      <a:extLst>
                        <a:ext uri="{FF2B5EF4-FFF2-40B4-BE49-F238E27FC236}">
                          <a16:creationId xmlns:a16="http://schemas.microsoft.com/office/drawing/2014/main" id="{44D9D0DF-340B-1DD0-1FF2-596B9E4DA373}"/>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8224" name="Group 8223">
                    <a:extLst>
                      <a:ext uri="{FF2B5EF4-FFF2-40B4-BE49-F238E27FC236}">
                        <a16:creationId xmlns:a16="http://schemas.microsoft.com/office/drawing/2014/main" id="{7CB27A50-3AF1-17AC-016C-A3BA6FB631A7}"/>
                      </a:ext>
                    </a:extLst>
                  </xdr:cNvPr>
                  <xdr:cNvGrpSpPr/>
                </xdr:nvGrpSpPr>
                <xdr:grpSpPr>
                  <a:xfrm>
                    <a:off x="5692140" y="3208020"/>
                    <a:ext cx="2743200" cy="1935480"/>
                    <a:chOff x="2948940" y="3200400"/>
                    <a:chExt cx="2743200" cy="1935480"/>
                  </a:xfrm>
                </xdr:grpSpPr>
                <xdr:grpSp>
                  <xdr:nvGrpSpPr>
                    <xdr:cNvPr id="8251" name="Group 8250">
                      <a:extLst>
                        <a:ext uri="{FF2B5EF4-FFF2-40B4-BE49-F238E27FC236}">
                          <a16:creationId xmlns:a16="http://schemas.microsoft.com/office/drawing/2014/main" id="{DC10843E-270B-A44F-231F-0B15501DB0C8}"/>
                        </a:ext>
                      </a:extLst>
                    </xdr:cNvPr>
                    <xdr:cNvGrpSpPr/>
                  </xdr:nvGrpSpPr>
                  <xdr:grpSpPr>
                    <a:xfrm>
                      <a:off x="2948940" y="3200400"/>
                      <a:ext cx="2743200" cy="1714500"/>
                      <a:chOff x="60960" y="3154680"/>
                      <a:chExt cx="2743200" cy="1714500"/>
                    </a:xfrm>
                  </xdr:grpSpPr>
                  <xdr:sp macro="" textlink="">
                    <xdr:nvSpPr>
                      <xdr:cNvPr id="8253" name="Rectangle 8252">
                        <a:extLst>
                          <a:ext uri="{FF2B5EF4-FFF2-40B4-BE49-F238E27FC236}">
                            <a16:creationId xmlns:a16="http://schemas.microsoft.com/office/drawing/2014/main" id="{3B37F847-2716-7A15-5A4F-F26CD0FF4F20}"/>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8254" name="Group 8253">
                        <a:extLst>
                          <a:ext uri="{FF2B5EF4-FFF2-40B4-BE49-F238E27FC236}">
                            <a16:creationId xmlns:a16="http://schemas.microsoft.com/office/drawing/2014/main" id="{B0C3DC2C-4FB3-178A-1736-F5D0F617753C}"/>
                          </a:ext>
                        </a:extLst>
                      </xdr:cNvPr>
                      <xdr:cNvGrpSpPr/>
                    </xdr:nvGrpSpPr>
                    <xdr:grpSpPr>
                      <a:xfrm>
                        <a:off x="365760" y="3535680"/>
                        <a:ext cx="2438400" cy="457200"/>
                        <a:chOff x="365760" y="3535680"/>
                        <a:chExt cx="1584960" cy="457200"/>
                      </a:xfrm>
                    </xdr:grpSpPr>
                    <xdr:sp macro="" textlink="">
                      <xdr:nvSpPr>
                        <xdr:cNvPr id="8261" name="Rectangle 8260">
                          <a:hlinkClick xmlns:r="http://schemas.openxmlformats.org/officeDocument/2006/relationships" r:id="rId10"/>
                          <a:extLst>
                            <a:ext uri="{FF2B5EF4-FFF2-40B4-BE49-F238E27FC236}">
                              <a16:creationId xmlns:a16="http://schemas.microsoft.com/office/drawing/2014/main" id="{F391AFD1-2106-BC2F-1006-63E2D653825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8262" name="Rectangle 8261">
                          <a:hlinkClick xmlns:r="http://schemas.openxmlformats.org/officeDocument/2006/relationships" r:id="rId11"/>
                          <a:extLst>
                            <a:ext uri="{FF2B5EF4-FFF2-40B4-BE49-F238E27FC236}">
                              <a16:creationId xmlns:a16="http://schemas.microsoft.com/office/drawing/2014/main" id="{D204786E-6742-5C79-3FB9-EB2E7538CEE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8255" name="Group 8254">
                        <a:extLst>
                          <a:ext uri="{FF2B5EF4-FFF2-40B4-BE49-F238E27FC236}">
                            <a16:creationId xmlns:a16="http://schemas.microsoft.com/office/drawing/2014/main" id="{83A5EA75-E6E4-D68B-A37A-2E601C6A3437}"/>
                          </a:ext>
                        </a:extLst>
                      </xdr:cNvPr>
                      <xdr:cNvGrpSpPr/>
                    </xdr:nvGrpSpPr>
                    <xdr:grpSpPr>
                      <a:xfrm>
                        <a:off x="365760" y="3977640"/>
                        <a:ext cx="2438400" cy="457200"/>
                        <a:chOff x="365760" y="3535680"/>
                        <a:chExt cx="1584960" cy="457200"/>
                      </a:xfrm>
                    </xdr:grpSpPr>
                    <xdr:sp macro="" textlink="">
                      <xdr:nvSpPr>
                        <xdr:cNvPr id="8259" name="Rectangle 8258">
                          <a:extLst>
                            <a:ext uri="{FF2B5EF4-FFF2-40B4-BE49-F238E27FC236}">
                              <a16:creationId xmlns:a16="http://schemas.microsoft.com/office/drawing/2014/main" id="{3EF69E4A-7F99-D9AA-4759-1173B42A018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8260" name="Rectangle 8259">
                          <a:extLst>
                            <a:ext uri="{FF2B5EF4-FFF2-40B4-BE49-F238E27FC236}">
                              <a16:creationId xmlns:a16="http://schemas.microsoft.com/office/drawing/2014/main" id="{925BE04A-2E59-7DF4-3E42-4826B79E181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8256" name="Group 8255">
                        <a:extLst>
                          <a:ext uri="{FF2B5EF4-FFF2-40B4-BE49-F238E27FC236}">
                            <a16:creationId xmlns:a16="http://schemas.microsoft.com/office/drawing/2014/main" id="{82B4B799-AAC8-92B2-2270-CA1E4FED7A52}"/>
                          </a:ext>
                        </a:extLst>
                      </xdr:cNvPr>
                      <xdr:cNvGrpSpPr/>
                    </xdr:nvGrpSpPr>
                    <xdr:grpSpPr>
                      <a:xfrm>
                        <a:off x="365760" y="4411980"/>
                        <a:ext cx="2438400" cy="457200"/>
                        <a:chOff x="365760" y="3535680"/>
                        <a:chExt cx="1584960" cy="457200"/>
                      </a:xfrm>
                    </xdr:grpSpPr>
                    <xdr:sp macro="" textlink="">
                      <xdr:nvSpPr>
                        <xdr:cNvPr id="8257" name="Rectangle 8256">
                          <a:extLst>
                            <a:ext uri="{FF2B5EF4-FFF2-40B4-BE49-F238E27FC236}">
                              <a16:creationId xmlns:a16="http://schemas.microsoft.com/office/drawing/2014/main" id="{BC4D9817-62F6-E28C-A83E-9A4D041FC82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8258" name="Rectangle 8257">
                          <a:extLst>
                            <a:ext uri="{FF2B5EF4-FFF2-40B4-BE49-F238E27FC236}">
                              <a16:creationId xmlns:a16="http://schemas.microsoft.com/office/drawing/2014/main" id="{93FEA0A9-0CE0-4307-4383-F021BB7B118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8252" name="Rectangle 8251">
                      <a:extLst>
                        <a:ext uri="{FF2B5EF4-FFF2-40B4-BE49-F238E27FC236}">
                          <a16:creationId xmlns:a16="http://schemas.microsoft.com/office/drawing/2014/main" id="{11D4ADE2-20AB-6EF7-5A6A-DE9621E60143}"/>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8225" name="Group 8224">
                    <a:extLst>
                      <a:ext uri="{FF2B5EF4-FFF2-40B4-BE49-F238E27FC236}">
                        <a16:creationId xmlns:a16="http://schemas.microsoft.com/office/drawing/2014/main" id="{8101FC41-3140-E500-DB16-4051BDF7C74A}"/>
                      </a:ext>
                    </a:extLst>
                  </xdr:cNvPr>
                  <xdr:cNvGrpSpPr/>
                </xdr:nvGrpSpPr>
                <xdr:grpSpPr>
                  <a:xfrm>
                    <a:off x="8435340" y="3208020"/>
                    <a:ext cx="2743200" cy="1935480"/>
                    <a:chOff x="2948940" y="3200400"/>
                    <a:chExt cx="2743200" cy="1935480"/>
                  </a:xfrm>
                </xdr:grpSpPr>
                <xdr:grpSp>
                  <xdr:nvGrpSpPr>
                    <xdr:cNvPr id="8239" name="Group 8238">
                      <a:extLst>
                        <a:ext uri="{FF2B5EF4-FFF2-40B4-BE49-F238E27FC236}">
                          <a16:creationId xmlns:a16="http://schemas.microsoft.com/office/drawing/2014/main" id="{C0BFE351-7D37-E234-A786-AA6B38FDBB88}"/>
                        </a:ext>
                      </a:extLst>
                    </xdr:cNvPr>
                    <xdr:cNvGrpSpPr/>
                  </xdr:nvGrpSpPr>
                  <xdr:grpSpPr>
                    <a:xfrm>
                      <a:off x="2948940" y="3200400"/>
                      <a:ext cx="2743200" cy="1714500"/>
                      <a:chOff x="60960" y="3154680"/>
                      <a:chExt cx="2743200" cy="1714500"/>
                    </a:xfrm>
                  </xdr:grpSpPr>
                  <xdr:sp macro="" textlink="">
                    <xdr:nvSpPr>
                      <xdr:cNvPr id="8241" name="Rectangle 8240">
                        <a:extLst>
                          <a:ext uri="{FF2B5EF4-FFF2-40B4-BE49-F238E27FC236}">
                            <a16:creationId xmlns:a16="http://schemas.microsoft.com/office/drawing/2014/main" id="{7E001EEF-B251-831E-5E2A-BBBDD9591BBF}"/>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8242" name="Group 8241">
                        <a:extLst>
                          <a:ext uri="{FF2B5EF4-FFF2-40B4-BE49-F238E27FC236}">
                            <a16:creationId xmlns:a16="http://schemas.microsoft.com/office/drawing/2014/main" id="{C5C746AF-DB57-5A85-A0A5-24119B3C828D}"/>
                          </a:ext>
                        </a:extLst>
                      </xdr:cNvPr>
                      <xdr:cNvGrpSpPr/>
                    </xdr:nvGrpSpPr>
                    <xdr:grpSpPr>
                      <a:xfrm>
                        <a:off x="365760" y="3535680"/>
                        <a:ext cx="2438400" cy="457200"/>
                        <a:chOff x="365760" y="3535680"/>
                        <a:chExt cx="1584960" cy="457200"/>
                      </a:xfrm>
                    </xdr:grpSpPr>
                    <xdr:sp macro="" textlink="">
                      <xdr:nvSpPr>
                        <xdr:cNvPr id="8249" name="Rectangle 8248">
                          <a:extLst>
                            <a:ext uri="{FF2B5EF4-FFF2-40B4-BE49-F238E27FC236}">
                              <a16:creationId xmlns:a16="http://schemas.microsoft.com/office/drawing/2014/main" id="{21929A4E-75A9-6F79-6EA5-9463B0CE58F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8250" name="Rectangle 8249">
                          <a:extLst>
                            <a:ext uri="{FF2B5EF4-FFF2-40B4-BE49-F238E27FC236}">
                              <a16:creationId xmlns:a16="http://schemas.microsoft.com/office/drawing/2014/main" id="{5F072414-F453-69AF-406E-5983C9AC419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8243" name="Group 8242">
                        <a:extLst>
                          <a:ext uri="{FF2B5EF4-FFF2-40B4-BE49-F238E27FC236}">
                            <a16:creationId xmlns:a16="http://schemas.microsoft.com/office/drawing/2014/main" id="{A45E29AE-088C-7780-05BE-1D2F39D12BC3}"/>
                          </a:ext>
                        </a:extLst>
                      </xdr:cNvPr>
                      <xdr:cNvGrpSpPr/>
                    </xdr:nvGrpSpPr>
                    <xdr:grpSpPr>
                      <a:xfrm>
                        <a:off x="365760" y="3977640"/>
                        <a:ext cx="2438400" cy="457200"/>
                        <a:chOff x="365760" y="3535680"/>
                        <a:chExt cx="1584960" cy="457200"/>
                      </a:xfrm>
                    </xdr:grpSpPr>
                    <xdr:sp macro="" textlink="">
                      <xdr:nvSpPr>
                        <xdr:cNvPr id="8247" name="Rectangle 8246">
                          <a:extLst>
                            <a:ext uri="{FF2B5EF4-FFF2-40B4-BE49-F238E27FC236}">
                              <a16:creationId xmlns:a16="http://schemas.microsoft.com/office/drawing/2014/main" id="{90E8206E-7535-004F-381E-1273EB2BE06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8248" name="Rectangle 8247">
                          <a:extLst>
                            <a:ext uri="{FF2B5EF4-FFF2-40B4-BE49-F238E27FC236}">
                              <a16:creationId xmlns:a16="http://schemas.microsoft.com/office/drawing/2014/main" id="{1054545F-18B0-0172-9176-42AB6B061CE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8244" name="Group 8243">
                        <a:extLst>
                          <a:ext uri="{FF2B5EF4-FFF2-40B4-BE49-F238E27FC236}">
                            <a16:creationId xmlns:a16="http://schemas.microsoft.com/office/drawing/2014/main" id="{4BC07908-A286-0D6D-1B36-6B13A1A0C3C1}"/>
                          </a:ext>
                        </a:extLst>
                      </xdr:cNvPr>
                      <xdr:cNvGrpSpPr/>
                    </xdr:nvGrpSpPr>
                    <xdr:grpSpPr>
                      <a:xfrm>
                        <a:off x="365760" y="4411980"/>
                        <a:ext cx="2438400" cy="457200"/>
                        <a:chOff x="365760" y="3535680"/>
                        <a:chExt cx="1584960" cy="457200"/>
                      </a:xfrm>
                    </xdr:grpSpPr>
                    <xdr:sp macro="" textlink="">
                      <xdr:nvSpPr>
                        <xdr:cNvPr id="8245" name="Rectangle 8244">
                          <a:extLst>
                            <a:ext uri="{FF2B5EF4-FFF2-40B4-BE49-F238E27FC236}">
                              <a16:creationId xmlns:a16="http://schemas.microsoft.com/office/drawing/2014/main" id="{02436E32-D1B3-4F0E-6FDF-9E78DF7FCC6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8246" name="Rectangle 8245">
                          <a:extLst>
                            <a:ext uri="{FF2B5EF4-FFF2-40B4-BE49-F238E27FC236}">
                              <a16:creationId xmlns:a16="http://schemas.microsoft.com/office/drawing/2014/main" id="{1EFFE2F1-7AC1-430E-09EB-71B60BB726D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8240" name="Rectangle 8239">
                      <a:extLst>
                        <a:ext uri="{FF2B5EF4-FFF2-40B4-BE49-F238E27FC236}">
                          <a16:creationId xmlns:a16="http://schemas.microsoft.com/office/drawing/2014/main" id="{3D01BE2E-591C-D957-C38E-3A61980E3C72}"/>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8226" name="Group 8225">
                    <a:extLst>
                      <a:ext uri="{FF2B5EF4-FFF2-40B4-BE49-F238E27FC236}">
                        <a16:creationId xmlns:a16="http://schemas.microsoft.com/office/drawing/2014/main" id="{49E8F024-2AD1-0E11-438C-B4CE1B8316D4}"/>
                      </a:ext>
                    </a:extLst>
                  </xdr:cNvPr>
                  <xdr:cNvGrpSpPr/>
                </xdr:nvGrpSpPr>
                <xdr:grpSpPr>
                  <a:xfrm>
                    <a:off x="11170920" y="3208020"/>
                    <a:ext cx="2743200" cy="1935480"/>
                    <a:chOff x="2948940" y="3200400"/>
                    <a:chExt cx="2743200" cy="1935480"/>
                  </a:xfrm>
                </xdr:grpSpPr>
                <xdr:grpSp>
                  <xdr:nvGrpSpPr>
                    <xdr:cNvPr id="8227" name="Group 8226">
                      <a:extLst>
                        <a:ext uri="{FF2B5EF4-FFF2-40B4-BE49-F238E27FC236}">
                          <a16:creationId xmlns:a16="http://schemas.microsoft.com/office/drawing/2014/main" id="{E086FD42-5912-764B-6FCD-DE06D96F0671}"/>
                        </a:ext>
                      </a:extLst>
                    </xdr:cNvPr>
                    <xdr:cNvGrpSpPr/>
                  </xdr:nvGrpSpPr>
                  <xdr:grpSpPr>
                    <a:xfrm>
                      <a:off x="2948940" y="3200400"/>
                      <a:ext cx="2743200" cy="1714500"/>
                      <a:chOff x="60960" y="3154680"/>
                      <a:chExt cx="2743200" cy="1714500"/>
                    </a:xfrm>
                  </xdr:grpSpPr>
                  <xdr:sp macro="" textlink="">
                    <xdr:nvSpPr>
                      <xdr:cNvPr id="8229" name="Rectangle 8228">
                        <a:extLst>
                          <a:ext uri="{FF2B5EF4-FFF2-40B4-BE49-F238E27FC236}">
                            <a16:creationId xmlns:a16="http://schemas.microsoft.com/office/drawing/2014/main" id="{69B37C07-98FE-1570-8700-486B69D6FA34}"/>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8230" name="Group 8229">
                        <a:extLst>
                          <a:ext uri="{FF2B5EF4-FFF2-40B4-BE49-F238E27FC236}">
                            <a16:creationId xmlns:a16="http://schemas.microsoft.com/office/drawing/2014/main" id="{B53942A4-F40A-3B8A-C130-D384FD43178B}"/>
                          </a:ext>
                        </a:extLst>
                      </xdr:cNvPr>
                      <xdr:cNvGrpSpPr/>
                    </xdr:nvGrpSpPr>
                    <xdr:grpSpPr>
                      <a:xfrm>
                        <a:off x="365760" y="3535680"/>
                        <a:ext cx="2438400" cy="457200"/>
                        <a:chOff x="365760" y="3535680"/>
                        <a:chExt cx="1584960" cy="457200"/>
                      </a:xfrm>
                    </xdr:grpSpPr>
                    <xdr:sp macro="" textlink="">
                      <xdr:nvSpPr>
                        <xdr:cNvPr id="8237" name="Rectangle 8236">
                          <a:hlinkClick xmlns:r="http://schemas.openxmlformats.org/officeDocument/2006/relationships" r:id="rId12"/>
                          <a:extLst>
                            <a:ext uri="{FF2B5EF4-FFF2-40B4-BE49-F238E27FC236}">
                              <a16:creationId xmlns:a16="http://schemas.microsoft.com/office/drawing/2014/main" id="{2DAACAB4-06E3-F34C-724F-CA96974F2CB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8238" name="Rectangle 8237">
                          <a:hlinkClick xmlns:r="http://schemas.openxmlformats.org/officeDocument/2006/relationships" r:id="rId13"/>
                          <a:extLst>
                            <a:ext uri="{FF2B5EF4-FFF2-40B4-BE49-F238E27FC236}">
                              <a16:creationId xmlns:a16="http://schemas.microsoft.com/office/drawing/2014/main" id="{9107A3C7-9A89-D122-D7DB-84607EDAA10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8231" name="Group 8230">
                        <a:extLst>
                          <a:ext uri="{FF2B5EF4-FFF2-40B4-BE49-F238E27FC236}">
                            <a16:creationId xmlns:a16="http://schemas.microsoft.com/office/drawing/2014/main" id="{49169AD5-B8DE-37D1-C895-FAE90EA8AB6D}"/>
                          </a:ext>
                        </a:extLst>
                      </xdr:cNvPr>
                      <xdr:cNvGrpSpPr/>
                    </xdr:nvGrpSpPr>
                    <xdr:grpSpPr>
                      <a:xfrm>
                        <a:off x="365760" y="3977640"/>
                        <a:ext cx="2438400" cy="457200"/>
                        <a:chOff x="365760" y="3535680"/>
                        <a:chExt cx="1584960" cy="457200"/>
                      </a:xfrm>
                    </xdr:grpSpPr>
                    <xdr:sp macro="" textlink="">
                      <xdr:nvSpPr>
                        <xdr:cNvPr id="8235" name="Rectangle 8234">
                          <a:hlinkClick xmlns:r="http://schemas.openxmlformats.org/officeDocument/2006/relationships" r:id="rId14"/>
                          <a:extLst>
                            <a:ext uri="{FF2B5EF4-FFF2-40B4-BE49-F238E27FC236}">
                              <a16:creationId xmlns:a16="http://schemas.microsoft.com/office/drawing/2014/main" id="{52EB980E-00CF-321D-B9B0-7CB1FE0A997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8236" name="Rectangle 8235">
                          <a:extLst>
                            <a:ext uri="{FF2B5EF4-FFF2-40B4-BE49-F238E27FC236}">
                              <a16:creationId xmlns:a16="http://schemas.microsoft.com/office/drawing/2014/main" id="{F32DA523-E420-8436-B55F-FA570FC3CF8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8232" name="Group 8231">
                        <a:extLst>
                          <a:ext uri="{FF2B5EF4-FFF2-40B4-BE49-F238E27FC236}">
                            <a16:creationId xmlns:a16="http://schemas.microsoft.com/office/drawing/2014/main" id="{06C4E2D2-4D52-8419-4760-C3F2F5A7B558}"/>
                          </a:ext>
                        </a:extLst>
                      </xdr:cNvPr>
                      <xdr:cNvGrpSpPr/>
                    </xdr:nvGrpSpPr>
                    <xdr:grpSpPr>
                      <a:xfrm>
                        <a:off x="365760" y="4411980"/>
                        <a:ext cx="2438400" cy="457200"/>
                        <a:chOff x="365760" y="3535680"/>
                        <a:chExt cx="1584960" cy="457200"/>
                      </a:xfrm>
                    </xdr:grpSpPr>
                    <xdr:sp macro="" textlink="">
                      <xdr:nvSpPr>
                        <xdr:cNvPr id="8233" name="Rectangle 8232">
                          <a:extLst>
                            <a:ext uri="{FF2B5EF4-FFF2-40B4-BE49-F238E27FC236}">
                              <a16:creationId xmlns:a16="http://schemas.microsoft.com/office/drawing/2014/main" id="{23CC3F9E-40D5-DCD0-42AB-11D75CEC24E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8234" name="Rectangle 8233">
                          <a:extLst>
                            <a:ext uri="{FF2B5EF4-FFF2-40B4-BE49-F238E27FC236}">
                              <a16:creationId xmlns:a16="http://schemas.microsoft.com/office/drawing/2014/main" id="{F80796AE-0471-E369-CDBF-571A99C3213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8228" name="Rectangle 8227">
                      <a:extLst>
                        <a:ext uri="{FF2B5EF4-FFF2-40B4-BE49-F238E27FC236}">
                          <a16:creationId xmlns:a16="http://schemas.microsoft.com/office/drawing/2014/main" id="{21729848-D2F2-5A72-3A98-B2B803A35630}"/>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8221" name="Rectangle 8220">
                  <a:extLst>
                    <a:ext uri="{FF2B5EF4-FFF2-40B4-BE49-F238E27FC236}">
                      <a16:creationId xmlns:a16="http://schemas.microsoft.com/office/drawing/2014/main" id="{3BFC0A60-E378-E7B0-4167-246F75C9F01E}"/>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8215" name="Rectangle: Rounded Corners 8214">
              <a:extLst>
                <a:ext uri="{FF2B5EF4-FFF2-40B4-BE49-F238E27FC236}">
                  <a16:creationId xmlns:a16="http://schemas.microsoft.com/office/drawing/2014/main" id="{F97B39DB-C086-6D4B-2A90-C5721FB79D17}"/>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216" name="Rectangle: Rounded Corners 8215">
              <a:extLst>
                <a:ext uri="{FF2B5EF4-FFF2-40B4-BE49-F238E27FC236}">
                  <a16:creationId xmlns:a16="http://schemas.microsoft.com/office/drawing/2014/main" id="{09146F4E-6EBB-2779-3450-85BE7C81EAF8}"/>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8217" name="Rectangle: Rounded Corners 8216">
              <a:extLst>
                <a:ext uri="{FF2B5EF4-FFF2-40B4-BE49-F238E27FC236}">
                  <a16:creationId xmlns:a16="http://schemas.microsoft.com/office/drawing/2014/main" id="{3C0BCCF4-C58A-91F1-7323-26C00DB3F8B4}"/>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8212" name="Picture 8211">
            <a:hlinkClick xmlns:r="http://schemas.openxmlformats.org/officeDocument/2006/relationships" r:id="rId15"/>
            <a:extLst>
              <a:ext uri="{FF2B5EF4-FFF2-40B4-BE49-F238E27FC236}">
                <a16:creationId xmlns:a16="http://schemas.microsoft.com/office/drawing/2014/main" id="{3F466F80-3BCC-C764-0E9F-C8307939CECE}"/>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123825</xdr:colOff>
      <xdr:row>19</xdr:row>
      <xdr:rowOff>185738</xdr:rowOff>
    </xdr:from>
    <xdr:to>
      <xdr:col>14</xdr:col>
      <xdr:colOff>361950</xdr:colOff>
      <xdr:row>27</xdr:row>
      <xdr:rowOff>219075</xdr:rowOff>
    </xdr:to>
    <xdr:graphicFrame macro="">
      <xdr:nvGraphicFramePr>
        <xdr:cNvPr id="2" name="Chart 1">
          <a:extLst>
            <a:ext uri="{FF2B5EF4-FFF2-40B4-BE49-F238E27FC236}">
              <a16:creationId xmlns:a16="http://schemas.microsoft.com/office/drawing/2014/main" id="{ED4C01A3-1E53-2092-1AD0-1F97CF338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69850</xdr:colOff>
      <xdr:row>29</xdr:row>
      <xdr:rowOff>133350</xdr:rowOff>
    </xdr:from>
    <xdr:to>
      <xdr:col>14</xdr:col>
      <xdr:colOff>323850</xdr:colOff>
      <xdr:row>43</xdr:row>
      <xdr:rowOff>190500</xdr:rowOff>
    </xdr:to>
    <xdr:graphicFrame macro="">
      <xdr:nvGraphicFramePr>
        <xdr:cNvPr id="3" name="Chart 2">
          <a:extLst>
            <a:ext uri="{FF2B5EF4-FFF2-40B4-BE49-F238E27FC236}">
              <a16:creationId xmlns:a16="http://schemas.microsoft.com/office/drawing/2014/main" id="{7EAEEE42-CB99-0209-B1D2-54D8BB592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69850</xdr:colOff>
      <xdr:row>44</xdr:row>
      <xdr:rowOff>133350</xdr:rowOff>
    </xdr:from>
    <xdr:to>
      <xdr:col>14</xdr:col>
      <xdr:colOff>323850</xdr:colOff>
      <xdr:row>58</xdr:row>
      <xdr:rowOff>190500</xdr:rowOff>
    </xdr:to>
    <xdr:graphicFrame macro="">
      <xdr:nvGraphicFramePr>
        <xdr:cNvPr id="6" name="Chart 5">
          <a:extLst>
            <a:ext uri="{FF2B5EF4-FFF2-40B4-BE49-F238E27FC236}">
              <a16:creationId xmlns:a16="http://schemas.microsoft.com/office/drawing/2014/main" id="{346E0555-6F5D-48E9-AC84-519F80796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104775</xdr:rowOff>
    </xdr:from>
    <xdr:to>
      <xdr:col>24</xdr:col>
      <xdr:colOff>50813</xdr:colOff>
      <xdr:row>14</xdr:row>
      <xdr:rowOff>81129</xdr:rowOff>
    </xdr:to>
    <xdr:grpSp>
      <xdr:nvGrpSpPr>
        <xdr:cNvPr id="82" name="Group 81">
          <a:extLst>
            <a:ext uri="{FF2B5EF4-FFF2-40B4-BE49-F238E27FC236}">
              <a16:creationId xmlns:a16="http://schemas.microsoft.com/office/drawing/2014/main" id="{E89E9B94-18C1-436B-B4BD-B79F3B7E4C12}"/>
            </a:ext>
          </a:extLst>
        </xdr:cNvPr>
        <xdr:cNvGrpSpPr/>
      </xdr:nvGrpSpPr>
      <xdr:grpSpPr>
        <a:xfrm>
          <a:off x="0" y="104775"/>
          <a:ext cx="23196563" cy="2643354"/>
          <a:chOff x="0" y="25400"/>
          <a:chExt cx="18808713" cy="2465554"/>
        </a:xfrm>
      </xdr:grpSpPr>
      <xdr:grpSp>
        <xdr:nvGrpSpPr>
          <xdr:cNvPr id="83" name="Group 82">
            <a:extLst>
              <a:ext uri="{FF2B5EF4-FFF2-40B4-BE49-F238E27FC236}">
                <a16:creationId xmlns:a16="http://schemas.microsoft.com/office/drawing/2014/main" id="{163F9E71-B634-0DB2-820E-CD4DA83C288F}"/>
              </a:ext>
            </a:extLst>
          </xdr:cNvPr>
          <xdr:cNvGrpSpPr/>
        </xdr:nvGrpSpPr>
        <xdr:grpSpPr>
          <a:xfrm>
            <a:off x="0" y="268648"/>
            <a:ext cx="18808713" cy="2222306"/>
            <a:chOff x="-2" y="774501"/>
            <a:chExt cx="14238616" cy="2312445"/>
          </a:xfrm>
        </xdr:grpSpPr>
        <xdr:sp macro="" textlink="">
          <xdr:nvSpPr>
            <xdr:cNvPr id="85" name="Rectangle: Rounded Corners 84">
              <a:extLst>
                <a:ext uri="{FF2B5EF4-FFF2-40B4-BE49-F238E27FC236}">
                  <a16:creationId xmlns:a16="http://schemas.microsoft.com/office/drawing/2014/main" id="{09C4D756-01A8-5D89-910D-A755E09E6634}"/>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86" name="Group 85">
              <a:extLst>
                <a:ext uri="{FF2B5EF4-FFF2-40B4-BE49-F238E27FC236}">
                  <a16:creationId xmlns:a16="http://schemas.microsoft.com/office/drawing/2014/main" id="{75C020B2-074F-8F20-24CA-29A7FE806EF1}"/>
                </a:ext>
              </a:extLst>
            </xdr:cNvPr>
            <xdr:cNvGrpSpPr/>
          </xdr:nvGrpSpPr>
          <xdr:grpSpPr>
            <a:xfrm>
              <a:off x="-2" y="977052"/>
              <a:ext cx="14238606" cy="2109894"/>
              <a:chOff x="15238" y="3223260"/>
              <a:chExt cx="14214009" cy="2072640"/>
            </a:xfrm>
          </xdr:grpSpPr>
          <xdr:sp macro="" textlink="">
            <xdr:nvSpPr>
              <xdr:cNvPr id="90" name="Rectangle 89">
                <a:extLst>
                  <a:ext uri="{FF2B5EF4-FFF2-40B4-BE49-F238E27FC236}">
                    <a16:creationId xmlns:a16="http://schemas.microsoft.com/office/drawing/2014/main" id="{2CE8AB57-7860-140A-962C-A3D6D795740C}"/>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91" name="Group 90">
                <a:extLst>
                  <a:ext uri="{FF2B5EF4-FFF2-40B4-BE49-F238E27FC236}">
                    <a16:creationId xmlns:a16="http://schemas.microsoft.com/office/drawing/2014/main" id="{353D1496-4780-943C-E297-6D15FAC772F9}"/>
                  </a:ext>
                </a:extLst>
              </xdr:cNvPr>
              <xdr:cNvGrpSpPr/>
            </xdr:nvGrpSpPr>
            <xdr:grpSpPr>
              <a:xfrm>
                <a:off x="121920" y="3291840"/>
                <a:ext cx="13708380" cy="1950720"/>
                <a:chOff x="205740" y="2491740"/>
                <a:chExt cx="13708380" cy="1950720"/>
              </a:xfrm>
            </xdr:grpSpPr>
            <xdr:grpSp>
              <xdr:nvGrpSpPr>
                <xdr:cNvPr id="92" name="Group 91">
                  <a:extLst>
                    <a:ext uri="{FF2B5EF4-FFF2-40B4-BE49-F238E27FC236}">
                      <a16:creationId xmlns:a16="http://schemas.microsoft.com/office/drawing/2014/main" id="{E30E805F-E180-BB50-E1FE-506190DE6C56}"/>
                    </a:ext>
                  </a:extLst>
                </xdr:cNvPr>
                <xdr:cNvGrpSpPr/>
              </xdr:nvGrpSpPr>
              <xdr:grpSpPr>
                <a:xfrm>
                  <a:off x="205740" y="2491740"/>
                  <a:ext cx="13708380" cy="1950720"/>
                  <a:chOff x="205740" y="3192780"/>
                  <a:chExt cx="13708380" cy="1950720"/>
                </a:xfrm>
              </xdr:grpSpPr>
              <xdr:grpSp>
                <xdr:nvGrpSpPr>
                  <xdr:cNvPr id="94" name="Group 93">
                    <a:extLst>
                      <a:ext uri="{FF2B5EF4-FFF2-40B4-BE49-F238E27FC236}">
                        <a16:creationId xmlns:a16="http://schemas.microsoft.com/office/drawing/2014/main" id="{0257C1E6-642D-812D-14A1-F636CAE1D85A}"/>
                      </a:ext>
                    </a:extLst>
                  </xdr:cNvPr>
                  <xdr:cNvGrpSpPr/>
                </xdr:nvGrpSpPr>
                <xdr:grpSpPr>
                  <a:xfrm>
                    <a:off x="2948940" y="3200400"/>
                    <a:ext cx="2743200" cy="1935480"/>
                    <a:chOff x="2948940" y="3200400"/>
                    <a:chExt cx="2743200" cy="1935480"/>
                  </a:xfrm>
                </xdr:grpSpPr>
                <xdr:grpSp>
                  <xdr:nvGrpSpPr>
                    <xdr:cNvPr id="147" name="Group 146">
                      <a:extLst>
                        <a:ext uri="{FF2B5EF4-FFF2-40B4-BE49-F238E27FC236}">
                          <a16:creationId xmlns:a16="http://schemas.microsoft.com/office/drawing/2014/main" id="{08A982BC-B914-B413-4E83-1C59E58776C8}"/>
                        </a:ext>
                      </a:extLst>
                    </xdr:cNvPr>
                    <xdr:cNvGrpSpPr/>
                  </xdr:nvGrpSpPr>
                  <xdr:grpSpPr>
                    <a:xfrm>
                      <a:off x="2948940" y="3200400"/>
                      <a:ext cx="2743200" cy="1714500"/>
                      <a:chOff x="60960" y="3154680"/>
                      <a:chExt cx="2743200" cy="1714500"/>
                    </a:xfrm>
                  </xdr:grpSpPr>
                  <xdr:sp macro="" textlink="">
                    <xdr:nvSpPr>
                      <xdr:cNvPr id="149" name="Rectangle 148">
                        <a:extLst>
                          <a:ext uri="{FF2B5EF4-FFF2-40B4-BE49-F238E27FC236}">
                            <a16:creationId xmlns:a16="http://schemas.microsoft.com/office/drawing/2014/main" id="{73EEAA3F-92E4-6DFE-A1E4-1698ADC7888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150" name="Group 149">
                        <a:extLst>
                          <a:ext uri="{FF2B5EF4-FFF2-40B4-BE49-F238E27FC236}">
                            <a16:creationId xmlns:a16="http://schemas.microsoft.com/office/drawing/2014/main" id="{02FF1781-7EFF-8B2C-7BBE-8CEFBD7AC6A3}"/>
                          </a:ext>
                        </a:extLst>
                      </xdr:cNvPr>
                      <xdr:cNvGrpSpPr/>
                    </xdr:nvGrpSpPr>
                    <xdr:grpSpPr>
                      <a:xfrm>
                        <a:off x="365760" y="3535680"/>
                        <a:ext cx="2438400" cy="457200"/>
                        <a:chOff x="365760" y="3535680"/>
                        <a:chExt cx="1584960" cy="457200"/>
                      </a:xfrm>
                    </xdr:grpSpPr>
                    <xdr:sp macro="" textlink="">
                      <xdr:nvSpPr>
                        <xdr:cNvPr id="157" name="Rectangle 156">
                          <a:hlinkClick xmlns:r="http://schemas.openxmlformats.org/officeDocument/2006/relationships" r:id="rId4"/>
                          <a:extLst>
                            <a:ext uri="{FF2B5EF4-FFF2-40B4-BE49-F238E27FC236}">
                              <a16:creationId xmlns:a16="http://schemas.microsoft.com/office/drawing/2014/main" id="{986320E5-CED8-FC55-DB52-28F0FE5372C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158" name="Rectangle 157">
                          <a:hlinkClick xmlns:r="http://schemas.openxmlformats.org/officeDocument/2006/relationships" r:id="rId4"/>
                          <a:extLst>
                            <a:ext uri="{FF2B5EF4-FFF2-40B4-BE49-F238E27FC236}">
                              <a16:creationId xmlns:a16="http://schemas.microsoft.com/office/drawing/2014/main" id="{065F4D36-FDE2-9DAB-7B46-2AA30D9256B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151" name="Group 150">
                        <a:extLst>
                          <a:ext uri="{FF2B5EF4-FFF2-40B4-BE49-F238E27FC236}">
                            <a16:creationId xmlns:a16="http://schemas.microsoft.com/office/drawing/2014/main" id="{8A329EAA-F37B-D598-8BD8-69B26A43AB81}"/>
                          </a:ext>
                        </a:extLst>
                      </xdr:cNvPr>
                      <xdr:cNvGrpSpPr/>
                    </xdr:nvGrpSpPr>
                    <xdr:grpSpPr>
                      <a:xfrm>
                        <a:off x="365760" y="3977640"/>
                        <a:ext cx="2438400" cy="457200"/>
                        <a:chOff x="365760" y="3535680"/>
                        <a:chExt cx="1584960" cy="457200"/>
                      </a:xfrm>
                    </xdr:grpSpPr>
                    <xdr:sp macro="" textlink="">
                      <xdr:nvSpPr>
                        <xdr:cNvPr id="155" name="Rectangle 154">
                          <a:extLst>
                            <a:ext uri="{FF2B5EF4-FFF2-40B4-BE49-F238E27FC236}">
                              <a16:creationId xmlns:a16="http://schemas.microsoft.com/office/drawing/2014/main" id="{4B64565F-A93B-6E28-11CB-6A1FC61CC6F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156" name="Rectangle 155">
                          <a:hlinkClick xmlns:r="http://schemas.openxmlformats.org/officeDocument/2006/relationships" r:id="rId5"/>
                          <a:extLst>
                            <a:ext uri="{FF2B5EF4-FFF2-40B4-BE49-F238E27FC236}">
                              <a16:creationId xmlns:a16="http://schemas.microsoft.com/office/drawing/2014/main" id="{75538727-91C1-7CD3-92FD-C39456BD87E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152" name="Group 151">
                        <a:extLst>
                          <a:ext uri="{FF2B5EF4-FFF2-40B4-BE49-F238E27FC236}">
                            <a16:creationId xmlns:a16="http://schemas.microsoft.com/office/drawing/2014/main" id="{F40E4439-C5AD-1716-D871-C3129ABA2236}"/>
                          </a:ext>
                        </a:extLst>
                      </xdr:cNvPr>
                      <xdr:cNvGrpSpPr/>
                    </xdr:nvGrpSpPr>
                    <xdr:grpSpPr>
                      <a:xfrm>
                        <a:off x="365760" y="4411980"/>
                        <a:ext cx="2438400" cy="457200"/>
                        <a:chOff x="365760" y="3535680"/>
                        <a:chExt cx="1584960" cy="457200"/>
                      </a:xfrm>
                    </xdr:grpSpPr>
                    <xdr:sp macro="" textlink="">
                      <xdr:nvSpPr>
                        <xdr:cNvPr id="153" name="Rectangle 152">
                          <a:hlinkClick xmlns:r="http://schemas.openxmlformats.org/officeDocument/2006/relationships" r:id="rId6"/>
                          <a:extLst>
                            <a:ext uri="{FF2B5EF4-FFF2-40B4-BE49-F238E27FC236}">
                              <a16:creationId xmlns:a16="http://schemas.microsoft.com/office/drawing/2014/main" id="{AC49562C-6B18-2F49-D726-EFFABFCE909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154" name="Rectangle 153">
                          <a:extLst>
                            <a:ext uri="{FF2B5EF4-FFF2-40B4-BE49-F238E27FC236}">
                              <a16:creationId xmlns:a16="http://schemas.microsoft.com/office/drawing/2014/main" id="{5D3C5082-7384-A963-8FB1-D875D42A08A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148" name="Rectangle 147">
                      <a:extLst>
                        <a:ext uri="{FF2B5EF4-FFF2-40B4-BE49-F238E27FC236}">
                          <a16:creationId xmlns:a16="http://schemas.microsoft.com/office/drawing/2014/main" id="{C2A21F6B-9771-2D61-D1C7-94F7430C7642}"/>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95" name="Group 94">
                    <a:extLst>
                      <a:ext uri="{FF2B5EF4-FFF2-40B4-BE49-F238E27FC236}">
                        <a16:creationId xmlns:a16="http://schemas.microsoft.com/office/drawing/2014/main" id="{3152E487-C375-D8C7-86AA-E62C2ADAF877}"/>
                      </a:ext>
                    </a:extLst>
                  </xdr:cNvPr>
                  <xdr:cNvGrpSpPr/>
                </xdr:nvGrpSpPr>
                <xdr:grpSpPr>
                  <a:xfrm>
                    <a:off x="205740" y="3192780"/>
                    <a:ext cx="2743200" cy="1943100"/>
                    <a:chOff x="205740" y="3192780"/>
                    <a:chExt cx="2743200" cy="1943100"/>
                  </a:xfrm>
                </xdr:grpSpPr>
                <xdr:grpSp>
                  <xdr:nvGrpSpPr>
                    <xdr:cNvPr id="135" name="Group 134">
                      <a:extLst>
                        <a:ext uri="{FF2B5EF4-FFF2-40B4-BE49-F238E27FC236}">
                          <a16:creationId xmlns:a16="http://schemas.microsoft.com/office/drawing/2014/main" id="{3AE6CFDF-927F-17CE-A50A-C684126E1065}"/>
                        </a:ext>
                      </a:extLst>
                    </xdr:cNvPr>
                    <xdr:cNvGrpSpPr/>
                  </xdr:nvGrpSpPr>
                  <xdr:grpSpPr>
                    <a:xfrm>
                      <a:off x="205740" y="3192780"/>
                      <a:ext cx="2743200" cy="1714500"/>
                      <a:chOff x="60960" y="3154680"/>
                      <a:chExt cx="2743200" cy="1714500"/>
                    </a:xfrm>
                  </xdr:grpSpPr>
                  <xdr:sp macro="" textlink="">
                    <xdr:nvSpPr>
                      <xdr:cNvPr id="137" name="Rectangle 136">
                        <a:extLst>
                          <a:ext uri="{FF2B5EF4-FFF2-40B4-BE49-F238E27FC236}">
                            <a16:creationId xmlns:a16="http://schemas.microsoft.com/office/drawing/2014/main" id="{90997516-A6CE-6BF8-E10A-AFA97956B500}"/>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138" name="Group 137">
                        <a:extLst>
                          <a:ext uri="{FF2B5EF4-FFF2-40B4-BE49-F238E27FC236}">
                            <a16:creationId xmlns:a16="http://schemas.microsoft.com/office/drawing/2014/main" id="{E686B56F-0DB9-E55B-A4F4-FDC16F4D9B36}"/>
                          </a:ext>
                        </a:extLst>
                      </xdr:cNvPr>
                      <xdr:cNvGrpSpPr/>
                    </xdr:nvGrpSpPr>
                    <xdr:grpSpPr>
                      <a:xfrm>
                        <a:off x="365760" y="3535680"/>
                        <a:ext cx="2438400" cy="457200"/>
                        <a:chOff x="365760" y="3535680"/>
                        <a:chExt cx="1584960" cy="457200"/>
                      </a:xfrm>
                    </xdr:grpSpPr>
                    <xdr:sp macro="" textlink="">
                      <xdr:nvSpPr>
                        <xdr:cNvPr id="145" name="Rectangle 144">
                          <a:hlinkClick xmlns:r="http://schemas.openxmlformats.org/officeDocument/2006/relationships" r:id="rId7"/>
                          <a:extLst>
                            <a:ext uri="{FF2B5EF4-FFF2-40B4-BE49-F238E27FC236}">
                              <a16:creationId xmlns:a16="http://schemas.microsoft.com/office/drawing/2014/main" id="{DF948EE5-76A2-C926-F729-23B5C706695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146" name="Rectangle 145">
                          <a:hlinkClick xmlns:r="http://schemas.openxmlformats.org/officeDocument/2006/relationships" r:id="rId8"/>
                          <a:extLst>
                            <a:ext uri="{FF2B5EF4-FFF2-40B4-BE49-F238E27FC236}">
                              <a16:creationId xmlns:a16="http://schemas.microsoft.com/office/drawing/2014/main" id="{D47EF295-A564-D54C-925A-B0DAEC75BBA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139" name="Group 138">
                        <a:extLst>
                          <a:ext uri="{FF2B5EF4-FFF2-40B4-BE49-F238E27FC236}">
                            <a16:creationId xmlns:a16="http://schemas.microsoft.com/office/drawing/2014/main" id="{378A5C4A-AE59-9CC8-1B27-3E36764C3126}"/>
                          </a:ext>
                        </a:extLst>
                      </xdr:cNvPr>
                      <xdr:cNvGrpSpPr/>
                    </xdr:nvGrpSpPr>
                    <xdr:grpSpPr>
                      <a:xfrm>
                        <a:off x="365760" y="3977640"/>
                        <a:ext cx="2438400" cy="457200"/>
                        <a:chOff x="365760" y="3535680"/>
                        <a:chExt cx="1584960" cy="457200"/>
                      </a:xfrm>
                    </xdr:grpSpPr>
                    <xdr:sp macro="" textlink="">
                      <xdr:nvSpPr>
                        <xdr:cNvPr id="143" name="Rectangle 142">
                          <a:hlinkClick xmlns:r="http://schemas.openxmlformats.org/officeDocument/2006/relationships" r:id="rId9"/>
                          <a:extLst>
                            <a:ext uri="{FF2B5EF4-FFF2-40B4-BE49-F238E27FC236}">
                              <a16:creationId xmlns:a16="http://schemas.microsoft.com/office/drawing/2014/main" id="{1D851E87-C20E-1A68-4CCA-015A7B1AB59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144" name="Rectangle 143">
                          <a:hlinkClick xmlns:r="http://schemas.openxmlformats.org/officeDocument/2006/relationships" r:id="rId10"/>
                          <a:extLst>
                            <a:ext uri="{FF2B5EF4-FFF2-40B4-BE49-F238E27FC236}">
                              <a16:creationId xmlns:a16="http://schemas.microsoft.com/office/drawing/2014/main" id="{CD1E582A-85E9-7F40-4343-141AC8BF18E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140" name="Group 139">
                        <a:extLst>
                          <a:ext uri="{FF2B5EF4-FFF2-40B4-BE49-F238E27FC236}">
                            <a16:creationId xmlns:a16="http://schemas.microsoft.com/office/drawing/2014/main" id="{EF5D4B50-5459-CCEB-508E-A33A581FD626}"/>
                          </a:ext>
                        </a:extLst>
                      </xdr:cNvPr>
                      <xdr:cNvGrpSpPr/>
                    </xdr:nvGrpSpPr>
                    <xdr:grpSpPr>
                      <a:xfrm>
                        <a:off x="365760" y="4411980"/>
                        <a:ext cx="2438400" cy="457200"/>
                        <a:chOff x="365760" y="3535680"/>
                        <a:chExt cx="1584960" cy="457200"/>
                      </a:xfrm>
                    </xdr:grpSpPr>
                    <xdr:sp macro="" textlink="">
                      <xdr:nvSpPr>
                        <xdr:cNvPr id="141" name="Rectangle 140">
                          <a:hlinkClick xmlns:r="http://schemas.openxmlformats.org/officeDocument/2006/relationships" r:id="rId11"/>
                          <a:extLst>
                            <a:ext uri="{FF2B5EF4-FFF2-40B4-BE49-F238E27FC236}">
                              <a16:creationId xmlns:a16="http://schemas.microsoft.com/office/drawing/2014/main" id="{251AB7D7-8735-6208-B167-701CC3CC1CE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142" name="Rectangle 141">
                          <a:hlinkClick xmlns:r="http://schemas.openxmlformats.org/officeDocument/2006/relationships" r:id="rId12"/>
                          <a:extLst>
                            <a:ext uri="{FF2B5EF4-FFF2-40B4-BE49-F238E27FC236}">
                              <a16:creationId xmlns:a16="http://schemas.microsoft.com/office/drawing/2014/main" id="{666A82E8-5BDC-3EAE-AB73-A42E0B8BAFE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136" name="Rectangle 135">
                      <a:hlinkClick xmlns:r="http://schemas.openxmlformats.org/officeDocument/2006/relationships" r:id="rId7"/>
                      <a:extLst>
                        <a:ext uri="{FF2B5EF4-FFF2-40B4-BE49-F238E27FC236}">
                          <a16:creationId xmlns:a16="http://schemas.microsoft.com/office/drawing/2014/main" id="{EBA2B3AD-D591-53D2-BD85-941B9095917D}"/>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96" name="Group 95">
                    <a:extLst>
                      <a:ext uri="{FF2B5EF4-FFF2-40B4-BE49-F238E27FC236}">
                        <a16:creationId xmlns:a16="http://schemas.microsoft.com/office/drawing/2014/main" id="{A83A9DBC-6461-2B92-6441-C04DB7DA13E5}"/>
                      </a:ext>
                    </a:extLst>
                  </xdr:cNvPr>
                  <xdr:cNvGrpSpPr/>
                </xdr:nvGrpSpPr>
                <xdr:grpSpPr>
                  <a:xfrm>
                    <a:off x="5692140" y="3208020"/>
                    <a:ext cx="2743200" cy="1935480"/>
                    <a:chOff x="2948940" y="3200400"/>
                    <a:chExt cx="2743200" cy="1935480"/>
                  </a:xfrm>
                </xdr:grpSpPr>
                <xdr:grpSp>
                  <xdr:nvGrpSpPr>
                    <xdr:cNvPr id="123" name="Group 122">
                      <a:extLst>
                        <a:ext uri="{FF2B5EF4-FFF2-40B4-BE49-F238E27FC236}">
                          <a16:creationId xmlns:a16="http://schemas.microsoft.com/office/drawing/2014/main" id="{C8CD317F-E48A-12A8-CFB0-3BB9279C0D60}"/>
                        </a:ext>
                      </a:extLst>
                    </xdr:cNvPr>
                    <xdr:cNvGrpSpPr/>
                  </xdr:nvGrpSpPr>
                  <xdr:grpSpPr>
                    <a:xfrm>
                      <a:off x="2948940" y="3200400"/>
                      <a:ext cx="2743200" cy="1714500"/>
                      <a:chOff x="60960" y="3154680"/>
                      <a:chExt cx="2743200" cy="1714500"/>
                    </a:xfrm>
                  </xdr:grpSpPr>
                  <xdr:sp macro="" textlink="">
                    <xdr:nvSpPr>
                      <xdr:cNvPr id="125" name="Rectangle 124">
                        <a:extLst>
                          <a:ext uri="{FF2B5EF4-FFF2-40B4-BE49-F238E27FC236}">
                            <a16:creationId xmlns:a16="http://schemas.microsoft.com/office/drawing/2014/main" id="{F663C4B0-A500-B987-89DA-BECA9D26F5AC}"/>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126" name="Group 125">
                        <a:extLst>
                          <a:ext uri="{FF2B5EF4-FFF2-40B4-BE49-F238E27FC236}">
                            <a16:creationId xmlns:a16="http://schemas.microsoft.com/office/drawing/2014/main" id="{B5C8DDA5-7013-1315-C994-0E02DA9193DC}"/>
                          </a:ext>
                        </a:extLst>
                      </xdr:cNvPr>
                      <xdr:cNvGrpSpPr/>
                    </xdr:nvGrpSpPr>
                    <xdr:grpSpPr>
                      <a:xfrm>
                        <a:off x="365760" y="3535680"/>
                        <a:ext cx="2438400" cy="457200"/>
                        <a:chOff x="365760" y="3535680"/>
                        <a:chExt cx="1584960" cy="457200"/>
                      </a:xfrm>
                    </xdr:grpSpPr>
                    <xdr:sp macro="" textlink="">
                      <xdr:nvSpPr>
                        <xdr:cNvPr id="133" name="Rectangle 132">
                          <a:hlinkClick xmlns:r="http://schemas.openxmlformats.org/officeDocument/2006/relationships" r:id="rId13"/>
                          <a:extLst>
                            <a:ext uri="{FF2B5EF4-FFF2-40B4-BE49-F238E27FC236}">
                              <a16:creationId xmlns:a16="http://schemas.microsoft.com/office/drawing/2014/main" id="{B632F2B4-6500-12B3-F0FE-6113A96913F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134" name="Rectangle 133">
                          <a:hlinkClick xmlns:r="http://schemas.openxmlformats.org/officeDocument/2006/relationships" r:id="rId14"/>
                          <a:extLst>
                            <a:ext uri="{FF2B5EF4-FFF2-40B4-BE49-F238E27FC236}">
                              <a16:creationId xmlns:a16="http://schemas.microsoft.com/office/drawing/2014/main" id="{7EA9F56B-7117-757F-05A0-41D60B40FC1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127" name="Group 126">
                        <a:extLst>
                          <a:ext uri="{FF2B5EF4-FFF2-40B4-BE49-F238E27FC236}">
                            <a16:creationId xmlns:a16="http://schemas.microsoft.com/office/drawing/2014/main" id="{F5F404F6-106F-5410-55FC-E77B00B966AA}"/>
                          </a:ext>
                        </a:extLst>
                      </xdr:cNvPr>
                      <xdr:cNvGrpSpPr/>
                    </xdr:nvGrpSpPr>
                    <xdr:grpSpPr>
                      <a:xfrm>
                        <a:off x="365760" y="3977640"/>
                        <a:ext cx="2438400" cy="457200"/>
                        <a:chOff x="365760" y="3535680"/>
                        <a:chExt cx="1584960" cy="457200"/>
                      </a:xfrm>
                    </xdr:grpSpPr>
                    <xdr:sp macro="" textlink="">
                      <xdr:nvSpPr>
                        <xdr:cNvPr id="131" name="Rectangle 130">
                          <a:extLst>
                            <a:ext uri="{FF2B5EF4-FFF2-40B4-BE49-F238E27FC236}">
                              <a16:creationId xmlns:a16="http://schemas.microsoft.com/office/drawing/2014/main" id="{3535ED17-664C-EEA1-F18B-32054766831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132" name="Rectangle 131">
                          <a:extLst>
                            <a:ext uri="{FF2B5EF4-FFF2-40B4-BE49-F238E27FC236}">
                              <a16:creationId xmlns:a16="http://schemas.microsoft.com/office/drawing/2014/main" id="{9B0836D9-0C69-EDDE-EABD-9868A1742FA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128" name="Group 127">
                        <a:extLst>
                          <a:ext uri="{FF2B5EF4-FFF2-40B4-BE49-F238E27FC236}">
                            <a16:creationId xmlns:a16="http://schemas.microsoft.com/office/drawing/2014/main" id="{7CABF637-0B30-C1C2-68B3-20F6DC8E6CA3}"/>
                          </a:ext>
                        </a:extLst>
                      </xdr:cNvPr>
                      <xdr:cNvGrpSpPr/>
                    </xdr:nvGrpSpPr>
                    <xdr:grpSpPr>
                      <a:xfrm>
                        <a:off x="365760" y="4411980"/>
                        <a:ext cx="2438400" cy="457200"/>
                        <a:chOff x="365760" y="3535680"/>
                        <a:chExt cx="1584960" cy="457200"/>
                      </a:xfrm>
                    </xdr:grpSpPr>
                    <xdr:sp macro="" textlink="">
                      <xdr:nvSpPr>
                        <xdr:cNvPr id="129" name="Rectangle 128">
                          <a:extLst>
                            <a:ext uri="{FF2B5EF4-FFF2-40B4-BE49-F238E27FC236}">
                              <a16:creationId xmlns:a16="http://schemas.microsoft.com/office/drawing/2014/main" id="{57390770-8FAA-769C-4ABC-290A2AA7A4D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130" name="Rectangle 129">
                          <a:extLst>
                            <a:ext uri="{FF2B5EF4-FFF2-40B4-BE49-F238E27FC236}">
                              <a16:creationId xmlns:a16="http://schemas.microsoft.com/office/drawing/2014/main" id="{5C61C696-44F3-24C6-0990-05D5F492EE9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124" name="Rectangle 123">
                      <a:extLst>
                        <a:ext uri="{FF2B5EF4-FFF2-40B4-BE49-F238E27FC236}">
                          <a16:creationId xmlns:a16="http://schemas.microsoft.com/office/drawing/2014/main" id="{F6DED41C-1C15-BFDC-90EA-74651A7AD16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97" name="Group 96">
                    <a:extLst>
                      <a:ext uri="{FF2B5EF4-FFF2-40B4-BE49-F238E27FC236}">
                        <a16:creationId xmlns:a16="http://schemas.microsoft.com/office/drawing/2014/main" id="{5AF72B60-BF02-D940-B2A5-F769E6AC2D29}"/>
                      </a:ext>
                    </a:extLst>
                  </xdr:cNvPr>
                  <xdr:cNvGrpSpPr/>
                </xdr:nvGrpSpPr>
                <xdr:grpSpPr>
                  <a:xfrm>
                    <a:off x="8435340" y="3208020"/>
                    <a:ext cx="2743200" cy="1935480"/>
                    <a:chOff x="2948940" y="3200400"/>
                    <a:chExt cx="2743200" cy="1935480"/>
                  </a:xfrm>
                </xdr:grpSpPr>
                <xdr:grpSp>
                  <xdr:nvGrpSpPr>
                    <xdr:cNvPr id="111" name="Group 110">
                      <a:extLst>
                        <a:ext uri="{FF2B5EF4-FFF2-40B4-BE49-F238E27FC236}">
                          <a16:creationId xmlns:a16="http://schemas.microsoft.com/office/drawing/2014/main" id="{1F8DBCB2-5839-34D2-BD4E-2D8F88528343}"/>
                        </a:ext>
                      </a:extLst>
                    </xdr:cNvPr>
                    <xdr:cNvGrpSpPr/>
                  </xdr:nvGrpSpPr>
                  <xdr:grpSpPr>
                    <a:xfrm>
                      <a:off x="2948940" y="3200400"/>
                      <a:ext cx="2743200" cy="1714500"/>
                      <a:chOff x="60960" y="3154680"/>
                      <a:chExt cx="2743200" cy="1714500"/>
                    </a:xfrm>
                  </xdr:grpSpPr>
                  <xdr:sp macro="" textlink="">
                    <xdr:nvSpPr>
                      <xdr:cNvPr id="113" name="Rectangle 112">
                        <a:extLst>
                          <a:ext uri="{FF2B5EF4-FFF2-40B4-BE49-F238E27FC236}">
                            <a16:creationId xmlns:a16="http://schemas.microsoft.com/office/drawing/2014/main" id="{AD62FE11-E2D6-9B6E-0D7B-8548EF65CE13}"/>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114" name="Group 113">
                        <a:extLst>
                          <a:ext uri="{FF2B5EF4-FFF2-40B4-BE49-F238E27FC236}">
                            <a16:creationId xmlns:a16="http://schemas.microsoft.com/office/drawing/2014/main" id="{380A8751-F726-20F4-1673-22445CE69492}"/>
                          </a:ext>
                        </a:extLst>
                      </xdr:cNvPr>
                      <xdr:cNvGrpSpPr/>
                    </xdr:nvGrpSpPr>
                    <xdr:grpSpPr>
                      <a:xfrm>
                        <a:off x="365760" y="3535680"/>
                        <a:ext cx="2438400" cy="457200"/>
                        <a:chOff x="365760" y="3535680"/>
                        <a:chExt cx="1584960" cy="457200"/>
                      </a:xfrm>
                    </xdr:grpSpPr>
                    <xdr:sp macro="" textlink="">
                      <xdr:nvSpPr>
                        <xdr:cNvPr id="121" name="Rectangle 120">
                          <a:extLst>
                            <a:ext uri="{FF2B5EF4-FFF2-40B4-BE49-F238E27FC236}">
                              <a16:creationId xmlns:a16="http://schemas.microsoft.com/office/drawing/2014/main" id="{BD9FC0F4-E621-83BE-4D7B-70EEFAF2CF6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122" name="Rectangle 121">
                          <a:extLst>
                            <a:ext uri="{FF2B5EF4-FFF2-40B4-BE49-F238E27FC236}">
                              <a16:creationId xmlns:a16="http://schemas.microsoft.com/office/drawing/2014/main" id="{46CC76DD-37EC-458F-4D63-69E6599DFFA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115" name="Group 114">
                        <a:extLst>
                          <a:ext uri="{FF2B5EF4-FFF2-40B4-BE49-F238E27FC236}">
                            <a16:creationId xmlns:a16="http://schemas.microsoft.com/office/drawing/2014/main" id="{A67A09FD-A843-A847-92D5-44C6AA9F1491}"/>
                          </a:ext>
                        </a:extLst>
                      </xdr:cNvPr>
                      <xdr:cNvGrpSpPr/>
                    </xdr:nvGrpSpPr>
                    <xdr:grpSpPr>
                      <a:xfrm>
                        <a:off x="365760" y="3977640"/>
                        <a:ext cx="2438400" cy="457200"/>
                        <a:chOff x="365760" y="3535680"/>
                        <a:chExt cx="1584960" cy="457200"/>
                      </a:xfrm>
                    </xdr:grpSpPr>
                    <xdr:sp macro="" textlink="">
                      <xdr:nvSpPr>
                        <xdr:cNvPr id="119" name="Rectangle 118">
                          <a:extLst>
                            <a:ext uri="{FF2B5EF4-FFF2-40B4-BE49-F238E27FC236}">
                              <a16:creationId xmlns:a16="http://schemas.microsoft.com/office/drawing/2014/main" id="{15D94E2D-74D2-F4BE-B3A8-D03E2F5B000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120" name="Rectangle 119">
                          <a:extLst>
                            <a:ext uri="{FF2B5EF4-FFF2-40B4-BE49-F238E27FC236}">
                              <a16:creationId xmlns:a16="http://schemas.microsoft.com/office/drawing/2014/main" id="{EF285491-1E7F-7C8A-B32A-47F0529A180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116" name="Group 115">
                        <a:extLst>
                          <a:ext uri="{FF2B5EF4-FFF2-40B4-BE49-F238E27FC236}">
                            <a16:creationId xmlns:a16="http://schemas.microsoft.com/office/drawing/2014/main" id="{D7FC72F6-0CB8-28F2-489C-A28085719D95}"/>
                          </a:ext>
                        </a:extLst>
                      </xdr:cNvPr>
                      <xdr:cNvGrpSpPr/>
                    </xdr:nvGrpSpPr>
                    <xdr:grpSpPr>
                      <a:xfrm>
                        <a:off x="365760" y="4411980"/>
                        <a:ext cx="2438400" cy="457200"/>
                        <a:chOff x="365760" y="3535680"/>
                        <a:chExt cx="1584960" cy="457200"/>
                      </a:xfrm>
                    </xdr:grpSpPr>
                    <xdr:sp macro="" textlink="">
                      <xdr:nvSpPr>
                        <xdr:cNvPr id="117" name="Rectangle 116">
                          <a:extLst>
                            <a:ext uri="{FF2B5EF4-FFF2-40B4-BE49-F238E27FC236}">
                              <a16:creationId xmlns:a16="http://schemas.microsoft.com/office/drawing/2014/main" id="{93A4E25E-795A-E5C8-6323-6CCECE93869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118" name="Rectangle 117">
                          <a:extLst>
                            <a:ext uri="{FF2B5EF4-FFF2-40B4-BE49-F238E27FC236}">
                              <a16:creationId xmlns:a16="http://schemas.microsoft.com/office/drawing/2014/main" id="{C4E91A3C-D996-01A1-28CE-41FDDCBB0EA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12" name="Rectangle 111">
                      <a:extLst>
                        <a:ext uri="{FF2B5EF4-FFF2-40B4-BE49-F238E27FC236}">
                          <a16:creationId xmlns:a16="http://schemas.microsoft.com/office/drawing/2014/main" id="{70183ABD-D518-202D-02BD-5DCED92EB433}"/>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98" name="Group 97">
                    <a:extLst>
                      <a:ext uri="{FF2B5EF4-FFF2-40B4-BE49-F238E27FC236}">
                        <a16:creationId xmlns:a16="http://schemas.microsoft.com/office/drawing/2014/main" id="{05F2E89E-6196-816A-B7A7-F5AE84001088}"/>
                      </a:ext>
                    </a:extLst>
                  </xdr:cNvPr>
                  <xdr:cNvGrpSpPr/>
                </xdr:nvGrpSpPr>
                <xdr:grpSpPr>
                  <a:xfrm>
                    <a:off x="11170920" y="3208020"/>
                    <a:ext cx="2743200" cy="1935480"/>
                    <a:chOff x="2948940" y="3200400"/>
                    <a:chExt cx="2743200" cy="1935480"/>
                  </a:xfrm>
                </xdr:grpSpPr>
                <xdr:grpSp>
                  <xdr:nvGrpSpPr>
                    <xdr:cNvPr id="99" name="Group 98">
                      <a:extLst>
                        <a:ext uri="{FF2B5EF4-FFF2-40B4-BE49-F238E27FC236}">
                          <a16:creationId xmlns:a16="http://schemas.microsoft.com/office/drawing/2014/main" id="{F7608DA2-7529-C0D5-3788-84F0A56C8C77}"/>
                        </a:ext>
                      </a:extLst>
                    </xdr:cNvPr>
                    <xdr:cNvGrpSpPr/>
                  </xdr:nvGrpSpPr>
                  <xdr:grpSpPr>
                    <a:xfrm>
                      <a:off x="2948940" y="3200400"/>
                      <a:ext cx="2743200" cy="1714500"/>
                      <a:chOff x="60960" y="3154680"/>
                      <a:chExt cx="2743200" cy="1714500"/>
                    </a:xfrm>
                  </xdr:grpSpPr>
                  <xdr:sp macro="" textlink="">
                    <xdr:nvSpPr>
                      <xdr:cNvPr id="101" name="Rectangle 100">
                        <a:extLst>
                          <a:ext uri="{FF2B5EF4-FFF2-40B4-BE49-F238E27FC236}">
                            <a16:creationId xmlns:a16="http://schemas.microsoft.com/office/drawing/2014/main" id="{0025D6AC-0B87-B0C1-0BC1-35FD2628B867}"/>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102" name="Group 101">
                        <a:extLst>
                          <a:ext uri="{FF2B5EF4-FFF2-40B4-BE49-F238E27FC236}">
                            <a16:creationId xmlns:a16="http://schemas.microsoft.com/office/drawing/2014/main" id="{594C17BF-FA6D-43DE-D582-D358F71767B9}"/>
                          </a:ext>
                        </a:extLst>
                      </xdr:cNvPr>
                      <xdr:cNvGrpSpPr/>
                    </xdr:nvGrpSpPr>
                    <xdr:grpSpPr>
                      <a:xfrm>
                        <a:off x="365760" y="3535680"/>
                        <a:ext cx="2438400" cy="457200"/>
                        <a:chOff x="365760" y="3535680"/>
                        <a:chExt cx="1584960" cy="457200"/>
                      </a:xfrm>
                    </xdr:grpSpPr>
                    <xdr:sp macro="" textlink="">
                      <xdr:nvSpPr>
                        <xdr:cNvPr id="109" name="Rectangle 108">
                          <a:hlinkClick xmlns:r="http://schemas.openxmlformats.org/officeDocument/2006/relationships" r:id="rId15"/>
                          <a:extLst>
                            <a:ext uri="{FF2B5EF4-FFF2-40B4-BE49-F238E27FC236}">
                              <a16:creationId xmlns:a16="http://schemas.microsoft.com/office/drawing/2014/main" id="{A7AAE8AD-ABF9-111D-1779-24FC2A52417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110" name="Rectangle 109">
                          <a:hlinkClick xmlns:r="http://schemas.openxmlformats.org/officeDocument/2006/relationships" r:id="rId16"/>
                          <a:extLst>
                            <a:ext uri="{FF2B5EF4-FFF2-40B4-BE49-F238E27FC236}">
                              <a16:creationId xmlns:a16="http://schemas.microsoft.com/office/drawing/2014/main" id="{C5C2D666-6CB2-9874-9620-945CC64DAEB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103" name="Group 102">
                        <a:extLst>
                          <a:ext uri="{FF2B5EF4-FFF2-40B4-BE49-F238E27FC236}">
                            <a16:creationId xmlns:a16="http://schemas.microsoft.com/office/drawing/2014/main" id="{6033236A-557D-C510-77C6-4645635896F3}"/>
                          </a:ext>
                        </a:extLst>
                      </xdr:cNvPr>
                      <xdr:cNvGrpSpPr/>
                    </xdr:nvGrpSpPr>
                    <xdr:grpSpPr>
                      <a:xfrm>
                        <a:off x="365760" y="3977640"/>
                        <a:ext cx="2438400" cy="457200"/>
                        <a:chOff x="365760" y="3535680"/>
                        <a:chExt cx="1584960" cy="457200"/>
                      </a:xfrm>
                    </xdr:grpSpPr>
                    <xdr:sp macro="" textlink="">
                      <xdr:nvSpPr>
                        <xdr:cNvPr id="107" name="Rectangle 106">
                          <a:hlinkClick xmlns:r="http://schemas.openxmlformats.org/officeDocument/2006/relationships" r:id="rId17"/>
                          <a:extLst>
                            <a:ext uri="{FF2B5EF4-FFF2-40B4-BE49-F238E27FC236}">
                              <a16:creationId xmlns:a16="http://schemas.microsoft.com/office/drawing/2014/main" id="{864A1E37-C319-B9E6-06DE-16553CAEFAD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108" name="Rectangle 107">
                          <a:extLst>
                            <a:ext uri="{FF2B5EF4-FFF2-40B4-BE49-F238E27FC236}">
                              <a16:creationId xmlns:a16="http://schemas.microsoft.com/office/drawing/2014/main" id="{6F4FC3DA-19D3-1FC2-014F-6673CEDDEAF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104" name="Group 103">
                        <a:extLst>
                          <a:ext uri="{FF2B5EF4-FFF2-40B4-BE49-F238E27FC236}">
                            <a16:creationId xmlns:a16="http://schemas.microsoft.com/office/drawing/2014/main" id="{725A0A6E-8EBA-D9D1-8F95-A8EEE1636797}"/>
                          </a:ext>
                        </a:extLst>
                      </xdr:cNvPr>
                      <xdr:cNvGrpSpPr/>
                    </xdr:nvGrpSpPr>
                    <xdr:grpSpPr>
                      <a:xfrm>
                        <a:off x="365760" y="4411980"/>
                        <a:ext cx="2438400" cy="457200"/>
                        <a:chOff x="365760" y="3535680"/>
                        <a:chExt cx="1584960" cy="457200"/>
                      </a:xfrm>
                    </xdr:grpSpPr>
                    <xdr:sp macro="" textlink="">
                      <xdr:nvSpPr>
                        <xdr:cNvPr id="105" name="Rectangle 104">
                          <a:extLst>
                            <a:ext uri="{FF2B5EF4-FFF2-40B4-BE49-F238E27FC236}">
                              <a16:creationId xmlns:a16="http://schemas.microsoft.com/office/drawing/2014/main" id="{2AB0C57A-80D4-A6C3-B970-0D3A45ED872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106" name="Rectangle 105">
                          <a:extLst>
                            <a:ext uri="{FF2B5EF4-FFF2-40B4-BE49-F238E27FC236}">
                              <a16:creationId xmlns:a16="http://schemas.microsoft.com/office/drawing/2014/main" id="{DD677B4A-EB28-0AEA-FB7B-36AC85C622C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00" name="Rectangle 99">
                      <a:extLst>
                        <a:ext uri="{FF2B5EF4-FFF2-40B4-BE49-F238E27FC236}">
                          <a16:creationId xmlns:a16="http://schemas.microsoft.com/office/drawing/2014/main" id="{89D0A2CF-A434-8459-78B4-AB25A3D5A3F8}"/>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93" name="Rectangle 92">
                  <a:extLst>
                    <a:ext uri="{FF2B5EF4-FFF2-40B4-BE49-F238E27FC236}">
                      <a16:creationId xmlns:a16="http://schemas.microsoft.com/office/drawing/2014/main" id="{2AC93AC3-1A22-FBF2-41C3-6EA2B7DC63A9}"/>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87" name="Rectangle: Rounded Corners 86">
              <a:extLst>
                <a:ext uri="{FF2B5EF4-FFF2-40B4-BE49-F238E27FC236}">
                  <a16:creationId xmlns:a16="http://schemas.microsoft.com/office/drawing/2014/main" id="{79C86656-1FE3-F56F-4F2A-0FF5FBEF1FB2}"/>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8" name="Rectangle: Rounded Corners 87">
              <a:extLst>
                <a:ext uri="{FF2B5EF4-FFF2-40B4-BE49-F238E27FC236}">
                  <a16:creationId xmlns:a16="http://schemas.microsoft.com/office/drawing/2014/main" id="{4AEEC14A-69BC-87BE-4BE8-642BAF395050}"/>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89" name="Rectangle: Rounded Corners 88">
              <a:extLst>
                <a:ext uri="{FF2B5EF4-FFF2-40B4-BE49-F238E27FC236}">
                  <a16:creationId xmlns:a16="http://schemas.microsoft.com/office/drawing/2014/main" id="{8D9B020A-8E58-6D19-E751-333E9AB286FD}"/>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84" name="Picture 83">
            <a:hlinkClick xmlns:r="http://schemas.openxmlformats.org/officeDocument/2006/relationships" r:id="rId18"/>
            <a:extLst>
              <a:ext uri="{FF2B5EF4-FFF2-40B4-BE49-F238E27FC236}">
                <a16:creationId xmlns:a16="http://schemas.microsoft.com/office/drawing/2014/main" id="{ED5869C4-01EC-E2D1-7CEA-B5B28027E1B8}"/>
              </a:ext>
            </a:extLst>
          </xdr:cNvPr>
          <xdr:cNvPicPr>
            <a:picLocks noChangeAspect="1"/>
          </xdr:cNvPicPr>
        </xdr:nvPicPr>
        <xdr:blipFill rotWithShape="1">
          <a:blip xmlns:r="http://schemas.openxmlformats.org/officeDocument/2006/relationships" r:embed="rId19">
            <a:extLst>
              <a:ext uri="{BEBA8EAE-BF5A-486C-A8C5-ECC9F3942E4B}">
                <a14:imgProps xmlns:a14="http://schemas.microsoft.com/office/drawing/2010/main">
                  <a14:imgLayer r:embed="rId20">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190500</xdr:colOff>
          <xdr:row>23</xdr:row>
          <xdr:rowOff>88900</xdr:rowOff>
        </xdr:from>
        <xdr:to>
          <xdr:col>14</xdr:col>
          <xdr:colOff>457200</xdr:colOff>
          <xdr:row>27</xdr:row>
          <xdr:rowOff>114300</xdr:rowOff>
        </xdr:to>
        <xdr:sp macro="" textlink="">
          <xdr:nvSpPr>
            <xdr:cNvPr id="33793" name="TextBox1" hidden="1">
              <a:extLst>
                <a:ext uri="{63B3BB69-23CF-44E3-9099-C40C66FF867C}">
                  <a14:compatExt spid="_x0000_s33793"/>
                </a:ext>
                <a:ext uri="{FF2B5EF4-FFF2-40B4-BE49-F238E27FC236}">
                  <a16:creationId xmlns:a16="http://schemas.microsoft.com/office/drawing/2014/main" id="{00000000-0008-0000-1200-0000018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215900</xdr:colOff>
          <xdr:row>29</xdr:row>
          <xdr:rowOff>38100</xdr:rowOff>
        </xdr:from>
        <xdr:to>
          <xdr:col>14</xdr:col>
          <xdr:colOff>482600</xdr:colOff>
          <xdr:row>38</xdr:row>
          <xdr:rowOff>88900</xdr:rowOff>
        </xdr:to>
        <xdr:sp macro="" textlink="">
          <xdr:nvSpPr>
            <xdr:cNvPr id="33794" name="TextBox2" hidden="1">
              <a:extLst>
                <a:ext uri="{63B3BB69-23CF-44E3-9099-C40C66FF867C}">
                  <a14:compatExt spid="_x0000_s33794"/>
                </a:ext>
                <a:ext uri="{FF2B5EF4-FFF2-40B4-BE49-F238E27FC236}">
                  <a16:creationId xmlns:a16="http://schemas.microsoft.com/office/drawing/2014/main" id="{00000000-0008-0000-1200-0000028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0</xdr:colOff>
      <xdr:row>0</xdr:row>
      <xdr:rowOff>84669</xdr:rowOff>
    </xdr:from>
    <xdr:to>
      <xdr:col>27</xdr:col>
      <xdr:colOff>0</xdr:colOff>
      <xdr:row>14</xdr:row>
      <xdr:rowOff>13186</xdr:rowOff>
    </xdr:to>
    <xdr:grpSp>
      <xdr:nvGrpSpPr>
        <xdr:cNvPr id="33809" name="Group 33808">
          <a:extLst>
            <a:ext uri="{FF2B5EF4-FFF2-40B4-BE49-F238E27FC236}">
              <a16:creationId xmlns:a16="http://schemas.microsoft.com/office/drawing/2014/main" id="{E3D8ACD8-C816-4980-BBEF-819B4C7AE5D7}"/>
            </a:ext>
          </a:extLst>
        </xdr:cNvPr>
        <xdr:cNvGrpSpPr/>
      </xdr:nvGrpSpPr>
      <xdr:grpSpPr>
        <a:xfrm>
          <a:off x="0" y="84669"/>
          <a:ext cx="24225250" cy="2643142"/>
          <a:chOff x="0" y="25400"/>
          <a:chExt cx="19428378" cy="2465554"/>
        </a:xfrm>
      </xdr:grpSpPr>
      <xdr:grpSp>
        <xdr:nvGrpSpPr>
          <xdr:cNvPr id="33810" name="Group 33809">
            <a:extLst>
              <a:ext uri="{FF2B5EF4-FFF2-40B4-BE49-F238E27FC236}">
                <a16:creationId xmlns:a16="http://schemas.microsoft.com/office/drawing/2014/main" id="{C6425DC8-5930-1D43-E1AB-C5D7F256FAA9}"/>
              </a:ext>
            </a:extLst>
          </xdr:cNvPr>
          <xdr:cNvGrpSpPr/>
        </xdr:nvGrpSpPr>
        <xdr:grpSpPr>
          <a:xfrm>
            <a:off x="0" y="268648"/>
            <a:ext cx="19428378" cy="2222306"/>
            <a:chOff x="-2" y="774501"/>
            <a:chExt cx="14707716" cy="2312445"/>
          </a:xfrm>
        </xdr:grpSpPr>
        <xdr:sp macro="" textlink="">
          <xdr:nvSpPr>
            <xdr:cNvPr id="33812" name="Rectangle: Rounded Corners 33811">
              <a:extLst>
                <a:ext uri="{FF2B5EF4-FFF2-40B4-BE49-F238E27FC236}">
                  <a16:creationId xmlns:a16="http://schemas.microsoft.com/office/drawing/2014/main" id="{C02D2124-835C-71BF-F4CB-952582B662D1}"/>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33813" name="Group 33812">
              <a:extLst>
                <a:ext uri="{FF2B5EF4-FFF2-40B4-BE49-F238E27FC236}">
                  <a16:creationId xmlns:a16="http://schemas.microsoft.com/office/drawing/2014/main" id="{915C1E1C-1306-EF84-71F7-6928005502F5}"/>
                </a:ext>
              </a:extLst>
            </xdr:cNvPr>
            <xdr:cNvGrpSpPr/>
          </xdr:nvGrpSpPr>
          <xdr:grpSpPr>
            <a:xfrm>
              <a:off x="-2" y="977052"/>
              <a:ext cx="14707716" cy="2109894"/>
              <a:chOff x="15238" y="3223260"/>
              <a:chExt cx="14682309" cy="2072640"/>
            </a:xfrm>
          </xdr:grpSpPr>
          <xdr:sp macro="" textlink="">
            <xdr:nvSpPr>
              <xdr:cNvPr id="33817" name="Rectangle 33816">
                <a:extLst>
                  <a:ext uri="{FF2B5EF4-FFF2-40B4-BE49-F238E27FC236}">
                    <a16:creationId xmlns:a16="http://schemas.microsoft.com/office/drawing/2014/main" id="{46EE1942-C3D6-F487-D800-24C6F338F805}"/>
                  </a:ext>
                </a:extLst>
              </xdr:cNvPr>
              <xdr:cNvSpPr/>
            </xdr:nvSpPr>
            <xdr:spPr>
              <a:xfrm>
                <a:off x="15238" y="3223260"/>
                <a:ext cx="146823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33818" name="Group 33817">
                <a:extLst>
                  <a:ext uri="{FF2B5EF4-FFF2-40B4-BE49-F238E27FC236}">
                    <a16:creationId xmlns:a16="http://schemas.microsoft.com/office/drawing/2014/main" id="{10C5FDBC-F40C-FD54-2DE0-9E2CC05369CE}"/>
                  </a:ext>
                </a:extLst>
              </xdr:cNvPr>
              <xdr:cNvGrpSpPr/>
            </xdr:nvGrpSpPr>
            <xdr:grpSpPr>
              <a:xfrm>
                <a:off x="121920" y="3291840"/>
                <a:ext cx="13708380" cy="1950720"/>
                <a:chOff x="205740" y="2491740"/>
                <a:chExt cx="13708380" cy="1950720"/>
              </a:xfrm>
            </xdr:grpSpPr>
            <xdr:grpSp>
              <xdr:nvGrpSpPr>
                <xdr:cNvPr id="33819" name="Group 33818">
                  <a:extLst>
                    <a:ext uri="{FF2B5EF4-FFF2-40B4-BE49-F238E27FC236}">
                      <a16:creationId xmlns:a16="http://schemas.microsoft.com/office/drawing/2014/main" id="{77F31BA6-A9D3-7045-B7F1-BCCA09CADD2A}"/>
                    </a:ext>
                  </a:extLst>
                </xdr:cNvPr>
                <xdr:cNvGrpSpPr/>
              </xdr:nvGrpSpPr>
              <xdr:grpSpPr>
                <a:xfrm>
                  <a:off x="205740" y="2491740"/>
                  <a:ext cx="13708380" cy="1950720"/>
                  <a:chOff x="205740" y="3192780"/>
                  <a:chExt cx="13708380" cy="1950720"/>
                </a:xfrm>
              </xdr:grpSpPr>
              <xdr:grpSp>
                <xdr:nvGrpSpPr>
                  <xdr:cNvPr id="33821" name="Group 33820">
                    <a:extLst>
                      <a:ext uri="{FF2B5EF4-FFF2-40B4-BE49-F238E27FC236}">
                        <a16:creationId xmlns:a16="http://schemas.microsoft.com/office/drawing/2014/main" id="{9328D33A-AC30-86B5-B328-977AD7DF8ADE}"/>
                      </a:ext>
                    </a:extLst>
                  </xdr:cNvPr>
                  <xdr:cNvGrpSpPr/>
                </xdr:nvGrpSpPr>
                <xdr:grpSpPr>
                  <a:xfrm>
                    <a:off x="2948940" y="3200400"/>
                    <a:ext cx="2743200" cy="1935480"/>
                    <a:chOff x="2948940" y="3200400"/>
                    <a:chExt cx="2743200" cy="1935480"/>
                  </a:xfrm>
                </xdr:grpSpPr>
                <xdr:grpSp>
                  <xdr:nvGrpSpPr>
                    <xdr:cNvPr id="33874" name="Group 33873">
                      <a:extLst>
                        <a:ext uri="{FF2B5EF4-FFF2-40B4-BE49-F238E27FC236}">
                          <a16:creationId xmlns:a16="http://schemas.microsoft.com/office/drawing/2014/main" id="{868E2BB4-4955-CDFB-C4E6-F1365C5F0795}"/>
                        </a:ext>
                      </a:extLst>
                    </xdr:cNvPr>
                    <xdr:cNvGrpSpPr/>
                  </xdr:nvGrpSpPr>
                  <xdr:grpSpPr>
                    <a:xfrm>
                      <a:off x="2948940" y="3200400"/>
                      <a:ext cx="2743200" cy="1714500"/>
                      <a:chOff x="60960" y="3154680"/>
                      <a:chExt cx="2743200" cy="1714500"/>
                    </a:xfrm>
                  </xdr:grpSpPr>
                  <xdr:sp macro="" textlink="">
                    <xdr:nvSpPr>
                      <xdr:cNvPr id="33876" name="Rectangle 33875">
                        <a:extLst>
                          <a:ext uri="{FF2B5EF4-FFF2-40B4-BE49-F238E27FC236}">
                            <a16:creationId xmlns:a16="http://schemas.microsoft.com/office/drawing/2014/main" id="{4C49B9A9-15FB-F20B-C890-A8D8C857A8E1}"/>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33877" name="Group 33876">
                        <a:extLst>
                          <a:ext uri="{FF2B5EF4-FFF2-40B4-BE49-F238E27FC236}">
                            <a16:creationId xmlns:a16="http://schemas.microsoft.com/office/drawing/2014/main" id="{9F2DA838-5381-9983-3581-732D8065DEA3}"/>
                          </a:ext>
                        </a:extLst>
                      </xdr:cNvPr>
                      <xdr:cNvGrpSpPr/>
                    </xdr:nvGrpSpPr>
                    <xdr:grpSpPr>
                      <a:xfrm>
                        <a:off x="365760" y="3535680"/>
                        <a:ext cx="2438400" cy="457200"/>
                        <a:chOff x="365760" y="3535680"/>
                        <a:chExt cx="1584960" cy="457200"/>
                      </a:xfrm>
                    </xdr:grpSpPr>
                    <xdr:sp macro="" textlink="">
                      <xdr:nvSpPr>
                        <xdr:cNvPr id="33884" name="Rectangle 33883">
                          <a:hlinkClick xmlns:r="http://schemas.openxmlformats.org/officeDocument/2006/relationships" r:id="rId1"/>
                          <a:extLst>
                            <a:ext uri="{FF2B5EF4-FFF2-40B4-BE49-F238E27FC236}">
                              <a16:creationId xmlns:a16="http://schemas.microsoft.com/office/drawing/2014/main" id="{C7779876-CD19-3467-79FC-FB960B0B092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33885" name="Rectangle 33884">
                          <a:hlinkClick xmlns:r="http://schemas.openxmlformats.org/officeDocument/2006/relationships" r:id="rId1"/>
                          <a:extLst>
                            <a:ext uri="{FF2B5EF4-FFF2-40B4-BE49-F238E27FC236}">
                              <a16:creationId xmlns:a16="http://schemas.microsoft.com/office/drawing/2014/main" id="{6E71EED0-34A0-D7A6-D06E-B6DD4E7A561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33878" name="Group 33877">
                        <a:extLst>
                          <a:ext uri="{FF2B5EF4-FFF2-40B4-BE49-F238E27FC236}">
                            <a16:creationId xmlns:a16="http://schemas.microsoft.com/office/drawing/2014/main" id="{EFBEF0CF-7B94-ACA9-6AF6-C3DFEB14879D}"/>
                          </a:ext>
                        </a:extLst>
                      </xdr:cNvPr>
                      <xdr:cNvGrpSpPr/>
                    </xdr:nvGrpSpPr>
                    <xdr:grpSpPr>
                      <a:xfrm>
                        <a:off x="365760" y="3977640"/>
                        <a:ext cx="2438400" cy="457200"/>
                        <a:chOff x="365760" y="3535680"/>
                        <a:chExt cx="1584960" cy="457200"/>
                      </a:xfrm>
                    </xdr:grpSpPr>
                    <xdr:sp macro="" textlink="">
                      <xdr:nvSpPr>
                        <xdr:cNvPr id="33882" name="Rectangle 33881">
                          <a:extLst>
                            <a:ext uri="{FF2B5EF4-FFF2-40B4-BE49-F238E27FC236}">
                              <a16:creationId xmlns:a16="http://schemas.microsoft.com/office/drawing/2014/main" id="{170D728E-DC48-4C97-13A5-78C3D87A710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33883" name="Rectangle 33882">
                          <a:hlinkClick xmlns:r="http://schemas.openxmlformats.org/officeDocument/2006/relationships" r:id="rId2"/>
                          <a:extLst>
                            <a:ext uri="{FF2B5EF4-FFF2-40B4-BE49-F238E27FC236}">
                              <a16:creationId xmlns:a16="http://schemas.microsoft.com/office/drawing/2014/main" id="{1A666728-924D-5E1C-E563-691A65EDD5B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33879" name="Group 33878">
                        <a:extLst>
                          <a:ext uri="{FF2B5EF4-FFF2-40B4-BE49-F238E27FC236}">
                            <a16:creationId xmlns:a16="http://schemas.microsoft.com/office/drawing/2014/main" id="{159D7A82-B0FE-307B-2F9D-3016CC71E364}"/>
                          </a:ext>
                        </a:extLst>
                      </xdr:cNvPr>
                      <xdr:cNvGrpSpPr/>
                    </xdr:nvGrpSpPr>
                    <xdr:grpSpPr>
                      <a:xfrm>
                        <a:off x="365760" y="4411980"/>
                        <a:ext cx="2438400" cy="457200"/>
                        <a:chOff x="365760" y="3535680"/>
                        <a:chExt cx="1584960" cy="457200"/>
                      </a:xfrm>
                    </xdr:grpSpPr>
                    <xdr:sp macro="" textlink="">
                      <xdr:nvSpPr>
                        <xdr:cNvPr id="33880" name="Rectangle 33879">
                          <a:hlinkClick xmlns:r="http://schemas.openxmlformats.org/officeDocument/2006/relationships" r:id="rId3"/>
                          <a:extLst>
                            <a:ext uri="{FF2B5EF4-FFF2-40B4-BE49-F238E27FC236}">
                              <a16:creationId xmlns:a16="http://schemas.microsoft.com/office/drawing/2014/main" id="{16644BF6-EE32-A384-2355-B9A88A1F688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33881" name="Rectangle 33880">
                          <a:extLst>
                            <a:ext uri="{FF2B5EF4-FFF2-40B4-BE49-F238E27FC236}">
                              <a16:creationId xmlns:a16="http://schemas.microsoft.com/office/drawing/2014/main" id="{3B317210-5F71-A7EF-3987-1D10CCB5E15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33875" name="Rectangle 33874">
                      <a:extLst>
                        <a:ext uri="{FF2B5EF4-FFF2-40B4-BE49-F238E27FC236}">
                          <a16:creationId xmlns:a16="http://schemas.microsoft.com/office/drawing/2014/main" id="{8C0AA44D-2733-5622-6144-1BDDC397BCFE}"/>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33822" name="Group 33821">
                    <a:extLst>
                      <a:ext uri="{FF2B5EF4-FFF2-40B4-BE49-F238E27FC236}">
                        <a16:creationId xmlns:a16="http://schemas.microsoft.com/office/drawing/2014/main" id="{3BE2732C-283C-B2F2-6FAD-EC11D459EA04}"/>
                      </a:ext>
                    </a:extLst>
                  </xdr:cNvPr>
                  <xdr:cNvGrpSpPr/>
                </xdr:nvGrpSpPr>
                <xdr:grpSpPr>
                  <a:xfrm>
                    <a:off x="205740" y="3192780"/>
                    <a:ext cx="2743200" cy="1943100"/>
                    <a:chOff x="205740" y="3192780"/>
                    <a:chExt cx="2743200" cy="1943100"/>
                  </a:xfrm>
                </xdr:grpSpPr>
                <xdr:grpSp>
                  <xdr:nvGrpSpPr>
                    <xdr:cNvPr id="33862" name="Group 33861">
                      <a:extLst>
                        <a:ext uri="{FF2B5EF4-FFF2-40B4-BE49-F238E27FC236}">
                          <a16:creationId xmlns:a16="http://schemas.microsoft.com/office/drawing/2014/main" id="{65F26C72-B244-B8D4-79FF-E7DCA33FA9F1}"/>
                        </a:ext>
                      </a:extLst>
                    </xdr:cNvPr>
                    <xdr:cNvGrpSpPr/>
                  </xdr:nvGrpSpPr>
                  <xdr:grpSpPr>
                    <a:xfrm>
                      <a:off x="205740" y="3192780"/>
                      <a:ext cx="2743200" cy="1714500"/>
                      <a:chOff x="60960" y="3154680"/>
                      <a:chExt cx="2743200" cy="1714500"/>
                    </a:xfrm>
                  </xdr:grpSpPr>
                  <xdr:sp macro="" textlink="">
                    <xdr:nvSpPr>
                      <xdr:cNvPr id="33864" name="Rectangle 33863">
                        <a:extLst>
                          <a:ext uri="{FF2B5EF4-FFF2-40B4-BE49-F238E27FC236}">
                            <a16:creationId xmlns:a16="http://schemas.microsoft.com/office/drawing/2014/main" id="{A8FFEB61-3899-C605-E5F4-297D5AA2AE77}"/>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33865" name="Group 33864">
                        <a:extLst>
                          <a:ext uri="{FF2B5EF4-FFF2-40B4-BE49-F238E27FC236}">
                            <a16:creationId xmlns:a16="http://schemas.microsoft.com/office/drawing/2014/main" id="{65A050AD-02BB-2AC2-BB9B-525D74CD9BDC}"/>
                          </a:ext>
                        </a:extLst>
                      </xdr:cNvPr>
                      <xdr:cNvGrpSpPr/>
                    </xdr:nvGrpSpPr>
                    <xdr:grpSpPr>
                      <a:xfrm>
                        <a:off x="365760" y="3535680"/>
                        <a:ext cx="2438400" cy="457200"/>
                        <a:chOff x="365760" y="3535680"/>
                        <a:chExt cx="1584960" cy="457200"/>
                      </a:xfrm>
                    </xdr:grpSpPr>
                    <xdr:sp macro="" textlink="">
                      <xdr:nvSpPr>
                        <xdr:cNvPr id="33872" name="Rectangle 33871">
                          <a:hlinkClick xmlns:r="http://schemas.openxmlformats.org/officeDocument/2006/relationships" r:id="rId4"/>
                          <a:extLst>
                            <a:ext uri="{FF2B5EF4-FFF2-40B4-BE49-F238E27FC236}">
                              <a16:creationId xmlns:a16="http://schemas.microsoft.com/office/drawing/2014/main" id="{4EDCABB6-CFE8-E7C4-D9AF-CA83D95C60A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33873" name="Rectangle 33872">
                          <a:hlinkClick xmlns:r="http://schemas.openxmlformats.org/officeDocument/2006/relationships" r:id="rId5"/>
                          <a:extLst>
                            <a:ext uri="{FF2B5EF4-FFF2-40B4-BE49-F238E27FC236}">
                              <a16:creationId xmlns:a16="http://schemas.microsoft.com/office/drawing/2014/main" id="{5D9102E1-12AF-22A1-CC9B-9EBC7180864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33866" name="Group 33865">
                        <a:extLst>
                          <a:ext uri="{FF2B5EF4-FFF2-40B4-BE49-F238E27FC236}">
                            <a16:creationId xmlns:a16="http://schemas.microsoft.com/office/drawing/2014/main" id="{7F7E38BE-5DB9-A6CC-1F05-A65B7B79AEF4}"/>
                          </a:ext>
                        </a:extLst>
                      </xdr:cNvPr>
                      <xdr:cNvGrpSpPr/>
                    </xdr:nvGrpSpPr>
                    <xdr:grpSpPr>
                      <a:xfrm>
                        <a:off x="365760" y="3977640"/>
                        <a:ext cx="2438400" cy="457200"/>
                        <a:chOff x="365760" y="3535680"/>
                        <a:chExt cx="1584960" cy="457200"/>
                      </a:xfrm>
                    </xdr:grpSpPr>
                    <xdr:sp macro="" textlink="">
                      <xdr:nvSpPr>
                        <xdr:cNvPr id="33870" name="Rectangle 33869">
                          <a:hlinkClick xmlns:r="http://schemas.openxmlformats.org/officeDocument/2006/relationships" r:id="rId6"/>
                          <a:extLst>
                            <a:ext uri="{FF2B5EF4-FFF2-40B4-BE49-F238E27FC236}">
                              <a16:creationId xmlns:a16="http://schemas.microsoft.com/office/drawing/2014/main" id="{C2AE6B6F-07A6-E50C-475E-0EC4B186FBA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33871" name="Rectangle 33870">
                          <a:hlinkClick xmlns:r="http://schemas.openxmlformats.org/officeDocument/2006/relationships" r:id="rId7"/>
                          <a:extLst>
                            <a:ext uri="{FF2B5EF4-FFF2-40B4-BE49-F238E27FC236}">
                              <a16:creationId xmlns:a16="http://schemas.microsoft.com/office/drawing/2014/main" id="{8116B38B-E446-F832-7FA7-6D333545502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33867" name="Group 33866">
                        <a:extLst>
                          <a:ext uri="{FF2B5EF4-FFF2-40B4-BE49-F238E27FC236}">
                            <a16:creationId xmlns:a16="http://schemas.microsoft.com/office/drawing/2014/main" id="{591B542A-8658-B1F1-8406-981DD87A9E6E}"/>
                          </a:ext>
                        </a:extLst>
                      </xdr:cNvPr>
                      <xdr:cNvGrpSpPr/>
                    </xdr:nvGrpSpPr>
                    <xdr:grpSpPr>
                      <a:xfrm>
                        <a:off x="365760" y="4411980"/>
                        <a:ext cx="2438400" cy="457200"/>
                        <a:chOff x="365760" y="3535680"/>
                        <a:chExt cx="1584960" cy="457200"/>
                      </a:xfrm>
                    </xdr:grpSpPr>
                    <xdr:sp macro="" textlink="">
                      <xdr:nvSpPr>
                        <xdr:cNvPr id="33868" name="Rectangle 33867">
                          <a:hlinkClick xmlns:r="http://schemas.openxmlformats.org/officeDocument/2006/relationships" r:id="rId8"/>
                          <a:extLst>
                            <a:ext uri="{FF2B5EF4-FFF2-40B4-BE49-F238E27FC236}">
                              <a16:creationId xmlns:a16="http://schemas.microsoft.com/office/drawing/2014/main" id="{E8DF1FA0-9A32-D941-7ECD-242950FB920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33869" name="Rectangle 33868">
                          <a:hlinkClick xmlns:r="http://schemas.openxmlformats.org/officeDocument/2006/relationships" r:id="rId9"/>
                          <a:extLst>
                            <a:ext uri="{FF2B5EF4-FFF2-40B4-BE49-F238E27FC236}">
                              <a16:creationId xmlns:a16="http://schemas.microsoft.com/office/drawing/2014/main" id="{F5139A59-4245-84E9-5A1F-6885B359566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33863" name="Rectangle 33862">
                      <a:hlinkClick xmlns:r="http://schemas.openxmlformats.org/officeDocument/2006/relationships" r:id="rId4"/>
                      <a:extLst>
                        <a:ext uri="{FF2B5EF4-FFF2-40B4-BE49-F238E27FC236}">
                          <a16:creationId xmlns:a16="http://schemas.microsoft.com/office/drawing/2014/main" id="{61156356-5BAB-E67F-CC79-8B3942390D26}"/>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33823" name="Group 33822">
                    <a:extLst>
                      <a:ext uri="{FF2B5EF4-FFF2-40B4-BE49-F238E27FC236}">
                        <a16:creationId xmlns:a16="http://schemas.microsoft.com/office/drawing/2014/main" id="{05281FEC-C8E2-7350-D3C0-91F9D100B1E9}"/>
                      </a:ext>
                    </a:extLst>
                  </xdr:cNvPr>
                  <xdr:cNvGrpSpPr/>
                </xdr:nvGrpSpPr>
                <xdr:grpSpPr>
                  <a:xfrm>
                    <a:off x="5692140" y="3208020"/>
                    <a:ext cx="2743200" cy="1935480"/>
                    <a:chOff x="2948940" y="3200400"/>
                    <a:chExt cx="2743200" cy="1935480"/>
                  </a:xfrm>
                </xdr:grpSpPr>
                <xdr:grpSp>
                  <xdr:nvGrpSpPr>
                    <xdr:cNvPr id="33850" name="Group 33849">
                      <a:extLst>
                        <a:ext uri="{FF2B5EF4-FFF2-40B4-BE49-F238E27FC236}">
                          <a16:creationId xmlns:a16="http://schemas.microsoft.com/office/drawing/2014/main" id="{6420BBAD-057D-3787-1AA3-17C161FB179C}"/>
                        </a:ext>
                      </a:extLst>
                    </xdr:cNvPr>
                    <xdr:cNvGrpSpPr/>
                  </xdr:nvGrpSpPr>
                  <xdr:grpSpPr>
                    <a:xfrm>
                      <a:off x="2948940" y="3200400"/>
                      <a:ext cx="2743200" cy="1714500"/>
                      <a:chOff x="60960" y="3154680"/>
                      <a:chExt cx="2743200" cy="1714500"/>
                    </a:xfrm>
                  </xdr:grpSpPr>
                  <xdr:sp macro="" textlink="">
                    <xdr:nvSpPr>
                      <xdr:cNvPr id="33852" name="Rectangle 33851">
                        <a:extLst>
                          <a:ext uri="{FF2B5EF4-FFF2-40B4-BE49-F238E27FC236}">
                            <a16:creationId xmlns:a16="http://schemas.microsoft.com/office/drawing/2014/main" id="{40881FFA-2202-9186-3121-954D057A867A}"/>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33853" name="Group 33852">
                        <a:extLst>
                          <a:ext uri="{FF2B5EF4-FFF2-40B4-BE49-F238E27FC236}">
                            <a16:creationId xmlns:a16="http://schemas.microsoft.com/office/drawing/2014/main" id="{447064DF-7BE8-08BB-F7E8-AD38E27E3423}"/>
                          </a:ext>
                        </a:extLst>
                      </xdr:cNvPr>
                      <xdr:cNvGrpSpPr/>
                    </xdr:nvGrpSpPr>
                    <xdr:grpSpPr>
                      <a:xfrm>
                        <a:off x="365760" y="3535680"/>
                        <a:ext cx="2438400" cy="457200"/>
                        <a:chOff x="365760" y="3535680"/>
                        <a:chExt cx="1584960" cy="457200"/>
                      </a:xfrm>
                    </xdr:grpSpPr>
                    <xdr:sp macro="" textlink="">
                      <xdr:nvSpPr>
                        <xdr:cNvPr id="33860" name="Rectangle 33859">
                          <a:hlinkClick xmlns:r="http://schemas.openxmlformats.org/officeDocument/2006/relationships" r:id="rId10"/>
                          <a:extLst>
                            <a:ext uri="{FF2B5EF4-FFF2-40B4-BE49-F238E27FC236}">
                              <a16:creationId xmlns:a16="http://schemas.microsoft.com/office/drawing/2014/main" id="{8AEDAD4C-CDB8-3BD7-7A49-BE59E5A03FE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33861" name="Rectangle 33860">
                          <a:hlinkClick xmlns:r="http://schemas.openxmlformats.org/officeDocument/2006/relationships" r:id="rId11"/>
                          <a:extLst>
                            <a:ext uri="{FF2B5EF4-FFF2-40B4-BE49-F238E27FC236}">
                              <a16:creationId xmlns:a16="http://schemas.microsoft.com/office/drawing/2014/main" id="{D909F89D-2729-27E6-DD0A-4FBC0E05EA3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33854" name="Group 33853">
                        <a:extLst>
                          <a:ext uri="{FF2B5EF4-FFF2-40B4-BE49-F238E27FC236}">
                            <a16:creationId xmlns:a16="http://schemas.microsoft.com/office/drawing/2014/main" id="{91467840-BF09-31C9-EA88-F9F28C0A44CF}"/>
                          </a:ext>
                        </a:extLst>
                      </xdr:cNvPr>
                      <xdr:cNvGrpSpPr/>
                    </xdr:nvGrpSpPr>
                    <xdr:grpSpPr>
                      <a:xfrm>
                        <a:off x="365760" y="3977640"/>
                        <a:ext cx="2438400" cy="457200"/>
                        <a:chOff x="365760" y="3535680"/>
                        <a:chExt cx="1584960" cy="457200"/>
                      </a:xfrm>
                    </xdr:grpSpPr>
                    <xdr:sp macro="" textlink="">
                      <xdr:nvSpPr>
                        <xdr:cNvPr id="33858" name="Rectangle 33857">
                          <a:extLst>
                            <a:ext uri="{FF2B5EF4-FFF2-40B4-BE49-F238E27FC236}">
                              <a16:creationId xmlns:a16="http://schemas.microsoft.com/office/drawing/2014/main" id="{C0762DAC-2A66-175A-F04D-813AE5D9265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33859" name="Rectangle 33858">
                          <a:extLst>
                            <a:ext uri="{FF2B5EF4-FFF2-40B4-BE49-F238E27FC236}">
                              <a16:creationId xmlns:a16="http://schemas.microsoft.com/office/drawing/2014/main" id="{1501270F-EC32-3127-AD5C-E8D63287450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33855" name="Group 33854">
                        <a:extLst>
                          <a:ext uri="{FF2B5EF4-FFF2-40B4-BE49-F238E27FC236}">
                            <a16:creationId xmlns:a16="http://schemas.microsoft.com/office/drawing/2014/main" id="{545F1468-2B6C-BB64-F9B4-969300C53ECD}"/>
                          </a:ext>
                        </a:extLst>
                      </xdr:cNvPr>
                      <xdr:cNvGrpSpPr/>
                    </xdr:nvGrpSpPr>
                    <xdr:grpSpPr>
                      <a:xfrm>
                        <a:off x="365760" y="4411980"/>
                        <a:ext cx="2438400" cy="457200"/>
                        <a:chOff x="365760" y="3535680"/>
                        <a:chExt cx="1584960" cy="457200"/>
                      </a:xfrm>
                    </xdr:grpSpPr>
                    <xdr:sp macro="" textlink="">
                      <xdr:nvSpPr>
                        <xdr:cNvPr id="33856" name="Rectangle 33855">
                          <a:extLst>
                            <a:ext uri="{FF2B5EF4-FFF2-40B4-BE49-F238E27FC236}">
                              <a16:creationId xmlns:a16="http://schemas.microsoft.com/office/drawing/2014/main" id="{606662F2-1923-10AA-2BA8-2FBF317ADFC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33857" name="Rectangle 33856">
                          <a:extLst>
                            <a:ext uri="{FF2B5EF4-FFF2-40B4-BE49-F238E27FC236}">
                              <a16:creationId xmlns:a16="http://schemas.microsoft.com/office/drawing/2014/main" id="{E5C32C9F-538F-E638-D620-219BC78E136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33851" name="Rectangle 33850">
                      <a:extLst>
                        <a:ext uri="{FF2B5EF4-FFF2-40B4-BE49-F238E27FC236}">
                          <a16:creationId xmlns:a16="http://schemas.microsoft.com/office/drawing/2014/main" id="{EB459B5A-8C87-F52B-B02B-19EB539C4E96}"/>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33824" name="Group 33823">
                    <a:extLst>
                      <a:ext uri="{FF2B5EF4-FFF2-40B4-BE49-F238E27FC236}">
                        <a16:creationId xmlns:a16="http://schemas.microsoft.com/office/drawing/2014/main" id="{BFD6EA81-FE66-69D4-78A3-8F04EF4ABA5E}"/>
                      </a:ext>
                    </a:extLst>
                  </xdr:cNvPr>
                  <xdr:cNvGrpSpPr/>
                </xdr:nvGrpSpPr>
                <xdr:grpSpPr>
                  <a:xfrm>
                    <a:off x="8435340" y="3208020"/>
                    <a:ext cx="2743200" cy="1935480"/>
                    <a:chOff x="2948940" y="3200400"/>
                    <a:chExt cx="2743200" cy="1935480"/>
                  </a:xfrm>
                </xdr:grpSpPr>
                <xdr:grpSp>
                  <xdr:nvGrpSpPr>
                    <xdr:cNvPr id="33838" name="Group 33837">
                      <a:extLst>
                        <a:ext uri="{FF2B5EF4-FFF2-40B4-BE49-F238E27FC236}">
                          <a16:creationId xmlns:a16="http://schemas.microsoft.com/office/drawing/2014/main" id="{9FBB5F26-BE8C-DF89-D004-E8CEBB2907AC}"/>
                        </a:ext>
                      </a:extLst>
                    </xdr:cNvPr>
                    <xdr:cNvGrpSpPr/>
                  </xdr:nvGrpSpPr>
                  <xdr:grpSpPr>
                    <a:xfrm>
                      <a:off x="2948940" y="3200400"/>
                      <a:ext cx="2743200" cy="1714500"/>
                      <a:chOff x="60960" y="3154680"/>
                      <a:chExt cx="2743200" cy="1714500"/>
                    </a:xfrm>
                  </xdr:grpSpPr>
                  <xdr:sp macro="" textlink="">
                    <xdr:nvSpPr>
                      <xdr:cNvPr id="33840" name="Rectangle 33839">
                        <a:extLst>
                          <a:ext uri="{FF2B5EF4-FFF2-40B4-BE49-F238E27FC236}">
                            <a16:creationId xmlns:a16="http://schemas.microsoft.com/office/drawing/2014/main" id="{44533E5C-2CAF-B897-BAC6-E9F4B75E90AD}"/>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3841" name="Group 33840">
                        <a:extLst>
                          <a:ext uri="{FF2B5EF4-FFF2-40B4-BE49-F238E27FC236}">
                            <a16:creationId xmlns:a16="http://schemas.microsoft.com/office/drawing/2014/main" id="{186CEB82-06AE-BF59-A07D-F5D7279607CF}"/>
                          </a:ext>
                        </a:extLst>
                      </xdr:cNvPr>
                      <xdr:cNvGrpSpPr/>
                    </xdr:nvGrpSpPr>
                    <xdr:grpSpPr>
                      <a:xfrm>
                        <a:off x="365760" y="3535680"/>
                        <a:ext cx="2438400" cy="457200"/>
                        <a:chOff x="365760" y="3535680"/>
                        <a:chExt cx="1584960" cy="457200"/>
                      </a:xfrm>
                    </xdr:grpSpPr>
                    <xdr:sp macro="" textlink="">
                      <xdr:nvSpPr>
                        <xdr:cNvPr id="33848" name="Rectangle 33847">
                          <a:extLst>
                            <a:ext uri="{FF2B5EF4-FFF2-40B4-BE49-F238E27FC236}">
                              <a16:creationId xmlns:a16="http://schemas.microsoft.com/office/drawing/2014/main" id="{F47708AD-59CD-91E4-8A6D-3A44BEBEFAE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33849" name="Rectangle 33848">
                          <a:extLst>
                            <a:ext uri="{FF2B5EF4-FFF2-40B4-BE49-F238E27FC236}">
                              <a16:creationId xmlns:a16="http://schemas.microsoft.com/office/drawing/2014/main" id="{6530CABC-7FD8-9C11-DED7-33996A85695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3842" name="Group 33841">
                        <a:extLst>
                          <a:ext uri="{FF2B5EF4-FFF2-40B4-BE49-F238E27FC236}">
                            <a16:creationId xmlns:a16="http://schemas.microsoft.com/office/drawing/2014/main" id="{1B67F2E6-A8E1-7215-106B-EC56C391EE14}"/>
                          </a:ext>
                        </a:extLst>
                      </xdr:cNvPr>
                      <xdr:cNvGrpSpPr/>
                    </xdr:nvGrpSpPr>
                    <xdr:grpSpPr>
                      <a:xfrm>
                        <a:off x="365760" y="3977640"/>
                        <a:ext cx="2438400" cy="457200"/>
                        <a:chOff x="365760" y="3535680"/>
                        <a:chExt cx="1584960" cy="457200"/>
                      </a:xfrm>
                    </xdr:grpSpPr>
                    <xdr:sp macro="" textlink="">
                      <xdr:nvSpPr>
                        <xdr:cNvPr id="33846" name="Rectangle 33845">
                          <a:extLst>
                            <a:ext uri="{FF2B5EF4-FFF2-40B4-BE49-F238E27FC236}">
                              <a16:creationId xmlns:a16="http://schemas.microsoft.com/office/drawing/2014/main" id="{86601AF6-75AC-E2AD-2DF7-29C2DA74A6C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33847" name="Rectangle 33846">
                          <a:extLst>
                            <a:ext uri="{FF2B5EF4-FFF2-40B4-BE49-F238E27FC236}">
                              <a16:creationId xmlns:a16="http://schemas.microsoft.com/office/drawing/2014/main" id="{4E64DB86-DE58-3E67-4BAA-4EDC3B73793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3843" name="Group 33842">
                        <a:extLst>
                          <a:ext uri="{FF2B5EF4-FFF2-40B4-BE49-F238E27FC236}">
                            <a16:creationId xmlns:a16="http://schemas.microsoft.com/office/drawing/2014/main" id="{0F3BBCA5-02AE-0D97-1044-DCBEBE51C710}"/>
                          </a:ext>
                        </a:extLst>
                      </xdr:cNvPr>
                      <xdr:cNvGrpSpPr/>
                    </xdr:nvGrpSpPr>
                    <xdr:grpSpPr>
                      <a:xfrm>
                        <a:off x="365760" y="4411980"/>
                        <a:ext cx="2438400" cy="457200"/>
                        <a:chOff x="365760" y="3535680"/>
                        <a:chExt cx="1584960" cy="457200"/>
                      </a:xfrm>
                    </xdr:grpSpPr>
                    <xdr:sp macro="" textlink="">
                      <xdr:nvSpPr>
                        <xdr:cNvPr id="33844" name="Rectangle 33843">
                          <a:extLst>
                            <a:ext uri="{FF2B5EF4-FFF2-40B4-BE49-F238E27FC236}">
                              <a16:creationId xmlns:a16="http://schemas.microsoft.com/office/drawing/2014/main" id="{7947463D-13D0-67D6-4D81-4A3850A4E7C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3845" name="Rectangle 33844">
                          <a:extLst>
                            <a:ext uri="{FF2B5EF4-FFF2-40B4-BE49-F238E27FC236}">
                              <a16:creationId xmlns:a16="http://schemas.microsoft.com/office/drawing/2014/main" id="{BC80B687-6BEA-C8E1-B4C7-DEE94C9F0F8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3839" name="Rectangle 33838">
                      <a:extLst>
                        <a:ext uri="{FF2B5EF4-FFF2-40B4-BE49-F238E27FC236}">
                          <a16:creationId xmlns:a16="http://schemas.microsoft.com/office/drawing/2014/main" id="{E4EF8533-7D19-7B85-F9B0-89360DBDB280}"/>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33825" name="Group 33824">
                    <a:extLst>
                      <a:ext uri="{FF2B5EF4-FFF2-40B4-BE49-F238E27FC236}">
                        <a16:creationId xmlns:a16="http://schemas.microsoft.com/office/drawing/2014/main" id="{207904A2-6D4B-6471-AB11-A4E119FD84E6}"/>
                      </a:ext>
                    </a:extLst>
                  </xdr:cNvPr>
                  <xdr:cNvGrpSpPr/>
                </xdr:nvGrpSpPr>
                <xdr:grpSpPr>
                  <a:xfrm>
                    <a:off x="11170920" y="3208020"/>
                    <a:ext cx="2743200" cy="1935480"/>
                    <a:chOff x="2948940" y="3200400"/>
                    <a:chExt cx="2743200" cy="1935480"/>
                  </a:xfrm>
                </xdr:grpSpPr>
                <xdr:grpSp>
                  <xdr:nvGrpSpPr>
                    <xdr:cNvPr id="33826" name="Group 33825">
                      <a:extLst>
                        <a:ext uri="{FF2B5EF4-FFF2-40B4-BE49-F238E27FC236}">
                          <a16:creationId xmlns:a16="http://schemas.microsoft.com/office/drawing/2014/main" id="{7456173A-6ADB-9B10-5485-6BDFF0CD7467}"/>
                        </a:ext>
                      </a:extLst>
                    </xdr:cNvPr>
                    <xdr:cNvGrpSpPr/>
                  </xdr:nvGrpSpPr>
                  <xdr:grpSpPr>
                    <a:xfrm>
                      <a:off x="2948940" y="3200400"/>
                      <a:ext cx="2743200" cy="1714500"/>
                      <a:chOff x="60960" y="3154680"/>
                      <a:chExt cx="2743200" cy="1714500"/>
                    </a:xfrm>
                  </xdr:grpSpPr>
                  <xdr:sp macro="" textlink="">
                    <xdr:nvSpPr>
                      <xdr:cNvPr id="33828" name="Rectangle 33827">
                        <a:extLst>
                          <a:ext uri="{FF2B5EF4-FFF2-40B4-BE49-F238E27FC236}">
                            <a16:creationId xmlns:a16="http://schemas.microsoft.com/office/drawing/2014/main" id="{1C753D9B-F2B2-84BF-7B0A-804DE16B2D94}"/>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33829" name="Group 33828">
                        <a:extLst>
                          <a:ext uri="{FF2B5EF4-FFF2-40B4-BE49-F238E27FC236}">
                            <a16:creationId xmlns:a16="http://schemas.microsoft.com/office/drawing/2014/main" id="{84E0D881-EFF9-3C79-5165-25C09269F270}"/>
                          </a:ext>
                        </a:extLst>
                      </xdr:cNvPr>
                      <xdr:cNvGrpSpPr/>
                    </xdr:nvGrpSpPr>
                    <xdr:grpSpPr>
                      <a:xfrm>
                        <a:off x="365760" y="3535680"/>
                        <a:ext cx="2438400" cy="457200"/>
                        <a:chOff x="365760" y="3535680"/>
                        <a:chExt cx="1584960" cy="457200"/>
                      </a:xfrm>
                    </xdr:grpSpPr>
                    <xdr:sp macro="" textlink="">
                      <xdr:nvSpPr>
                        <xdr:cNvPr id="33836" name="Rectangle 33835">
                          <a:hlinkClick xmlns:r="http://schemas.openxmlformats.org/officeDocument/2006/relationships" r:id="rId12"/>
                          <a:extLst>
                            <a:ext uri="{FF2B5EF4-FFF2-40B4-BE49-F238E27FC236}">
                              <a16:creationId xmlns:a16="http://schemas.microsoft.com/office/drawing/2014/main" id="{6577E1E1-5295-549B-7037-060CABCEF77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3837" name="Rectangle 33836">
                          <a:hlinkClick xmlns:r="http://schemas.openxmlformats.org/officeDocument/2006/relationships" r:id="rId13"/>
                          <a:extLst>
                            <a:ext uri="{FF2B5EF4-FFF2-40B4-BE49-F238E27FC236}">
                              <a16:creationId xmlns:a16="http://schemas.microsoft.com/office/drawing/2014/main" id="{2317AF89-807C-2556-718C-8CE4F06E365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33830" name="Group 33829">
                        <a:extLst>
                          <a:ext uri="{FF2B5EF4-FFF2-40B4-BE49-F238E27FC236}">
                            <a16:creationId xmlns:a16="http://schemas.microsoft.com/office/drawing/2014/main" id="{58543B3C-2627-6BCC-102C-23C065881174}"/>
                          </a:ext>
                        </a:extLst>
                      </xdr:cNvPr>
                      <xdr:cNvGrpSpPr/>
                    </xdr:nvGrpSpPr>
                    <xdr:grpSpPr>
                      <a:xfrm>
                        <a:off x="365760" y="3977640"/>
                        <a:ext cx="2438400" cy="457200"/>
                        <a:chOff x="365760" y="3535680"/>
                        <a:chExt cx="1584960" cy="457200"/>
                      </a:xfrm>
                    </xdr:grpSpPr>
                    <xdr:sp macro="" textlink="">
                      <xdr:nvSpPr>
                        <xdr:cNvPr id="33834" name="Rectangle 33833">
                          <a:hlinkClick xmlns:r="http://schemas.openxmlformats.org/officeDocument/2006/relationships" r:id="rId14"/>
                          <a:extLst>
                            <a:ext uri="{FF2B5EF4-FFF2-40B4-BE49-F238E27FC236}">
                              <a16:creationId xmlns:a16="http://schemas.microsoft.com/office/drawing/2014/main" id="{EC73F9E7-4E1B-4108-AC56-228B1E5D1BC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33835" name="Rectangle 33834">
                          <a:extLst>
                            <a:ext uri="{FF2B5EF4-FFF2-40B4-BE49-F238E27FC236}">
                              <a16:creationId xmlns:a16="http://schemas.microsoft.com/office/drawing/2014/main" id="{8973AA96-9579-E101-AB1E-01E5B4BC38A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33831" name="Group 33830">
                        <a:extLst>
                          <a:ext uri="{FF2B5EF4-FFF2-40B4-BE49-F238E27FC236}">
                            <a16:creationId xmlns:a16="http://schemas.microsoft.com/office/drawing/2014/main" id="{57047F66-6FCC-3038-547A-5A4405624A64}"/>
                          </a:ext>
                        </a:extLst>
                      </xdr:cNvPr>
                      <xdr:cNvGrpSpPr/>
                    </xdr:nvGrpSpPr>
                    <xdr:grpSpPr>
                      <a:xfrm>
                        <a:off x="365760" y="4411980"/>
                        <a:ext cx="2438400" cy="457200"/>
                        <a:chOff x="365760" y="3535680"/>
                        <a:chExt cx="1584960" cy="457200"/>
                      </a:xfrm>
                    </xdr:grpSpPr>
                    <xdr:sp macro="" textlink="">
                      <xdr:nvSpPr>
                        <xdr:cNvPr id="33832" name="Rectangle 33831">
                          <a:extLst>
                            <a:ext uri="{FF2B5EF4-FFF2-40B4-BE49-F238E27FC236}">
                              <a16:creationId xmlns:a16="http://schemas.microsoft.com/office/drawing/2014/main" id="{C90F4F98-FC88-5AC5-3C4B-233DA5D35F3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33833" name="Rectangle 33832">
                          <a:extLst>
                            <a:ext uri="{FF2B5EF4-FFF2-40B4-BE49-F238E27FC236}">
                              <a16:creationId xmlns:a16="http://schemas.microsoft.com/office/drawing/2014/main" id="{D8C5EB81-150A-135F-DCB1-FB2D3BC9138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3827" name="Rectangle 33826">
                      <a:extLst>
                        <a:ext uri="{FF2B5EF4-FFF2-40B4-BE49-F238E27FC236}">
                          <a16:creationId xmlns:a16="http://schemas.microsoft.com/office/drawing/2014/main" id="{8F7AAAFC-4453-B14D-42A5-B656BB4BB986}"/>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3820" name="Rectangle 33819">
                  <a:extLst>
                    <a:ext uri="{FF2B5EF4-FFF2-40B4-BE49-F238E27FC236}">
                      <a16:creationId xmlns:a16="http://schemas.microsoft.com/office/drawing/2014/main" id="{C9F3F281-A53B-6250-B3EC-952E76392A1D}"/>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33814" name="Rectangle: Rounded Corners 33813">
              <a:extLst>
                <a:ext uri="{FF2B5EF4-FFF2-40B4-BE49-F238E27FC236}">
                  <a16:creationId xmlns:a16="http://schemas.microsoft.com/office/drawing/2014/main" id="{DA3F09B2-67FB-11D7-BB10-DD1E0C272F25}"/>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33815" name="Rectangle: Rounded Corners 33814">
              <a:extLst>
                <a:ext uri="{FF2B5EF4-FFF2-40B4-BE49-F238E27FC236}">
                  <a16:creationId xmlns:a16="http://schemas.microsoft.com/office/drawing/2014/main" id="{3AD10888-6172-8581-ACB2-7F6157AA98C9}"/>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33816" name="Rectangle: Rounded Corners 33815">
              <a:extLst>
                <a:ext uri="{FF2B5EF4-FFF2-40B4-BE49-F238E27FC236}">
                  <a16:creationId xmlns:a16="http://schemas.microsoft.com/office/drawing/2014/main" id="{DD7740A2-CDA2-145B-C31A-53C4F8083DCD}"/>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33811" name="Picture 33810">
            <a:hlinkClick xmlns:r="http://schemas.openxmlformats.org/officeDocument/2006/relationships" r:id="rId15"/>
            <a:extLst>
              <a:ext uri="{FF2B5EF4-FFF2-40B4-BE49-F238E27FC236}">
                <a16:creationId xmlns:a16="http://schemas.microsoft.com/office/drawing/2014/main" id="{C651EEA5-2898-D83B-7B6B-990DE54371F1}"/>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twoCellAnchor>
    <xdr:from>
      <xdr:col>24</xdr:col>
      <xdr:colOff>607474</xdr:colOff>
      <xdr:row>3</xdr:row>
      <xdr:rowOff>111338</xdr:rowOff>
    </xdr:from>
    <xdr:to>
      <xdr:col>27</xdr:col>
      <xdr:colOff>0</xdr:colOff>
      <xdr:row>10</xdr:row>
      <xdr:rowOff>149012</xdr:rowOff>
    </xdr:to>
    <xdr:grpSp>
      <xdr:nvGrpSpPr>
        <xdr:cNvPr id="33886" name="Group 33885">
          <a:extLst>
            <a:ext uri="{FF2B5EF4-FFF2-40B4-BE49-F238E27FC236}">
              <a16:creationId xmlns:a16="http://schemas.microsoft.com/office/drawing/2014/main" id="{B66C4044-493D-49D6-A156-AC3CF3864211}"/>
            </a:ext>
          </a:extLst>
        </xdr:cNvPr>
        <xdr:cNvGrpSpPr/>
      </xdr:nvGrpSpPr>
      <xdr:grpSpPr>
        <a:xfrm>
          <a:off x="22832474" y="682838"/>
          <a:ext cx="1392776" cy="1371174"/>
          <a:chOff x="16551064" y="631192"/>
          <a:chExt cx="2256789" cy="1284391"/>
        </a:xfrm>
      </xdr:grpSpPr>
      <xdr:sp macro="" textlink="">
        <xdr:nvSpPr>
          <xdr:cNvPr id="33887" name="Rectangle 33886">
            <a:extLst>
              <a:ext uri="{FF2B5EF4-FFF2-40B4-BE49-F238E27FC236}">
                <a16:creationId xmlns:a16="http://schemas.microsoft.com/office/drawing/2014/main" id="{11D21BEE-9E73-9EA0-F794-624DF6BC9B1B}"/>
              </a:ext>
            </a:extLst>
          </xdr:cNvPr>
          <xdr:cNvSpPr/>
        </xdr:nvSpPr>
        <xdr:spPr>
          <a:xfrm>
            <a:off x="16882956" y="1017690"/>
            <a:ext cx="1587500" cy="281517"/>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a:t>
            </a:r>
            <a:r>
              <a:rPr lang="fr-FR" sz="1100" b="1" baseline="0">
                <a:latin typeface="+mn-lt"/>
              </a:rPr>
              <a:t> assistance</a:t>
            </a:r>
            <a:endParaRPr lang="fr-FR" sz="1100" b="1">
              <a:latin typeface="+mn-lt"/>
            </a:endParaRPr>
          </a:p>
        </xdr:txBody>
      </xdr:sp>
      <xdr:sp macro="" textlink="">
        <xdr:nvSpPr>
          <xdr:cNvPr id="33888" name="Rectangle 33887">
            <a:extLst>
              <a:ext uri="{FF2B5EF4-FFF2-40B4-BE49-F238E27FC236}">
                <a16:creationId xmlns:a16="http://schemas.microsoft.com/office/drawing/2014/main" id="{E08D4FCE-2BED-1E76-E33D-C6E61C9F05C2}"/>
              </a:ext>
            </a:extLst>
          </xdr:cNvPr>
          <xdr:cNvSpPr/>
        </xdr:nvSpPr>
        <xdr:spPr>
          <a:xfrm>
            <a:off x="16877452" y="1283542"/>
            <a:ext cx="1583690" cy="278977"/>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IT</a:t>
            </a:r>
            <a:r>
              <a:rPr lang="fr-FR" sz="1100" b="1" baseline="0">
                <a:latin typeface="+mn-lt"/>
              </a:rPr>
              <a:t> Support</a:t>
            </a:r>
            <a:endParaRPr lang="fr-FR" sz="1100" b="1">
              <a:latin typeface="+mn-lt"/>
            </a:endParaRPr>
          </a:p>
        </xdr:txBody>
      </xdr:sp>
      <xdr:sp macro="" textlink="">
        <xdr:nvSpPr>
          <xdr:cNvPr id="33889" name="Rectangle 33888">
            <a:extLst>
              <a:ext uri="{FF2B5EF4-FFF2-40B4-BE49-F238E27FC236}">
                <a16:creationId xmlns:a16="http://schemas.microsoft.com/office/drawing/2014/main" id="{476982BF-D77A-ED5B-5866-8CC94DD1C36C}"/>
              </a:ext>
            </a:extLst>
          </xdr:cNvPr>
          <xdr:cNvSpPr/>
        </xdr:nvSpPr>
        <xdr:spPr>
          <a:xfrm>
            <a:off x="16881263" y="1518915"/>
            <a:ext cx="1926590" cy="396668"/>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development</a:t>
            </a:r>
            <a:endParaRPr lang="fr-FR" sz="1100" b="1">
              <a:latin typeface="+mn-lt"/>
            </a:endParaRPr>
          </a:p>
        </xdr:txBody>
      </xdr:sp>
      <xdr:sp macro="" textlink="">
        <xdr:nvSpPr>
          <xdr:cNvPr id="33890" name="Rectangle 33889">
            <a:extLst>
              <a:ext uri="{FF2B5EF4-FFF2-40B4-BE49-F238E27FC236}">
                <a16:creationId xmlns:a16="http://schemas.microsoft.com/office/drawing/2014/main" id="{4CA60EDA-FB31-80D1-2936-C81D1F534760}"/>
              </a:ext>
            </a:extLst>
          </xdr:cNvPr>
          <xdr:cNvSpPr/>
        </xdr:nvSpPr>
        <xdr:spPr>
          <a:xfrm>
            <a:off x="16551064" y="631192"/>
            <a:ext cx="1546437" cy="359831"/>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Help</a:t>
            </a:r>
            <a:r>
              <a:rPr lang="fr-FR" sz="1800" b="1" baseline="0">
                <a:latin typeface="+mj-lt"/>
              </a:rPr>
              <a:t> Center</a:t>
            </a:r>
            <a:endParaRPr lang="fr-FR" sz="1800" b="1">
              <a:latin typeface="+mj-lt"/>
            </a:endParaRP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12700</xdr:colOff>
      <xdr:row>0</xdr:row>
      <xdr:rowOff>165100</xdr:rowOff>
    </xdr:from>
    <xdr:to>
      <xdr:col>23</xdr:col>
      <xdr:colOff>79388</xdr:colOff>
      <xdr:row>14</xdr:row>
      <xdr:rowOff>185904</xdr:rowOff>
    </xdr:to>
    <xdr:grpSp>
      <xdr:nvGrpSpPr>
        <xdr:cNvPr id="2" name="Group 1">
          <a:extLst>
            <a:ext uri="{FF2B5EF4-FFF2-40B4-BE49-F238E27FC236}">
              <a16:creationId xmlns:a16="http://schemas.microsoft.com/office/drawing/2014/main" id="{4117E4C6-587D-475E-A3B8-016412437F13}"/>
            </a:ext>
          </a:extLst>
        </xdr:cNvPr>
        <xdr:cNvGrpSpPr/>
      </xdr:nvGrpSpPr>
      <xdr:grpSpPr>
        <a:xfrm>
          <a:off x="12700" y="165100"/>
          <a:ext cx="20937021" cy="2687804"/>
          <a:chOff x="0" y="25400"/>
          <a:chExt cx="18808713" cy="2465554"/>
        </a:xfrm>
      </xdr:grpSpPr>
      <xdr:grpSp>
        <xdr:nvGrpSpPr>
          <xdr:cNvPr id="3" name="Group 2">
            <a:extLst>
              <a:ext uri="{FF2B5EF4-FFF2-40B4-BE49-F238E27FC236}">
                <a16:creationId xmlns:a16="http://schemas.microsoft.com/office/drawing/2014/main" id="{EC28EF69-983A-4A7B-784A-3A9257AE0C0C}"/>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59969420-AB7D-5C90-E7E0-A0288D3DCB02}"/>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1E8F901D-F50E-4F2D-841B-DCD93441ACEE}"/>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0A431A8F-F8BB-08DD-1429-9FD559D5F2E3}"/>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21B02BFF-67BB-EC72-2270-5BBB1C0CA9BA}"/>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C884EEB6-6653-781E-1278-2D469C4B735C}"/>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BD000C0B-B247-077F-150B-B0036E8A25E4}"/>
                      </a:ext>
                    </a:extLst>
                  </xdr:cNvPr>
                  <xdr:cNvGrpSpPr/>
                </xdr:nvGrpSpPr>
                <xdr:grpSpPr>
                  <a:xfrm>
                    <a:off x="2948940" y="3200400"/>
                    <a:ext cx="2743200" cy="1935480"/>
                    <a:chOff x="2948940" y="3200400"/>
                    <a:chExt cx="2743200" cy="1935480"/>
                  </a:xfrm>
                </xdr:grpSpPr>
                <xdr:grpSp>
                  <xdr:nvGrpSpPr>
                    <xdr:cNvPr id="67" name="Group 66">
                      <a:extLst>
                        <a:ext uri="{FF2B5EF4-FFF2-40B4-BE49-F238E27FC236}">
                          <a16:creationId xmlns:a16="http://schemas.microsoft.com/office/drawing/2014/main" id="{90669664-71BD-5F01-4571-AD24B82DB38C}"/>
                        </a:ext>
                      </a:extLst>
                    </xdr:cNvPr>
                    <xdr:cNvGrpSpPr/>
                  </xdr:nvGrpSpPr>
                  <xdr:grpSpPr>
                    <a:xfrm>
                      <a:off x="2948940" y="3200400"/>
                      <a:ext cx="2743200" cy="1714500"/>
                      <a:chOff x="60960" y="3154680"/>
                      <a:chExt cx="2743200" cy="1714500"/>
                    </a:xfrm>
                  </xdr:grpSpPr>
                  <xdr:sp macro="" textlink="">
                    <xdr:nvSpPr>
                      <xdr:cNvPr id="69" name="Rectangle 68">
                        <a:extLst>
                          <a:ext uri="{FF2B5EF4-FFF2-40B4-BE49-F238E27FC236}">
                            <a16:creationId xmlns:a16="http://schemas.microsoft.com/office/drawing/2014/main" id="{705FE1B4-E12A-74AC-9799-601BCFC9B984}"/>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0" name="Group 69">
                        <a:extLst>
                          <a:ext uri="{FF2B5EF4-FFF2-40B4-BE49-F238E27FC236}">
                            <a16:creationId xmlns:a16="http://schemas.microsoft.com/office/drawing/2014/main" id="{1BA09331-E098-5188-DA15-CC1AA7423FC0}"/>
                          </a:ext>
                        </a:extLst>
                      </xdr:cNvPr>
                      <xdr:cNvGrpSpPr/>
                    </xdr:nvGrpSpPr>
                    <xdr:grpSpPr>
                      <a:xfrm>
                        <a:off x="365760" y="3535680"/>
                        <a:ext cx="2438400" cy="457200"/>
                        <a:chOff x="365760" y="3535680"/>
                        <a:chExt cx="1584960" cy="457200"/>
                      </a:xfrm>
                    </xdr:grpSpPr>
                    <xdr:sp macro="" textlink="">
                      <xdr:nvSpPr>
                        <xdr:cNvPr id="77" name="Rectangle 76">
                          <a:hlinkClick xmlns:r="http://schemas.openxmlformats.org/officeDocument/2006/relationships" r:id="rId1"/>
                          <a:extLst>
                            <a:ext uri="{FF2B5EF4-FFF2-40B4-BE49-F238E27FC236}">
                              <a16:creationId xmlns:a16="http://schemas.microsoft.com/office/drawing/2014/main" id="{4CC45A22-B48A-0E37-3656-BE24145C6DA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8" name="Rectangle 77">
                          <a:hlinkClick xmlns:r="http://schemas.openxmlformats.org/officeDocument/2006/relationships" r:id="rId1"/>
                          <a:extLst>
                            <a:ext uri="{FF2B5EF4-FFF2-40B4-BE49-F238E27FC236}">
                              <a16:creationId xmlns:a16="http://schemas.microsoft.com/office/drawing/2014/main" id="{DB5DE35B-5B47-449C-D3DE-7957B5580E5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 name="Group 70">
                        <a:extLst>
                          <a:ext uri="{FF2B5EF4-FFF2-40B4-BE49-F238E27FC236}">
                            <a16:creationId xmlns:a16="http://schemas.microsoft.com/office/drawing/2014/main" id="{23E5A37F-3876-20BD-D7AE-1B1662BD66B3}"/>
                          </a:ext>
                        </a:extLst>
                      </xdr:cNvPr>
                      <xdr:cNvGrpSpPr/>
                    </xdr:nvGrpSpPr>
                    <xdr:grpSpPr>
                      <a:xfrm>
                        <a:off x="365760" y="3977640"/>
                        <a:ext cx="2438400" cy="457200"/>
                        <a:chOff x="365760" y="3535680"/>
                        <a:chExt cx="1584960" cy="457200"/>
                      </a:xfrm>
                    </xdr:grpSpPr>
                    <xdr:sp macro="" textlink="">
                      <xdr:nvSpPr>
                        <xdr:cNvPr id="75" name="Rectangle 74">
                          <a:extLst>
                            <a:ext uri="{FF2B5EF4-FFF2-40B4-BE49-F238E27FC236}">
                              <a16:creationId xmlns:a16="http://schemas.microsoft.com/office/drawing/2014/main" id="{9C19FAF7-DAC4-7F66-D825-B8AB96DA2E1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6" name="Rectangle 75">
                          <a:hlinkClick xmlns:r="http://schemas.openxmlformats.org/officeDocument/2006/relationships" r:id="rId2"/>
                          <a:extLst>
                            <a:ext uri="{FF2B5EF4-FFF2-40B4-BE49-F238E27FC236}">
                              <a16:creationId xmlns:a16="http://schemas.microsoft.com/office/drawing/2014/main" id="{782EBA24-DE45-986C-4203-6D0BDBA4593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2" name="Group 71">
                        <a:extLst>
                          <a:ext uri="{FF2B5EF4-FFF2-40B4-BE49-F238E27FC236}">
                            <a16:creationId xmlns:a16="http://schemas.microsoft.com/office/drawing/2014/main" id="{171E95C8-5755-A987-A488-C5C2E58228EB}"/>
                          </a:ext>
                        </a:extLst>
                      </xdr:cNvPr>
                      <xdr:cNvGrpSpPr/>
                    </xdr:nvGrpSpPr>
                    <xdr:grpSpPr>
                      <a:xfrm>
                        <a:off x="365760" y="4411980"/>
                        <a:ext cx="2438400" cy="457200"/>
                        <a:chOff x="365760" y="3535680"/>
                        <a:chExt cx="1584960" cy="457200"/>
                      </a:xfrm>
                    </xdr:grpSpPr>
                    <xdr:sp macro="" textlink="">
                      <xdr:nvSpPr>
                        <xdr:cNvPr id="73" name="Rectangle 72">
                          <a:hlinkClick xmlns:r="http://schemas.openxmlformats.org/officeDocument/2006/relationships" r:id="rId3"/>
                          <a:extLst>
                            <a:ext uri="{FF2B5EF4-FFF2-40B4-BE49-F238E27FC236}">
                              <a16:creationId xmlns:a16="http://schemas.microsoft.com/office/drawing/2014/main" id="{DC381DD7-91F5-F152-9C75-7CD07B7628F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4" name="Rectangle 73">
                          <a:extLst>
                            <a:ext uri="{FF2B5EF4-FFF2-40B4-BE49-F238E27FC236}">
                              <a16:creationId xmlns:a16="http://schemas.microsoft.com/office/drawing/2014/main" id="{E67AD783-6CDB-AC56-C667-64FAE4497B9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8" name="Rectangle 67">
                      <a:extLst>
                        <a:ext uri="{FF2B5EF4-FFF2-40B4-BE49-F238E27FC236}">
                          <a16:creationId xmlns:a16="http://schemas.microsoft.com/office/drawing/2014/main" id="{150EFEBA-177C-B48A-745E-674F3F6CF12C}"/>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7CE07C1E-11B5-EF1B-DA63-D30C05892D46}"/>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BB7BD71E-7350-564C-B3EF-E7DB8909BA2F}"/>
                        </a:ext>
                      </a:extLst>
                    </xdr:cNvPr>
                    <xdr:cNvGrpSpPr/>
                  </xdr:nvGrpSpPr>
                  <xdr:grpSpPr>
                    <a:xfrm>
                      <a:off x="205740" y="3192780"/>
                      <a:ext cx="2743200" cy="1714500"/>
                      <a:chOff x="60960" y="3154680"/>
                      <a:chExt cx="2743200" cy="1714500"/>
                    </a:xfrm>
                  </xdr:grpSpPr>
                  <xdr:sp macro="" textlink="">
                    <xdr:nvSpPr>
                      <xdr:cNvPr id="57" name="Rectangle 56">
                        <a:extLst>
                          <a:ext uri="{FF2B5EF4-FFF2-40B4-BE49-F238E27FC236}">
                            <a16:creationId xmlns:a16="http://schemas.microsoft.com/office/drawing/2014/main" id="{057FEEFE-49A9-5916-E154-2FD0D9455EE4}"/>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8" name="Group 57">
                        <a:extLst>
                          <a:ext uri="{FF2B5EF4-FFF2-40B4-BE49-F238E27FC236}">
                            <a16:creationId xmlns:a16="http://schemas.microsoft.com/office/drawing/2014/main" id="{3C681E43-FCA3-8DA0-2357-5FD102ADF8F6}"/>
                          </a:ext>
                        </a:extLst>
                      </xdr:cNvPr>
                      <xdr:cNvGrpSpPr/>
                    </xdr:nvGrpSpPr>
                    <xdr:grpSpPr>
                      <a:xfrm>
                        <a:off x="365760" y="3535680"/>
                        <a:ext cx="2438400" cy="457200"/>
                        <a:chOff x="365760" y="3535680"/>
                        <a:chExt cx="1584960" cy="457200"/>
                      </a:xfrm>
                    </xdr:grpSpPr>
                    <xdr:sp macro="" textlink="">
                      <xdr:nvSpPr>
                        <xdr:cNvPr id="65" name="Rectangle 64">
                          <a:hlinkClick xmlns:r="http://schemas.openxmlformats.org/officeDocument/2006/relationships" r:id="rId4"/>
                          <a:extLst>
                            <a:ext uri="{FF2B5EF4-FFF2-40B4-BE49-F238E27FC236}">
                              <a16:creationId xmlns:a16="http://schemas.microsoft.com/office/drawing/2014/main" id="{F41DE59C-B2DE-5D65-F69E-75B930E1727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6" name="Rectangle 65">
                          <a:hlinkClick xmlns:r="http://schemas.openxmlformats.org/officeDocument/2006/relationships" r:id="rId5"/>
                          <a:extLst>
                            <a:ext uri="{FF2B5EF4-FFF2-40B4-BE49-F238E27FC236}">
                              <a16:creationId xmlns:a16="http://schemas.microsoft.com/office/drawing/2014/main" id="{2183005A-C55D-CB2A-B1E6-77A66114B56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59" name="Group 58">
                        <a:extLst>
                          <a:ext uri="{FF2B5EF4-FFF2-40B4-BE49-F238E27FC236}">
                            <a16:creationId xmlns:a16="http://schemas.microsoft.com/office/drawing/2014/main" id="{05B3187F-D0D9-543F-374B-DB86BCDD5295}"/>
                          </a:ext>
                        </a:extLst>
                      </xdr:cNvPr>
                      <xdr:cNvGrpSpPr/>
                    </xdr:nvGrpSpPr>
                    <xdr:grpSpPr>
                      <a:xfrm>
                        <a:off x="365760" y="3977640"/>
                        <a:ext cx="2438400" cy="457200"/>
                        <a:chOff x="365760" y="3535680"/>
                        <a:chExt cx="1584960" cy="457200"/>
                      </a:xfrm>
                    </xdr:grpSpPr>
                    <xdr:sp macro="" textlink="">
                      <xdr:nvSpPr>
                        <xdr:cNvPr id="63" name="Rectangle 62">
                          <a:hlinkClick xmlns:r="http://schemas.openxmlformats.org/officeDocument/2006/relationships" r:id="rId6"/>
                          <a:extLst>
                            <a:ext uri="{FF2B5EF4-FFF2-40B4-BE49-F238E27FC236}">
                              <a16:creationId xmlns:a16="http://schemas.microsoft.com/office/drawing/2014/main" id="{A8462288-8BF7-20E2-4431-2DA6CA6F87D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4" name="Rectangle 63">
                          <a:hlinkClick xmlns:r="http://schemas.openxmlformats.org/officeDocument/2006/relationships" r:id="rId7"/>
                          <a:extLst>
                            <a:ext uri="{FF2B5EF4-FFF2-40B4-BE49-F238E27FC236}">
                              <a16:creationId xmlns:a16="http://schemas.microsoft.com/office/drawing/2014/main" id="{85B559DA-EC96-6D3D-A6BB-7DFC7FF47EB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0" name="Group 59">
                        <a:extLst>
                          <a:ext uri="{FF2B5EF4-FFF2-40B4-BE49-F238E27FC236}">
                            <a16:creationId xmlns:a16="http://schemas.microsoft.com/office/drawing/2014/main" id="{8E375C4E-AA73-7055-039F-6F931287FFE8}"/>
                          </a:ext>
                        </a:extLst>
                      </xdr:cNvPr>
                      <xdr:cNvGrpSpPr/>
                    </xdr:nvGrpSpPr>
                    <xdr:grpSpPr>
                      <a:xfrm>
                        <a:off x="365760" y="4411980"/>
                        <a:ext cx="2438400" cy="457200"/>
                        <a:chOff x="365760" y="3535680"/>
                        <a:chExt cx="1584960" cy="457200"/>
                      </a:xfrm>
                    </xdr:grpSpPr>
                    <xdr:sp macro="" textlink="">
                      <xdr:nvSpPr>
                        <xdr:cNvPr id="61" name="Rectangle 60">
                          <a:hlinkClick xmlns:r="http://schemas.openxmlformats.org/officeDocument/2006/relationships" r:id="rId8"/>
                          <a:extLst>
                            <a:ext uri="{FF2B5EF4-FFF2-40B4-BE49-F238E27FC236}">
                              <a16:creationId xmlns:a16="http://schemas.microsoft.com/office/drawing/2014/main" id="{0D29BE24-947C-C782-A501-0FA05916C0B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2" name="Rectangle 61">
                          <a:hlinkClick xmlns:r="http://schemas.openxmlformats.org/officeDocument/2006/relationships" r:id="rId9"/>
                          <a:extLst>
                            <a:ext uri="{FF2B5EF4-FFF2-40B4-BE49-F238E27FC236}">
                              <a16:creationId xmlns:a16="http://schemas.microsoft.com/office/drawing/2014/main" id="{577874AC-E919-6557-F2B6-FA02E67E288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E0F86846-658A-567E-4C03-8D8FBF2C2F52}"/>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72702724-5714-ABDC-476F-0C8DE87BC7D1}"/>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CF41D64A-EF36-E60F-6D40-30CC9D846EBD}"/>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209A1F42-C30A-EF0E-FE82-0E81B9729883}"/>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DBAF82BF-B007-8E0E-57F6-2E1EA9BB4388}"/>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F418D059-4A0E-AA0C-7090-D69EE83C52A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253215C6-4474-1B46-A0B7-882B3424023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7E4C2430-7798-68FF-1366-8218D7DAF9E4}"/>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FA6A7AD5-CD91-4D13-3529-D1F48B86454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C172029A-23C0-9ED6-159B-F227C0D22E2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592D5BD3-DE27-A79C-F401-A5499B991E3B}"/>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E1B3C074-12DB-71F9-5762-2D2CB07166A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8224FCCD-C19A-72E9-35D4-E570167F285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AABF6578-7ADB-AF6E-6052-D6DB5A32920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6D77A8B3-F52E-C524-A50F-6FCCE80EECCE}"/>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9B383CD5-EB3E-0419-F1F6-A9737FFF2737}"/>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F42DBD01-F7C2-B594-D9FB-498AF2AE0FA7}"/>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F35D40BC-DFA8-5FC6-93C1-2B96A50ED0D8}"/>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E4BC840B-769F-724F-6226-82F152DF095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FA7823B0-9254-9E89-5FC6-DE66C89E07D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9B19341F-B6B8-AAFE-D814-47DBC6F86937}"/>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7C6DBB4A-4497-1289-ED2F-F2585DB1168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944C8CA0-78BA-6EFA-5782-94A5CBF2BC2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51F59D06-A98A-A7F8-510B-6CD4DCDF551D}"/>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3D7E081F-B6B7-0AFA-ADFD-C5D1C1C41CB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1D637D7B-7F71-430C-5292-E5450E08267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F9CFC8CF-6DF3-93E4-FE65-AB27CEAFE1E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5DE6B814-A531-543B-0C4B-7A9EB27E5E45}"/>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6F6D0483-9A8D-8538-A85E-58A98A12B145}"/>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6F9463F8-0214-FC34-8B80-FE6E59B034FD}"/>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DDC1DC86-B32A-0A63-C76F-AF309642F4EA}"/>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E4CA787C-0508-C1F4-7D26-326D029CABB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E87150A0-F51B-A023-7DE9-1870E0A1A91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C6D7F4B1-C0B1-5B6D-626A-A24C9E598673}"/>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DD3BAB60-22EE-03CD-25B5-A71F156C9B9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A3C6A636-7DA1-FF82-A737-56184D6D137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A6B8DF81-329F-7654-9EEA-2C2D9FA6F09B}"/>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26CC786E-43F8-BC35-B723-62D8968F8D8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EB91B49F-1042-761F-BFA2-DBD13721F3F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90EED578-1D37-7722-2B93-E65A64A0FF9D}"/>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EDF068BA-6173-B122-AB6D-2D8277E1AEC5}"/>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61585BCA-8D2E-815D-A03E-9119104976F1}"/>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C4E761FD-A74B-7EEC-9A91-B10DF352FEEE}"/>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D30C5308-D44C-FEE7-7834-A0DC0808FF69}"/>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80E74DB4-4C77-24C7-9A5C-7A6E946DEFED}"/>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12700</xdr:colOff>
      <xdr:row>0</xdr:row>
      <xdr:rowOff>165100</xdr:rowOff>
    </xdr:from>
    <xdr:to>
      <xdr:col>23</xdr:col>
      <xdr:colOff>79388</xdr:colOff>
      <xdr:row>15</xdr:row>
      <xdr:rowOff>0</xdr:rowOff>
    </xdr:to>
    <xdr:grpSp>
      <xdr:nvGrpSpPr>
        <xdr:cNvPr id="2" name="Group 1">
          <a:extLst>
            <a:ext uri="{FF2B5EF4-FFF2-40B4-BE49-F238E27FC236}">
              <a16:creationId xmlns:a16="http://schemas.microsoft.com/office/drawing/2014/main" id="{704D784F-EF2C-430F-97D8-6411B0C11C5E}"/>
            </a:ext>
          </a:extLst>
        </xdr:cNvPr>
        <xdr:cNvGrpSpPr/>
      </xdr:nvGrpSpPr>
      <xdr:grpSpPr>
        <a:xfrm>
          <a:off x="12700" y="165100"/>
          <a:ext cx="21370938" cy="2740025"/>
          <a:chOff x="0" y="25400"/>
          <a:chExt cx="18808713" cy="2465554"/>
        </a:xfrm>
      </xdr:grpSpPr>
      <xdr:grpSp>
        <xdr:nvGrpSpPr>
          <xdr:cNvPr id="3" name="Group 2">
            <a:extLst>
              <a:ext uri="{FF2B5EF4-FFF2-40B4-BE49-F238E27FC236}">
                <a16:creationId xmlns:a16="http://schemas.microsoft.com/office/drawing/2014/main" id="{96BD4402-BF32-7A1D-7BA5-1196A501AA55}"/>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E2270A86-5EA5-12A9-94BB-D034D78991F7}"/>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CDBE5502-124A-CF85-9F0A-0008FD4EAE41}"/>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1B459B54-1375-F908-8252-231934EF140F}"/>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70D37A33-F6E6-EB2F-4BE9-931BEDB19664}"/>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2C5E25D4-8E22-3E19-895B-D9490DEC26C1}"/>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D5B2195F-0760-6203-B2BC-6646F4ADAB74}"/>
                      </a:ext>
                    </a:extLst>
                  </xdr:cNvPr>
                  <xdr:cNvGrpSpPr/>
                </xdr:nvGrpSpPr>
                <xdr:grpSpPr>
                  <a:xfrm>
                    <a:off x="2948940" y="3200400"/>
                    <a:ext cx="2743200" cy="1935480"/>
                    <a:chOff x="2948940" y="3200400"/>
                    <a:chExt cx="2743200" cy="1935480"/>
                  </a:xfrm>
                </xdr:grpSpPr>
                <xdr:grpSp>
                  <xdr:nvGrpSpPr>
                    <xdr:cNvPr id="67" name="Group 66">
                      <a:extLst>
                        <a:ext uri="{FF2B5EF4-FFF2-40B4-BE49-F238E27FC236}">
                          <a16:creationId xmlns:a16="http://schemas.microsoft.com/office/drawing/2014/main" id="{3446921E-F079-3B84-D05C-546996442CC7}"/>
                        </a:ext>
                      </a:extLst>
                    </xdr:cNvPr>
                    <xdr:cNvGrpSpPr/>
                  </xdr:nvGrpSpPr>
                  <xdr:grpSpPr>
                    <a:xfrm>
                      <a:off x="2948940" y="3200400"/>
                      <a:ext cx="2743200" cy="1714500"/>
                      <a:chOff x="60960" y="3154680"/>
                      <a:chExt cx="2743200" cy="1714500"/>
                    </a:xfrm>
                  </xdr:grpSpPr>
                  <xdr:sp macro="" textlink="">
                    <xdr:nvSpPr>
                      <xdr:cNvPr id="69" name="Rectangle 68">
                        <a:extLst>
                          <a:ext uri="{FF2B5EF4-FFF2-40B4-BE49-F238E27FC236}">
                            <a16:creationId xmlns:a16="http://schemas.microsoft.com/office/drawing/2014/main" id="{C5E6A1B8-0EEB-18EE-1498-522AC5E387BA}"/>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0" name="Group 69">
                        <a:extLst>
                          <a:ext uri="{FF2B5EF4-FFF2-40B4-BE49-F238E27FC236}">
                            <a16:creationId xmlns:a16="http://schemas.microsoft.com/office/drawing/2014/main" id="{03B727B5-ED15-6F34-6D81-22DF6EAB0F62}"/>
                          </a:ext>
                        </a:extLst>
                      </xdr:cNvPr>
                      <xdr:cNvGrpSpPr/>
                    </xdr:nvGrpSpPr>
                    <xdr:grpSpPr>
                      <a:xfrm>
                        <a:off x="365760" y="3535680"/>
                        <a:ext cx="2438400" cy="457200"/>
                        <a:chOff x="365760" y="3535680"/>
                        <a:chExt cx="1584960" cy="457200"/>
                      </a:xfrm>
                    </xdr:grpSpPr>
                    <xdr:sp macro="" textlink="">
                      <xdr:nvSpPr>
                        <xdr:cNvPr id="77" name="Rectangle 76">
                          <a:hlinkClick xmlns:r="http://schemas.openxmlformats.org/officeDocument/2006/relationships" r:id="rId1"/>
                          <a:extLst>
                            <a:ext uri="{FF2B5EF4-FFF2-40B4-BE49-F238E27FC236}">
                              <a16:creationId xmlns:a16="http://schemas.microsoft.com/office/drawing/2014/main" id="{A39FBEFF-7D96-70EA-1A58-CF6AED1E64B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8" name="Rectangle 77">
                          <a:hlinkClick xmlns:r="http://schemas.openxmlformats.org/officeDocument/2006/relationships" r:id="rId1"/>
                          <a:extLst>
                            <a:ext uri="{FF2B5EF4-FFF2-40B4-BE49-F238E27FC236}">
                              <a16:creationId xmlns:a16="http://schemas.microsoft.com/office/drawing/2014/main" id="{758EE10A-9697-1162-4AC5-A7DC89E8E4A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 name="Group 70">
                        <a:extLst>
                          <a:ext uri="{FF2B5EF4-FFF2-40B4-BE49-F238E27FC236}">
                            <a16:creationId xmlns:a16="http://schemas.microsoft.com/office/drawing/2014/main" id="{7D2985B4-85A1-FE86-C2E2-DFBB19684E94}"/>
                          </a:ext>
                        </a:extLst>
                      </xdr:cNvPr>
                      <xdr:cNvGrpSpPr/>
                    </xdr:nvGrpSpPr>
                    <xdr:grpSpPr>
                      <a:xfrm>
                        <a:off x="365760" y="3977640"/>
                        <a:ext cx="2438400" cy="457200"/>
                        <a:chOff x="365760" y="3535680"/>
                        <a:chExt cx="1584960" cy="457200"/>
                      </a:xfrm>
                    </xdr:grpSpPr>
                    <xdr:sp macro="" textlink="">
                      <xdr:nvSpPr>
                        <xdr:cNvPr id="75" name="Rectangle 74">
                          <a:extLst>
                            <a:ext uri="{FF2B5EF4-FFF2-40B4-BE49-F238E27FC236}">
                              <a16:creationId xmlns:a16="http://schemas.microsoft.com/office/drawing/2014/main" id="{C1E0B699-35F8-5A2C-D78F-3E63866D12C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6" name="Rectangle 75">
                          <a:hlinkClick xmlns:r="http://schemas.openxmlformats.org/officeDocument/2006/relationships" r:id="rId2"/>
                          <a:extLst>
                            <a:ext uri="{FF2B5EF4-FFF2-40B4-BE49-F238E27FC236}">
                              <a16:creationId xmlns:a16="http://schemas.microsoft.com/office/drawing/2014/main" id="{EE83CC7B-B2AC-13F0-0E57-FAA61B052CC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2" name="Group 71">
                        <a:extLst>
                          <a:ext uri="{FF2B5EF4-FFF2-40B4-BE49-F238E27FC236}">
                            <a16:creationId xmlns:a16="http://schemas.microsoft.com/office/drawing/2014/main" id="{913CC160-94A2-EB63-957C-75600C06CB45}"/>
                          </a:ext>
                        </a:extLst>
                      </xdr:cNvPr>
                      <xdr:cNvGrpSpPr/>
                    </xdr:nvGrpSpPr>
                    <xdr:grpSpPr>
                      <a:xfrm>
                        <a:off x="365760" y="4411980"/>
                        <a:ext cx="2438400" cy="457200"/>
                        <a:chOff x="365760" y="3535680"/>
                        <a:chExt cx="1584960" cy="457200"/>
                      </a:xfrm>
                    </xdr:grpSpPr>
                    <xdr:sp macro="" textlink="">
                      <xdr:nvSpPr>
                        <xdr:cNvPr id="73" name="Rectangle 72">
                          <a:hlinkClick xmlns:r="http://schemas.openxmlformats.org/officeDocument/2006/relationships" r:id="rId3"/>
                          <a:extLst>
                            <a:ext uri="{FF2B5EF4-FFF2-40B4-BE49-F238E27FC236}">
                              <a16:creationId xmlns:a16="http://schemas.microsoft.com/office/drawing/2014/main" id="{BC938FB1-DD5B-F910-99B8-A4E6BE52183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4" name="Rectangle 73">
                          <a:extLst>
                            <a:ext uri="{FF2B5EF4-FFF2-40B4-BE49-F238E27FC236}">
                              <a16:creationId xmlns:a16="http://schemas.microsoft.com/office/drawing/2014/main" id="{3C22B293-6989-7D16-4C17-447F97017A1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8" name="Rectangle 67">
                      <a:extLst>
                        <a:ext uri="{FF2B5EF4-FFF2-40B4-BE49-F238E27FC236}">
                          <a16:creationId xmlns:a16="http://schemas.microsoft.com/office/drawing/2014/main" id="{2300E53F-4480-5102-3D92-9902DF6F13B7}"/>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9F8D09AC-2271-9A40-8DA8-C4E6BEECFB93}"/>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13C5C5F4-21E3-B633-CCBF-1A5F9FE31D27}"/>
                        </a:ext>
                      </a:extLst>
                    </xdr:cNvPr>
                    <xdr:cNvGrpSpPr/>
                  </xdr:nvGrpSpPr>
                  <xdr:grpSpPr>
                    <a:xfrm>
                      <a:off x="205740" y="3192780"/>
                      <a:ext cx="2743200" cy="1714500"/>
                      <a:chOff x="60960" y="3154680"/>
                      <a:chExt cx="2743200" cy="1714500"/>
                    </a:xfrm>
                  </xdr:grpSpPr>
                  <xdr:sp macro="" textlink="">
                    <xdr:nvSpPr>
                      <xdr:cNvPr id="57" name="Rectangle 56">
                        <a:extLst>
                          <a:ext uri="{FF2B5EF4-FFF2-40B4-BE49-F238E27FC236}">
                            <a16:creationId xmlns:a16="http://schemas.microsoft.com/office/drawing/2014/main" id="{E6293157-6BDA-316B-A318-93C5386243E3}"/>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8" name="Group 57">
                        <a:extLst>
                          <a:ext uri="{FF2B5EF4-FFF2-40B4-BE49-F238E27FC236}">
                            <a16:creationId xmlns:a16="http://schemas.microsoft.com/office/drawing/2014/main" id="{68B1DE2C-FF32-8439-69D9-1C62D46F1F6F}"/>
                          </a:ext>
                        </a:extLst>
                      </xdr:cNvPr>
                      <xdr:cNvGrpSpPr/>
                    </xdr:nvGrpSpPr>
                    <xdr:grpSpPr>
                      <a:xfrm>
                        <a:off x="365760" y="3535680"/>
                        <a:ext cx="2438400" cy="457200"/>
                        <a:chOff x="365760" y="3535680"/>
                        <a:chExt cx="1584960" cy="457200"/>
                      </a:xfrm>
                    </xdr:grpSpPr>
                    <xdr:sp macro="" textlink="">
                      <xdr:nvSpPr>
                        <xdr:cNvPr id="65" name="Rectangle 64">
                          <a:hlinkClick xmlns:r="http://schemas.openxmlformats.org/officeDocument/2006/relationships" r:id="rId4"/>
                          <a:extLst>
                            <a:ext uri="{FF2B5EF4-FFF2-40B4-BE49-F238E27FC236}">
                              <a16:creationId xmlns:a16="http://schemas.microsoft.com/office/drawing/2014/main" id="{A67A903A-C383-94A5-DE48-CBFF79201A2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6" name="Rectangle 65">
                          <a:hlinkClick xmlns:r="http://schemas.openxmlformats.org/officeDocument/2006/relationships" r:id="rId5"/>
                          <a:extLst>
                            <a:ext uri="{FF2B5EF4-FFF2-40B4-BE49-F238E27FC236}">
                              <a16:creationId xmlns:a16="http://schemas.microsoft.com/office/drawing/2014/main" id="{6FD1C532-B282-89FE-F0C7-30D762814E6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59" name="Group 58">
                        <a:extLst>
                          <a:ext uri="{FF2B5EF4-FFF2-40B4-BE49-F238E27FC236}">
                            <a16:creationId xmlns:a16="http://schemas.microsoft.com/office/drawing/2014/main" id="{C6A7A77E-CA31-8B8D-BA18-5EC6ABD7CC0C}"/>
                          </a:ext>
                        </a:extLst>
                      </xdr:cNvPr>
                      <xdr:cNvGrpSpPr/>
                    </xdr:nvGrpSpPr>
                    <xdr:grpSpPr>
                      <a:xfrm>
                        <a:off x="365760" y="3977640"/>
                        <a:ext cx="2438400" cy="457200"/>
                        <a:chOff x="365760" y="3535680"/>
                        <a:chExt cx="1584960" cy="457200"/>
                      </a:xfrm>
                    </xdr:grpSpPr>
                    <xdr:sp macro="" textlink="">
                      <xdr:nvSpPr>
                        <xdr:cNvPr id="63" name="Rectangle 62">
                          <a:hlinkClick xmlns:r="http://schemas.openxmlformats.org/officeDocument/2006/relationships" r:id="rId6"/>
                          <a:extLst>
                            <a:ext uri="{FF2B5EF4-FFF2-40B4-BE49-F238E27FC236}">
                              <a16:creationId xmlns:a16="http://schemas.microsoft.com/office/drawing/2014/main" id="{7E7F5F1A-5858-258B-2501-B15D23FA83F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4" name="Rectangle 63">
                          <a:hlinkClick xmlns:r="http://schemas.openxmlformats.org/officeDocument/2006/relationships" r:id="rId7"/>
                          <a:extLst>
                            <a:ext uri="{FF2B5EF4-FFF2-40B4-BE49-F238E27FC236}">
                              <a16:creationId xmlns:a16="http://schemas.microsoft.com/office/drawing/2014/main" id="{C81AFBB8-F6DA-AE5A-0351-BB6F57D3828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0" name="Group 59">
                        <a:extLst>
                          <a:ext uri="{FF2B5EF4-FFF2-40B4-BE49-F238E27FC236}">
                            <a16:creationId xmlns:a16="http://schemas.microsoft.com/office/drawing/2014/main" id="{76866EA3-5019-D978-1D89-636E7D63836D}"/>
                          </a:ext>
                        </a:extLst>
                      </xdr:cNvPr>
                      <xdr:cNvGrpSpPr/>
                    </xdr:nvGrpSpPr>
                    <xdr:grpSpPr>
                      <a:xfrm>
                        <a:off x="365760" y="4411980"/>
                        <a:ext cx="2438400" cy="457200"/>
                        <a:chOff x="365760" y="3535680"/>
                        <a:chExt cx="1584960" cy="457200"/>
                      </a:xfrm>
                    </xdr:grpSpPr>
                    <xdr:sp macro="" textlink="">
                      <xdr:nvSpPr>
                        <xdr:cNvPr id="61" name="Rectangle 60">
                          <a:hlinkClick xmlns:r="http://schemas.openxmlformats.org/officeDocument/2006/relationships" r:id="rId8"/>
                          <a:extLst>
                            <a:ext uri="{FF2B5EF4-FFF2-40B4-BE49-F238E27FC236}">
                              <a16:creationId xmlns:a16="http://schemas.microsoft.com/office/drawing/2014/main" id="{9AEA9074-D58D-DAB3-E3A6-8CCCF17A7F4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2" name="Rectangle 61">
                          <a:hlinkClick xmlns:r="http://schemas.openxmlformats.org/officeDocument/2006/relationships" r:id="rId9"/>
                          <a:extLst>
                            <a:ext uri="{FF2B5EF4-FFF2-40B4-BE49-F238E27FC236}">
                              <a16:creationId xmlns:a16="http://schemas.microsoft.com/office/drawing/2014/main" id="{40DEBD7E-89F5-339B-3D5C-66EAC5675D1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D5835E71-CBB4-03F9-3985-7B7089206E7E}"/>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C4806A79-4A1F-6BDE-4782-F013D6D739FD}"/>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2ACA4A2E-6F3F-56D9-9BB0-DE2603C334BA}"/>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A45D6342-371E-1377-6D85-4282D9EFCBA6}"/>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61AC40CF-4D66-F0C6-7FDB-136F8B51AE42}"/>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7229B862-7F64-6077-6172-582BFE54F02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8E200FF9-5FB2-9981-ABB6-EE81B4A48D0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1DB4272C-124C-7240-F413-1D4FF31FD592}"/>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732A4030-1101-EB04-1104-05FDC87B668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D443CEE5-B383-8AA6-B115-E26FDA05316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0AB2AC46-3E11-EC22-4244-242B83A173E0}"/>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96736486-7766-FFC7-5EC1-85CDA55488F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481E1B86-4085-FC0C-A2BD-A505279C78A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B8206C15-A54F-13B6-C103-531A379EFE6C}"/>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C9DC4C72-2842-E14B-FE5A-9B0C99AC7F89}"/>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16F9E828-74DE-13A1-DC8B-5C1FE06FA4C4}"/>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F82BF83D-76C4-D9A7-8595-7E6966F76F03}"/>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C063C11F-9FCC-56AE-9A10-EE7BE936E082}"/>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03007EE4-0B51-69C3-FAB6-A5E6E2980C3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AC5B25B9-BC68-5610-BDB8-D1B88D1F55C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C76970F5-31B9-0E19-5F42-D58ECF7E9F32}"/>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08EA6C53-3D98-08D3-0174-CB7FB25857A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C2B0B779-F981-8530-0AE8-80BC37CBF94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4DE4FB90-BA3A-5813-AA87-66D0BE3DAD11}"/>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9D14B9B9-3F6D-F124-C958-D268C1FEAFD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486D22FB-F736-E0BA-72C0-EA68D297D3B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024B9552-3FBC-FFA7-CEAB-30DBF7DC2AAD}"/>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C745D7D0-C7EB-B5A0-CFDF-42391DADEDB4}"/>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84CDC204-A6DC-E56D-00B2-51636A3C92BD}"/>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D004C9C3-4F59-1E86-52B5-DA1EB6ACA6F4}"/>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5BCC04AB-E480-36E4-16DA-B8B097B42077}"/>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A1CD86D0-D0A8-AB68-5104-F41221D3A81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D81A13D7-F426-ADD2-19D5-093BE4DB97E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CADEE392-6C73-AE95-E1AB-74BE2B1326A1}"/>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36E7445C-B470-3E21-8504-1FA83160FDF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9888DD3D-CC05-42F9-48FF-B4D2B3D59AB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5E2FFEDD-CF0F-3111-B3F9-4505222DFBCB}"/>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47D26B1F-5BE1-24BF-5739-2FD626633A1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E1E1732C-281B-2605-CABC-F22086E1933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9764CD9A-3839-78EC-1DA4-7C906D1E5340}"/>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19919043-2326-5356-7D9A-DD5A7AD74EF4}"/>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FB6F6BC8-C53D-5322-F743-125BE50D9EF3}"/>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183E0BB5-37F9-AECC-0DA6-67BE14B9CEFD}"/>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5B49B948-43E1-F1AF-DE46-A7C012A835A0}"/>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2E30B18F-C275-7C49-7FF7-C26F97B29C67}"/>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165100</xdr:rowOff>
    </xdr:from>
    <xdr:to>
      <xdr:col>22</xdr:col>
      <xdr:colOff>79388</xdr:colOff>
      <xdr:row>15</xdr:row>
      <xdr:rowOff>0</xdr:rowOff>
    </xdr:to>
    <xdr:grpSp>
      <xdr:nvGrpSpPr>
        <xdr:cNvPr id="2" name="Group 1">
          <a:extLst>
            <a:ext uri="{FF2B5EF4-FFF2-40B4-BE49-F238E27FC236}">
              <a16:creationId xmlns:a16="http://schemas.microsoft.com/office/drawing/2014/main" id="{1C71C57C-3D5C-435B-A0CB-33B9EA5FB068}"/>
            </a:ext>
          </a:extLst>
        </xdr:cNvPr>
        <xdr:cNvGrpSpPr/>
      </xdr:nvGrpSpPr>
      <xdr:grpSpPr>
        <a:xfrm>
          <a:off x="0" y="165100"/>
          <a:ext cx="20716888" cy="2740025"/>
          <a:chOff x="0" y="25400"/>
          <a:chExt cx="18808713" cy="2465554"/>
        </a:xfrm>
      </xdr:grpSpPr>
      <xdr:grpSp>
        <xdr:nvGrpSpPr>
          <xdr:cNvPr id="3" name="Group 2">
            <a:extLst>
              <a:ext uri="{FF2B5EF4-FFF2-40B4-BE49-F238E27FC236}">
                <a16:creationId xmlns:a16="http://schemas.microsoft.com/office/drawing/2014/main" id="{5644DFA4-E019-D9F7-1D77-C4210C3A6D12}"/>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B0C4BCD5-B77D-95CD-E1C3-10648F00A946}"/>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F28A07E7-36D5-3568-5088-44C8A8D16901}"/>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69838033-307D-4A19-E312-1464A352E67C}"/>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283771B3-F4A2-FEB5-0EC2-31F33D845272}"/>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7A7AE38D-B490-8325-D7A2-BF25A3A49725}"/>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74261247-405D-992C-9037-32D7BBA5AFED}"/>
                      </a:ext>
                    </a:extLst>
                  </xdr:cNvPr>
                  <xdr:cNvGrpSpPr/>
                </xdr:nvGrpSpPr>
                <xdr:grpSpPr>
                  <a:xfrm>
                    <a:off x="2948940" y="3200400"/>
                    <a:ext cx="2743200" cy="1935480"/>
                    <a:chOff x="2948940" y="3200400"/>
                    <a:chExt cx="2743200" cy="1935480"/>
                  </a:xfrm>
                </xdr:grpSpPr>
                <xdr:grpSp>
                  <xdr:nvGrpSpPr>
                    <xdr:cNvPr id="67" name="Group 66">
                      <a:extLst>
                        <a:ext uri="{FF2B5EF4-FFF2-40B4-BE49-F238E27FC236}">
                          <a16:creationId xmlns:a16="http://schemas.microsoft.com/office/drawing/2014/main" id="{C75501F7-E66F-94C9-E987-54767BC36E65}"/>
                        </a:ext>
                      </a:extLst>
                    </xdr:cNvPr>
                    <xdr:cNvGrpSpPr/>
                  </xdr:nvGrpSpPr>
                  <xdr:grpSpPr>
                    <a:xfrm>
                      <a:off x="2948940" y="3200400"/>
                      <a:ext cx="2743200" cy="1714500"/>
                      <a:chOff x="60960" y="3154680"/>
                      <a:chExt cx="2743200" cy="1714500"/>
                    </a:xfrm>
                  </xdr:grpSpPr>
                  <xdr:sp macro="" textlink="">
                    <xdr:nvSpPr>
                      <xdr:cNvPr id="69" name="Rectangle 68">
                        <a:extLst>
                          <a:ext uri="{FF2B5EF4-FFF2-40B4-BE49-F238E27FC236}">
                            <a16:creationId xmlns:a16="http://schemas.microsoft.com/office/drawing/2014/main" id="{E689B43E-7B82-84B3-AABD-2FD1FF350D6A}"/>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0" name="Group 69">
                        <a:extLst>
                          <a:ext uri="{FF2B5EF4-FFF2-40B4-BE49-F238E27FC236}">
                            <a16:creationId xmlns:a16="http://schemas.microsoft.com/office/drawing/2014/main" id="{C6BF5DC8-42F5-60F4-0D91-AB5B4A894669}"/>
                          </a:ext>
                        </a:extLst>
                      </xdr:cNvPr>
                      <xdr:cNvGrpSpPr/>
                    </xdr:nvGrpSpPr>
                    <xdr:grpSpPr>
                      <a:xfrm>
                        <a:off x="365760" y="3535680"/>
                        <a:ext cx="2438400" cy="457200"/>
                        <a:chOff x="365760" y="3535680"/>
                        <a:chExt cx="1584960" cy="457200"/>
                      </a:xfrm>
                    </xdr:grpSpPr>
                    <xdr:sp macro="" textlink="">
                      <xdr:nvSpPr>
                        <xdr:cNvPr id="77" name="Rectangle 76">
                          <a:hlinkClick xmlns:r="http://schemas.openxmlformats.org/officeDocument/2006/relationships" r:id="rId1"/>
                          <a:extLst>
                            <a:ext uri="{FF2B5EF4-FFF2-40B4-BE49-F238E27FC236}">
                              <a16:creationId xmlns:a16="http://schemas.microsoft.com/office/drawing/2014/main" id="{8A33FB8C-02C9-0A8E-8698-848451AC3C5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8" name="Rectangle 77">
                          <a:hlinkClick xmlns:r="http://schemas.openxmlformats.org/officeDocument/2006/relationships" r:id="rId1"/>
                          <a:extLst>
                            <a:ext uri="{FF2B5EF4-FFF2-40B4-BE49-F238E27FC236}">
                              <a16:creationId xmlns:a16="http://schemas.microsoft.com/office/drawing/2014/main" id="{47428284-22B5-EC6F-1485-7373AFAF777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 name="Group 70">
                        <a:extLst>
                          <a:ext uri="{FF2B5EF4-FFF2-40B4-BE49-F238E27FC236}">
                            <a16:creationId xmlns:a16="http://schemas.microsoft.com/office/drawing/2014/main" id="{F603F2CB-B467-14B5-9DB7-14ED7C80A0E0}"/>
                          </a:ext>
                        </a:extLst>
                      </xdr:cNvPr>
                      <xdr:cNvGrpSpPr/>
                    </xdr:nvGrpSpPr>
                    <xdr:grpSpPr>
                      <a:xfrm>
                        <a:off x="365760" y="3977640"/>
                        <a:ext cx="2438400" cy="457200"/>
                        <a:chOff x="365760" y="3535680"/>
                        <a:chExt cx="1584960" cy="457200"/>
                      </a:xfrm>
                    </xdr:grpSpPr>
                    <xdr:sp macro="" textlink="">
                      <xdr:nvSpPr>
                        <xdr:cNvPr id="75" name="Rectangle 74">
                          <a:extLst>
                            <a:ext uri="{FF2B5EF4-FFF2-40B4-BE49-F238E27FC236}">
                              <a16:creationId xmlns:a16="http://schemas.microsoft.com/office/drawing/2014/main" id="{E9F288B4-FF81-9AEF-7EBD-6F6FB575521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6" name="Rectangle 75">
                          <a:hlinkClick xmlns:r="http://schemas.openxmlformats.org/officeDocument/2006/relationships" r:id="rId2"/>
                          <a:extLst>
                            <a:ext uri="{FF2B5EF4-FFF2-40B4-BE49-F238E27FC236}">
                              <a16:creationId xmlns:a16="http://schemas.microsoft.com/office/drawing/2014/main" id="{50C1C820-4B8B-A6BF-D41A-2A20B8D96D7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2" name="Group 71">
                        <a:extLst>
                          <a:ext uri="{FF2B5EF4-FFF2-40B4-BE49-F238E27FC236}">
                            <a16:creationId xmlns:a16="http://schemas.microsoft.com/office/drawing/2014/main" id="{55966CC6-FDD4-68F9-DB1B-429B0241BFD5}"/>
                          </a:ext>
                        </a:extLst>
                      </xdr:cNvPr>
                      <xdr:cNvGrpSpPr/>
                    </xdr:nvGrpSpPr>
                    <xdr:grpSpPr>
                      <a:xfrm>
                        <a:off x="365760" y="4411980"/>
                        <a:ext cx="2438400" cy="457200"/>
                        <a:chOff x="365760" y="3535680"/>
                        <a:chExt cx="1584960" cy="457200"/>
                      </a:xfrm>
                    </xdr:grpSpPr>
                    <xdr:sp macro="" textlink="">
                      <xdr:nvSpPr>
                        <xdr:cNvPr id="73" name="Rectangle 72">
                          <a:hlinkClick xmlns:r="http://schemas.openxmlformats.org/officeDocument/2006/relationships" r:id="rId3"/>
                          <a:extLst>
                            <a:ext uri="{FF2B5EF4-FFF2-40B4-BE49-F238E27FC236}">
                              <a16:creationId xmlns:a16="http://schemas.microsoft.com/office/drawing/2014/main" id="{88CBC973-D99F-BDCD-0C16-1C4580E5A66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4" name="Rectangle 73">
                          <a:extLst>
                            <a:ext uri="{FF2B5EF4-FFF2-40B4-BE49-F238E27FC236}">
                              <a16:creationId xmlns:a16="http://schemas.microsoft.com/office/drawing/2014/main" id="{5CFBD4FB-1142-1665-5C31-C19840E4F73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8" name="Rectangle 67">
                      <a:extLst>
                        <a:ext uri="{FF2B5EF4-FFF2-40B4-BE49-F238E27FC236}">
                          <a16:creationId xmlns:a16="http://schemas.microsoft.com/office/drawing/2014/main" id="{6FF429A5-11BD-BCD8-EE32-E246A7062EA0}"/>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DC96AC97-C746-F979-AF18-5C5A6F43AD3D}"/>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F102F65D-D5D5-54A0-0C08-00A4659FDB53}"/>
                        </a:ext>
                      </a:extLst>
                    </xdr:cNvPr>
                    <xdr:cNvGrpSpPr/>
                  </xdr:nvGrpSpPr>
                  <xdr:grpSpPr>
                    <a:xfrm>
                      <a:off x="205740" y="3192780"/>
                      <a:ext cx="2743200" cy="1714500"/>
                      <a:chOff x="60960" y="3154680"/>
                      <a:chExt cx="2743200" cy="1714500"/>
                    </a:xfrm>
                  </xdr:grpSpPr>
                  <xdr:sp macro="" textlink="">
                    <xdr:nvSpPr>
                      <xdr:cNvPr id="57" name="Rectangle 56">
                        <a:extLst>
                          <a:ext uri="{FF2B5EF4-FFF2-40B4-BE49-F238E27FC236}">
                            <a16:creationId xmlns:a16="http://schemas.microsoft.com/office/drawing/2014/main" id="{54B78220-3270-B660-4828-0B564A8CEE07}"/>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8" name="Group 57">
                        <a:extLst>
                          <a:ext uri="{FF2B5EF4-FFF2-40B4-BE49-F238E27FC236}">
                            <a16:creationId xmlns:a16="http://schemas.microsoft.com/office/drawing/2014/main" id="{EF366222-C417-8738-AC48-E3C826CB6660}"/>
                          </a:ext>
                        </a:extLst>
                      </xdr:cNvPr>
                      <xdr:cNvGrpSpPr/>
                    </xdr:nvGrpSpPr>
                    <xdr:grpSpPr>
                      <a:xfrm>
                        <a:off x="365760" y="3535680"/>
                        <a:ext cx="2438400" cy="457200"/>
                        <a:chOff x="365760" y="3535680"/>
                        <a:chExt cx="1584960" cy="457200"/>
                      </a:xfrm>
                    </xdr:grpSpPr>
                    <xdr:sp macro="" textlink="">
                      <xdr:nvSpPr>
                        <xdr:cNvPr id="65" name="Rectangle 64">
                          <a:hlinkClick xmlns:r="http://schemas.openxmlformats.org/officeDocument/2006/relationships" r:id="rId4"/>
                          <a:extLst>
                            <a:ext uri="{FF2B5EF4-FFF2-40B4-BE49-F238E27FC236}">
                              <a16:creationId xmlns:a16="http://schemas.microsoft.com/office/drawing/2014/main" id="{9E382164-C13E-5C6E-EA59-AE61B2BE308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6" name="Rectangle 65">
                          <a:hlinkClick xmlns:r="http://schemas.openxmlformats.org/officeDocument/2006/relationships" r:id="rId5"/>
                          <a:extLst>
                            <a:ext uri="{FF2B5EF4-FFF2-40B4-BE49-F238E27FC236}">
                              <a16:creationId xmlns:a16="http://schemas.microsoft.com/office/drawing/2014/main" id="{363720BD-876F-83C2-4EC7-7B4FED5D72F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59" name="Group 58">
                        <a:extLst>
                          <a:ext uri="{FF2B5EF4-FFF2-40B4-BE49-F238E27FC236}">
                            <a16:creationId xmlns:a16="http://schemas.microsoft.com/office/drawing/2014/main" id="{7C2DA1A5-4FFA-8F7F-0A3C-1E88A32DD1F0}"/>
                          </a:ext>
                        </a:extLst>
                      </xdr:cNvPr>
                      <xdr:cNvGrpSpPr/>
                    </xdr:nvGrpSpPr>
                    <xdr:grpSpPr>
                      <a:xfrm>
                        <a:off x="365760" y="3977640"/>
                        <a:ext cx="2438400" cy="457200"/>
                        <a:chOff x="365760" y="3535680"/>
                        <a:chExt cx="1584960" cy="457200"/>
                      </a:xfrm>
                    </xdr:grpSpPr>
                    <xdr:sp macro="" textlink="">
                      <xdr:nvSpPr>
                        <xdr:cNvPr id="63" name="Rectangle 62">
                          <a:hlinkClick xmlns:r="http://schemas.openxmlformats.org/officeDocument/2006/relationships" r:id="rId6"/>
                          <a:extLst>
                            <a:ext uri="{FF2B5EF4-FFF2-40B4-BE49-F238E27FC236}">
                              <a16:creationId xmlns:a16="http://schemas.microsoft.com/office/drawing/2014/main" id="{8031C6FD-67B0-328C-689D-D88B47C476A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4" name="Rectangle 63">
                          <a:hlinkClick xmlns:r="http://schemas.openxmlformats.org/officeDocument/2006/relationships" r:id="rId7"/>
                          <a:extLst>
                            <a:ext uri="{FF2B5EF4-FFF2-40B4-BE49-F238E27FC236}">
                              <a16:creationId xmlns:a16="http://schemas.microsoft.com/office/drawing/2014/main" id="{4E28390E-56AD-0437-BA51-37D04A0C373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0" name="Group 59">
                        <a:extLst>
                          <a:ext uri="{FF2B5EF4-FFF2-40B4-BE49-F238E27FC236}">
                            <a16:creationId xmlns:a16="http://schemas.microsoft.com/office/drawing/2014/main" id="{7429723A-F6D5-711C-9352-DE9B87D6911A}"/>
                          </a:ext>
                        </a:extLst>
                      </xdr:cNvPr>
                      <xdr:cNvGrpSpPr/>
                    </xdr:nvGrpSpPr>
                    <xdr:grpSpPr>
                      <a:xfrm>
                        <a:off x="365760" y="4411980"/>
                        <a:ext cx="2438400" cy="457200"/>
                        <a:chOff x="365760" y="3535680"/>
                        <a:chExt cx="1584960" cy="457200"/>
                      </a:xfrm>
                    </xdr:grpSpPr>
                    <xdr:sp macro="" textlink="">
                      <xdr:nvSpPr>
                        <xdr:cNvPr id="61" name="Rectangle 60">
                          <a:hlinkClick xmlns:r="http://schemas.openxmlformats.org/officeDocument/2006/relationships" r:id="rId8"/>
                          <a:extLst>
                            <a:ext uri="{FF2B5EF4-FFF2-40B4-BE49-F238E27FC236}">
                              <a16:creationId xmlns:a16="http://schemas.microsoft.com/office/drawing/2014/main" id="{F975A1A3-440E-0935-4D3D-5CCCF4D6A96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2" name="Rectangle 61">
                          <a:hlinkClick xmlns:r="http://schemas.openxmlformats.org/officeDocument/2006/relationships" r:id="rId9"/>
                          <a:extLst>
                            <a:ext uri="{FF2B5EF4-FFF2-40B4-BE49-F238E27FC236}">
                              <a16:creationId xmlns:a16="http://schemas.microsoft.com/office/drawing/2014/main" id="{3393F099-6B3C-1DCD-43CC-8D71FFE15A8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1F36A523-ABBA-80E7-5BD3-F8FC4DE16F66}"/>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D4ED3F6D-17AB-F78C-0FF0-77819B32C6F7}"/>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8F042150-B22C-BDD4-CB18-83F2950E6450}"/>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03C8D295-51F9-9497-F9DA-EFE2EC2F7600}"/>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91B12B18-E547-AC79-C637-04F2E6B9CD59}"/>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BBE93F0E-4515-668D-8740-998BC31461B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BCCD8AEC-D3A1-A9FF-94B9-C34F7D96444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CE007407-BFA5-8849-0B89-E265B7356E94}"/>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21F90A92-31D5-FE72-0256-06403EABB79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B0CE47EC-1364-AF53-86B3-D7E86F5E9EE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FEEE864F-75CB-47C9-770C-00D0968FB4F1}"/>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B2D41F36-B5E1-587A-DD78-94F15F84E03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800D0282-C487-4081-861A-850C91F4559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758702DA-174C-C9DC-0428-60F2C02100E0}"/>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EAE0F0BB-2500-BC23-E93C-41AC305E0ED7}"/>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DEAEA4CD-3CCA-A457-4DFF-1C8C064EBE56}"/>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09034DC0-EF6E-274B-7974-9644BAD30A6B}"/>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F435B4E6-4BFA-0EBC-BEB9-6E6E7C4A72D7}"/>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019EC61E-7C0C-9DBF-F1CC-7DDDB98A885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629FCEF1-7765-FB56-8129-0CC8B24F151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2A18C323-A308-364E-58D7-6972CF934922}"/>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AAF1B10C-E2D8-6A63-F51D-26011CC7CC9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CCECAD75-5E7B-DB85-86E2-6A6ED51C1C1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B376A0C4-44F4-7217-F31D-BA5571CE7872}"/>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34690C7C-650A-CD6A-2B02-D3711D980EC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40559749-25BF-2D97-1CD8-462A1D8A0EF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C52EEDB3-1BF1-E477-8E05-13930BFCC0C7}"/>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82891C2C-871B-12E1-1739-9D5A4D1E3D7A}"/>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1A5F7250-9F34-B11F-7A5F-4BCB5DBABC09}"/>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A759EF38-3B7B-03E4-F78E-30D9CFB7E97A}"/>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128D8E89-469F-D25A-5319-0785DCE4282B}"/>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05AC156A-D986-9E90-C7A3-12F7BE88EBF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9D71C68E-F998-1CC9-9E77-9A49C04E807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A44EC8F5-66D3-98D8-0055-436F121D8EF8}"/>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03814090-1CDC-C1B4-A352-2F4E05A3A0E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C887426F-F4CD-DFAD-F7E9-2FEB7A0EE95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5C1BD0ED-8459-0441-B5CA-0E259B5DD755}"/>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B4234C39-DD11-CFA0-D6EA-EC6D763A6A3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ECC23814-6777-3A4B-E873-3826EE79938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3566741E-A8E7-96DA-221D-4DA9B572E6B2}"/>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3D743410-5154-51A2-E158-8857278AB92E}"/>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DDF68FB8-27CC-E59E-9176-BF1677F12BDA}"/>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7BFE8125-401F-F4D4-C7D9-383523CCDDBB}"/>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DD76585B-BFB3-639B-AE12-1BCFF00E218C}"/>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73DD417E-F258-4854-2A59-9518B157E678}"/>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165100</xdr:rowOff>
    </xdr:from>
    <xdr:to>
      <xdr:col>21</xdr:col>
      <xdr:colOff>79388</xdr:colOff>
      <xdr:row>15</xdr:row>
      <xdr:rowOff>0</xdr:rowOff>
    </xdr:to>
    <xdr:grpSp>
      <xdr:nvGrpSpPr>
        <xdr:cNvPr id="2" name="Group 1">
          <a:extLst>
            <a:ext uri="{FF2B5EF4-FFF2-40B4-BE49-F238E27FC236}">
              <a16:creationId xmlns:a16="http://schemas.microsoft.com/office/drawing/2014/main" id="{A5AFF044-77A4-49A3-8512-D3B19529E596}"/>
            </a:ext>
          </a:extLst>
        </xdr:cNvPr>
        <xdr:cNvGrpSpPr/>
      </xdr:nvGrpSpPr>
      <xdr:grpSpPr>
        <a:xfrm>
          <a:off x="0" y="165100"/>
          <a:ext cx="18494388" cy="2740025"/>
          <a:chOff x="0" y="25400"/>
          <a:chExt cx="18808713" cy="2465554"/>
        </a:xfrm>
      </xdr:grpSpPr>
      <xdr:grpSp>
        <xdr:nvGrpSpPr>
          <xdr:cNvPr id="3" name="Group 2">
            <a:extLst>
              <a:ext uri="{FF2B5EF4-FFF2-40B4-BE49-F238E27FC236}">
                <a16:creationId xmlns:a16="http://schemas.microsoft.com/office/drawing/2014/main" id="{16C9C4DE-9512-CE40-5115-C77AFDE8EE1F}"/>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A8E1409F-C8C5-FD5A-3A8E-9F6DAFC9ECD1}"/>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3F964372-5093-7BAA-B8BB-71CCBE2486F0}"/>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98FAFE30-3E2E-3202-BD63-DF3E69599143}"/>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C8761586-5D1D-58EB-3A97-FCA3145BF09D}"/>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D673A071-CAA0-6FD4-411D-66C23C9F1E9B}"/>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8FB81A39-23EE-F343-5AF1-35863531A15A}"/>
                      </a:ext>
                    </a:extLst>
                  </xdr:cNvPr>
                  <xdr:cNvGrpSpPr/>
                </xdr:nvGrpSpPr>
                <xdr:grpSpPr>
                  <a:xfrm>
                    <a:off x="2948940" y="3200400"/>
                    <a:ext cx="2743200" cy="1935480"/>
                    <a:chOff x="2948940" y="3200400"/>
                    <a:chExt cx="2743200" cy="1935480"/>
                  </a:xfrm>
                </xdr:grpSpPr>
                <xdr:grpSp>
                  <xdr:nvGrpSpPr>
                    <xdr:cNvPr id="67" name="Group 66">
                      <a:extLst>
                        <a:ext uri="{FF2B5EF4-FFF2-40B4-BE49-F238E27FC236}">
                          <a16:creationId xmlns:a16="http://schemas.microsoft.com/office/drawing/2014/main" id="{AC6623EB-FD72-E79B-FC4D-0CFCB85D8F90}"/>
                        </a:ext>
                      </a:extLst>
                    </xdr:cNvPr>
                    <xdr:cNvGrpSpPr/>
                  </xdr:nvGrpSpPr>
                  <xdr:grpSpPr>
                    <a:xfrm>
                      <a:off x="2948940" y="3200400"/>
                      <a:ext cx="2743200" cy="1714500"/>
                      <a:chOff x="60960" y="3154680"/>
                      <a:chExt cx="2743200" cy="1714500"/>
                    </a:xfrm>
                  </xdr:grpSpPr>
                  <xdr:sp macro="" textlink="">
                    <xdr:nvSpPr>
                      <xdr:cNvPr id="69" name="Rectangle 68">
                        <a:extLst>
                          <a:ext uri="{FF2B5EF4-FFF2-40B4-BE49-F238E27FC236}">
                            <a16:creationId xmlns:a16="http://schemas.microsoft.com/office/drawing/2014/main" id="{FFD3C945-BF79-9CC0-F9E4-61FFA3C2E77D}"/>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0" name="Group 69">
                        <a:extLst>
                          <a:ext uri="{FF2B5EF4-FFF2-40B4-BE49-F238E27FC236}">
                            <a16:creationId xmlns:a16="http://schemas.microsoft.com/office/drawing/2014/main" id="{FDD6F3D8-93C5-F09A-404C-5F003C206118}"/>
                          </a:ext>
                        </a:extLst>
                      </xdr:cNvPr>
                      <xdr:cNvGrpSpPr/>
                    </xdr:nvGrpSpPr>
                    <xdr:grpSpPr>
                      <a:xfrm>
                        <a:off x="365760" y="3535680"/>
                        <a:ext cx="2438400" cy="457200"/>
                        <a:chOff x="365760" y="3535680"/>
                        <a:chExt cx="1584960" cy="457200"/>
                      </a:xfrm>
                    </xdr:grpSpPr>
                    <xdr:sp macro="" textlink="">
                      <xdr:nvSpPr>
                        <xdr:cNvPr id="77" name="Rectangle 76">
                          <a:hlinkClick xmlns:r="http://schemas.openxmlformats.org/officeDocument/2006/relationships" r:id="rId1"/>
                          <a:extLst>
                            <a:ext uri="{FF2B5EF4-FFF2-40B4-BE49-F238E27FC236}">
                              <a16:creationId xmlns:a16="http://schemas.microsoft.com/office/drawing/2014/main" id="{0D32E1BA-D88F-0E5D-2803-9CFA24AF0D2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8" name="Rectangle 77">
                          <a:hlinkClick xmlns:r="http://schemas.openxmlformats.org/officeDocument/2006/relationships" r:id="rId1"/>
                          <a:extLst>
                            <a:ext uri="{FF2B5EF4-FFF2-40B4-BE49-F238E27FC236}">
                              <a16:creationId xmlns:a16="http://schemas.microsoft.com/office/drawing/2014/main" id="{FC55F53E-6450-B712-FA09-20A9A01DA8B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 name="Group 70">
                        <a:extLst>
                          <a:ext uri="{FF2B5EF4-FFF2-40B4-BE49-F238E27FC236}">
                            <a16:creationId xmlns:a16="http://schemas.microsoft.com/office/drawing/2014/main" id="{1F9B5F6B-8BBD-7446-C4E3-95E6B634E279}"/>
                          </a:ext>
                        </a:extLst>
                      </xdr:cNvPr>
                      <xdr:cNvGrpSpPr/>
                    </xdr:nvGrpSpPr>
                    <xdr:grpSpPr>
                      <a:xfrm>
                        <a:off x="365760" y="3977640"/>
                        <a:ext cx="2438400" cy="457200"/>
                        <a:chOff x="365760" y="3535680"/>
                        <a:chExt cx="1584960" cy="457200"/>
                      </a:xfrm>
                    </xdr:grpSpPr>
                    <xdr:sp macro="" textlink="">
                      <xdr:nvSpPr>
                        <xdr:cNvPr id="75" name="Rectangle 74">
                          <a:extLst>
                            <a:ext uri="{FF2B5EF4-FFF2-40B4-BE49-F238E27FC236}">
                              <a16:creationId xmlns:a16="http://schemas.microsoft.com/office/drawing/2014/main" id="{73F16D8C-5776-2773-9518-2D047D7EECF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6" name="Rectangle 75">
                          <a:hlinkClick xmlns:r="http://schemas.openxmlformats.org/officeDocument/2006/relationships" r:id="rId2"/>
                          <a:extLst>
                            <a:ext uri="{FF2B5EF4-FFF2-40B4-BE49-F238E27FC236}">
                              <a16:creationId xmlns:a16="http://schemas.microsoft.com/office/drawing/2014/main" id="{0EB0E02A-7B82-A587-C403-D963F12016F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2" name="Group 71">
                        <a:extLst>
                          <a:ext uri="{FF2B5EF4-FFF2-40B4-BE49-F238E27FC236}">
                            <a16:creationId xmlns:a16="http://schemas.microsoft.com/office/drawing/2014/main" id="{AF5F13D5-3807-B603-1F26-AD95AA3FBB74}"/>
                          </a:ext>
                        </a:extLst>
                      </xdr:cNvPr>
                      <xdr:cNvGrpSpPr/>
                    </xdr:nvGrpSpPr>
                    <xdr:grpSpPr>
                      <a:xfrm>
                        <a:off x="365760" y="4411980"/>
                        <a:ext cx="2438400" cy="457200"/>
                        <a:chOff x="365760" y="3535680"/>
                        <a:chExt cx="1584960" cy="457200"/>
                      </a:xfrm>
                    </xdr:grpSpPr>
                    <xdr:sp macro="" textlink="">
                      <xdr:nvSpPr>
                        <xdr:cNvPr id="73" name="Rectangle 72">
                          <a:hlinkClick xmlns:r="http://schemas.openxmlformats.org/officeDocument/2006/relationships" r:id="rId3"/>
                          <a:extLst>
                            <a:ext uri="{FF2B5EF4-FFF2-40B4-BE49-F238E27FC236}">
                              <a16:creationId xmlns:a16="http://schemas.microsoft.com/office/drawing/2014/main" id="{58169891-6FBF-C3E7-AA9E-BE6E4BB77FF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4" name="Rectangle 73">
                          <a:extLst>
                            <a:ext uri="{FF2B5EF4-FFF2-40B4-BE49-F238E27FC236}">
                              <a16:creationId xmlns:a16="http://schemas.microsoft.com/office/drawing/2014/main" id="{525C7490-C528-8371-82A8-0105098837E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8" name="Rectangle 67">
                      <a:extLst>
                        <a:ext uri="{FF2B5EF4-FFF2-40B4-BE49-F238E27FC236}">
                          <a16:creationId xmlns:a16="http://schemas.microsoft.com/office/drawing/2014/main" id="{241946F7-5BE0-9510-5036-1DCB5B08E40E}"/>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4BCAF625-F777-4467-CBCA-518917828825}"/>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A768FCCA-668E-5C46-B216-28B889510F6B}"/>
                        </a:ext>
                      </a:extLst>
                    </xdr:cNvPr>
                    <xdr:cNvGrpSpPr/>
                  </xdr:nvGrpSpPr>
                  <xdr:grpSpPr>
                    <a:xfrm>
                      <a:off x="205740" y="3192780"/>
                      <a:ext cx="2743200" cy="1714500"/>
                      <a:chOff x="60960" y="3154680"/>
                      <a:chExt cx="2743200" cy="1714500"/>
                    </a:xfrm>
                  </xdr:grpSpPr>
                  <xdr:sp macro="" textlink="">
                    <xdr:nvSpPr>
                      <xdr:cNvPr id="57" name="Rectangle 56">
                        <a:extLst>
                          <a:ext uri="{FF2B5EF4-FFF2-40B4-BE49-F238E27FC236}">
                            <a16:creationId xmlns:a16="http://schemas.microsoft.com/office/drawing/2014/main" id="{57F2F420-BD05-4B09-0514-C92A260FFAF2}"/>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8" name="Group 57">
                        <a:extLst>
                          <a:ext uri="{FF2B5EF4-FFF2-40B4-BE49-F238E27FC236}">
                            <a16:creationId xmlns:a16="http://schemas.microsoft.com/office/drawing/2014/main" id="{FD6D0FEA-E8D5-D85C-C61F-DD282EB97408}"/>
                          </a:ext>
                        </a:extLst>
                      </xdr:cNvPr>
                      <xdr:cNvGrpSpPr/>
                    </xdr:nvGrpSpPr>
                    <xdr:grpSpPr>
                      <a:xfrm>
                        <a:off x="365760" y="3535680"/>
                        <a:ext cx="2438400" cy="457200"/>
                        <a:chOff x="365760" y="3535680"/>
                        <a:chExt cx="1584960" cy="457200"/>
                      </a:xfrm>
                    </xdr:grpSpPr>
                    <xdr:sp macro="" textlink="">
                      <xdr:nvSpPr>
                        <xdr:cNvPr id="65" name="Rectangle 64">
                          <a:hlinkClick xmlns:r="http://schemas.openxmlformats.org/officeDocument/2006/relationships" r:id="rId4"/>
                          <a:extLst>
                            <a:ext uri="{FF2B5EF4-FFF2-40B4-BE49-F238E27FC236}">
                              <a16:creationId xmlns:a16="http://schemas.microsoft.com/office/drawing/2014/main" id="{F36BB7CE-C8CE-758D-A102-F768F77EA8D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6" name="Rectangle 65">
                          <a:hlinkClick xmlns:r="http://schemas.openxmlformats.org/officeDocument/2006/relationships" r:id="rId5"/>
                          <a:extLst>
                            <a:ext uri="{FF2B5EF4-FFF2-40B4-BE49-F238E27FC236}">
                              <a16:creationId xmlns:a16="http://schemas.microsoft.com/office/drawing/2014/main" id="{35C186DD-22DE-60DF-3759-37D6E0ABCC4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59" name="Group 58">
                        <a:extLst>
                          <a:ext uri="{FF2B5EF4-FFF2-40B4-BE49-F238E27FC236}">
                            <a16:creationId xmlns:a16="http://schemas.microsoft.com/office/drawing/2014/main" id="{3BBD3713-C894-62EF-1E92-953812C86ECF}"/>
                          </a:ext>
                        </a:extLst>
                      </xdr:cNvPr>
                      <xdr:cNvGrpSpPr/>
                    </xdr:nvGrpSpPr>
                    <xdr:grpSpPr>
                      <a:xfrm>
                        <a:off x="365760" y="3977640"/>
                        <a:ext cx="2438400" cy="457200"/>
                        <a:chOff x="365760" y="3535680"/>
                        <a:chExt cx="1584960" cy="457200"/>
                      </a:xfrm>
                    </xdr:grpSpPr>
                    <xdr:sp macro="" textlink="">
                      <xdr:nvSpPr>
                        <xdr:cNvPr id="63" name="Rectangle 62">
                          <a:hlinkClick xmlns:r="http://schemas.openxmlformats.org/officeDocument/2006/relationships" r:id="rId6"/>
                          <a:extLst>
                            <a:ext uri="{FF2B5EF4-FFF2-40B4-BE49-F238E27FC236}">
                              <a16:creationId xmlns:a16="http://schemas.microsoft.com/office/drawing/2014/main" id="{FFEFEC1C-BF68-6D10-E204-8440BC21057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4" name="Rectangle 63">
                          <a:hlinkClick xmlns:r="http://schemas.openxmlformats.org/officeDocument/2006/relationships" r:id="rId7"/>
                          <a:extLst>
                            <a:ext uri="{FF2B5EF4-FFF2-40B4-BE49-F238E27FC236}">
                              <a16:creationId xmlns:a16="http://schemas.microsoft.com/office/drawing/2014/main" id="{A67DE931-3D57-FA7A-790C-3FE2EC9DDFB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0" name="Group 59">
                        <a:extLst>
                          <a:ext uri="{FF2B5EF4-FFF2-40B4-BE49-F238E27FC236}">
                            <a16:creationId xmlns:a16="http://schemas.microsoft.com/office/drawing/2014/main" id="{BA74A398-2168-A6D4-6EF9-8AE9A078662F}"/>
                          </a:ext>
                        </a:extLst>
                      </xdr:cNvPr>
                      <xdr:cNvGrpSpPr/>
                    </xdr:nvGrpSpPr>
                    <xdr:grpSpPr>
                      <a:xfrm>
                        <a:off x="365760" y="4411980"/>
                        <a:ext cx="2438400" cy="457200"/>
                        <a:chOff x="365760" y="3535680"/>
                        <a:chExt cx="1584960" cy="457200"/>
                      </a:xfrm>
                    </xdr:grpSpPr>
                    <xdr:sp macro="" textlink="">
                      <xdr:nvSpPr>
                        <xdr:cNvPr id="61" name="Rectangle 60">
                          <a:hlinkClick xmlns:r="http://schemas.openxmlformats.org/officeDocument/2006/relationships" r:id="rId8"/>
                          <a:extLst>
                            <a:ext uri="{FF2B5EF4-FFF2-40B4-BE49-F238E27FC236}">
                              <a16:creationId xmlns:a16="http://schemas.microsoft.com/office/drawing/2014/main" id="{3F0FE795-9492-63CA-F141-7196EB411EA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2" name="Rectangle 61">
                          <a:hlinkClick xmlns:r="http://schemas.openxmlformats.org/officeDocument/2006/relationships" r:id="rId9"/>
                          <a:extLst>
                            <a:ext uri="{FF2B5EF4-FFF2-40B4-BE49-F238E27FC236}">
                              <a16:creationId xmlns:a16="http://schemas.microsoft.com/office/drawing/2014/main" id="{7B1AEF3C-1A94-1F0F-65C5-14625C66479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31684DE1-1F67-E2BF-9574-AF29440EDC89}"/>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0A099BA7-4680-D182-8C5C-64B41A2D642F}"/>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A167B8E2-6E57-65D8-CD02-D7D44D814886}"/>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18395A27-17EB-35D0-FE7A-11C64A801FBA}"/>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8CAE660E-BA30-DC98-26C5-57DE56D0FDB6}"/>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63C5D4CF-2157-15CD-DE82-96EFFD4F1E4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5831620B-3302-207E-F21E-460468DBE64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0194CDDA-8FED-811C-70BB-33A5A2FEFB03}"/>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C6025B3F-A5B2-6FA3-272B-C80567375F5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03774B25-030C-9BF9-AFD2-F8FE9F6F210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894E013F-79E0-097F-62E8-C60F62688D32}"/>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D4935BE9-C054-F92C-0CDB-B84897B66D4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0325A48C-5E7B-54DE-681F-840B153715B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F03D7A6F-C1DD-624F-9994-BA1723E38A1F}"/>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DC2ED49C-815E-BFCB-8609-71BEAA22A7BF}"/>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952E4F4E-7B52-9CC9-D3A4-9559FB13D7C4}"/>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18728607-1855-85CC-A78C-7481966A0472}"/>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FA25FEAD-2BAD-9815-97D3-8DED7CB18931}"/>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50ECFCD7-267A-3D84-8EF4-29A74358F6A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68AF8DF3-72EF-B8B9-52D3-6FBC6D2C90B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8C46936A-EC39-054D-9FF3-917786E34B95}"/>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D7CCF775-3421-15CA-8E2C-D8AEC48CDDF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E07A8075-F0D1-7FDC-1A49-4C27E407C0B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617A37E6-C9B4-7BFE-0CD4-15EB4A7F732C}"/>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C428BBDA-4E96-3293-6989-B2F19D7EB7B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23DB7DD1-CB8D-9699-6693-D366340906D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3C244F77-A7FD-F2DF-3B9D-179025C91645}"/>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7F734F16-309F-D520-F65E-C4C2AED58D4F}"/>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14EFDB69-8C00-7CCB-C285-3FA0D8A89C69}"/>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D66715E2-8D03-30EE-6191-FDA3EF0F84BE}"/>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E15F489B-3A55-4FA9-3864-DDF6E00AB1C9}"/>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4FC7A2D1-C37B-C5DE-B39C-63F506E11E3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1D7EF554-81BB-1DE1-AF94-5626CA56E8C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8A36B46C-AE96-4EE8-C6B6-101BC6030A23}"/>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9D7E107B-9D22-00A3-CE09-768B1668F0A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98C9D328-0434-02A0-5139-3905C15433F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62B137CA-1A09-3E36-F0F3-04E424E23B28}"/>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8807DC35-BF8D-2123-0F6E-E1351A3FA1F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A3DF91F0-2A8F-3224-EBA7-ABC90308DFC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7B98A34E-2FCC-7508-6EA9-552E96D9A474}"/>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F41D188C-8CB6-0CE1-A942-D080294FCA3B}"/>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70EB2BDA-7A8D-E6C2-9BE1-D65C608918C4}"/>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5B83FCD9-9B36-B841-876B-9E0E1DC63076}"/>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FBE0B7CE-E805-242A-4AC1-C8A4E58D672C}"/>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303B4DD5-F754-609F-6172-9CA44461D7E7}"/>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165100</xdr:rowOff>
    </xdr:from>
    <xdr:to>
      <xdr:col>21</xdr:col>
      <xdr:colOff>79388</xdr:colOff>
      <xdr:row>15</xdr:row>
      <xdr:rowOff>0</xdr:rowOff>
    </xdr:to>
    <xdr:grpSp>
      <xdr:nvGrpSpPr>
        <xdr:cNvPr id="2" name="Group 1">
          <a:extLst>
            <a:ext uri="{FF2B5EF4-FFF2-40B4-BE49-F238E27FC236}">
              <a16:creationId xmlns:a16="http://schemas.microsoft.com/office/drawing/2014/main" id="{FD5758AF-ECD6-4196-A121-EA4FE5136828}"/>
            </a:ext>
          </a:extLst>
        </xdr:cNvPr>
        <xdr:cNvGrpSpPr/>
      </xdr:nvGrpSpPr>
      <xdr:grpSpPr>
        <a:xfrm>
          <a:off x="0" y="165100"/>
          <a:ext cx="19367513" cy="2740025"/>
          <a:chOff x="0" y="25400"/>
          <a:chExt cx="18808713" cy="2465554"/>
        </a:xfrm>
      </xdr:grpSpPr>
      <xdr:grpSp>
        <xdr:nvGrpSpPr>
          <xdr:cNvPr id="3" name="Group 2">
            <a:extLst>
              <a:ext uri="{FF2B5EF4-FFF2-40B4-BE49-F238E27FC236}">
                <a16:creationId xmlns:a16="http://schemas.microsoft.com/office/drawing/2014/main" id="{6FDDB63D-8EEE-C643-D5D5-F7C9B43A013C}"/>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DBA78754-8544-016D-DFA9-83790FD75C97}"/>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D8038CE0-7C45-0FFC-B291-4F3EBC9C7060}"/>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3849E5E2-6C78-9271-8939-CE71E493A561}"/>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7FCE69E1-EAD8-D20C-F90F-6B04EC458665}"/>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0548556B-D5B0-423B-DDF5-0ED0FF70E36C}"/>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EF1833BB-105B-633B-3243-5737D6FBE0B6}"/>
                      </a:ext>
                    </a:extLst>
                  </xdr:cNvPr>
                  <xdr:cNvGrpSpPr/>
                </xdr:nvGrpSpPr>
                <xdr:grpSpPr>
                  <a:xfrm>
                    <a:off x="2948940" y="3200400"/>
                    <a:ext cx="2743200" cy="1935480"/>
                    <a:chOff x="2948940" y="3200400"/>
                    <a:chExt cx="2743200" cy="1935480"/>
                  </a:xfrm>
                </xdr:grpSpPr>
                <xdr:grpSp>
                  <xdr:nvGrpSpPr>
                    <xdr:cNvPr id="67" name="Group 66">
                      <a:extLst>
                        <a:ext uri="{FF2B5EF4-FFF2-40B4-BE49-F238E27FC236}">
                          <a16:creationId xmlns:a16="http://schemas.microsoft.com/office/drawing/2014/main" id="{6ADAC47E-9904-0067-C79B-23F1CD3BE93C}"/>
                        </a:ext>
                      </a:extLst>
                    </xdr:cNvPr>
                    <xdr:cNvGrpSpPr/>
                  </xdr:nvGrpSpPr>
                  <xdr:grpSpPr>
                    <a:xfrm>
                      <a:off x="2948940" y="3200400"/>
                      <a:ext cx="2743200" cy="1714500"/>
                      <a:chOff x="60960" y="3154680"/>
                      <a:chExt cx="2743200" cy="1714500"/>
                    </a:xfrm>
                  </xdr:grpSpPr>
                  <xdr:sp macro="" textlink="">
                    <xdr:nvSpPr>
                      <xdr:cNvPr id="69" name="Rectangle 68">
                        <a:extLst>
                          <a:ext uri="{FF2B5EF4-FFF2-40B4-BE49-F238E27FC236}">
                            <a16:creationId xmlns:a16="http://schemas.microsoft.com/office/drawing/2014/main" id="{9AE08B78-89DA-51E1-781A-DB322F138BB5}"/>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0" name="Group 69">
                        <a:extLst>
                          <a:ext uri="{FF2B5EF4-FFF2-40B4-BE49-F238E27FC236}">
                            <a16:creationId xmlns:a16="http://schemas.microsoft.com/office/drawing/2014/main" id="{713531E9-C3A5-4FF2-71C1-22EE0AE3F731}"/>
                          </a:ext>
                        </a:extLst>
                      </xdr:cNvPr>
                      <xdr:cNvGrpSpPr/>
                    </xdr:nvGrpSpPr>
                    <xdr:grpSpPr>
                      <a:xfrm>
                        <a:off x="365760" y="3535680"/>
                        <a:ext cx="2438400" cy="457200"/>
                        <a:chOff x="365760" y="3535680"/>
                        <a:chExt cx="1584960" cy="457200"/>
                      </a:xfrm>
                    </xdr:grpSpPr>
                    <xdr:sp macro="" textlink="">
                      <xdr:nvSpPr>
                        <xdr:cNvPr id="77" name="Rectangle 76">
                          <a:hlinkClick xmlns:r="http://schemas.openxmlformats.org/officeDocument/2006/relationships" r:id="rId1"/>
                          <a:extLst>
                            <a:ext uri="{FF2B5EF4-FFF2-40B4-BE49-F238E27FC236}">
                              <a16:creationId xmlns:a16="http://schemas.microsoft.com/office/drawing/2014/main" id="{33B399E3-1184-22ED-B6E0-E8B108D3312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8" name="Rectangle 77">
                          <a:hlinkClick xmlns:r="http://schemas.openxmlformats.org/officeDocument/2006/relationships" r:id="rId1"/>
                          <a:extLst>
                            <a:ext uri="{FF2B5EF4-FFF2-40B4-BE49-F238E27FC236}">
                              <a16:creationId xmlns:a16="http://schemas.microsoft.com/office/drawing/2014/main" id="{6D0AD292-D70C-5C63-CE61-A8AB3554A5A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 name="Group 70">
                        <a:extLst>
                          <a:ext uri="{FF2B5EF4-FFF2-40B4-BE49-F238E27FC236}">
                            <a16:creationId xmlns:a16="http://schemas.microsoft.com/office/drawing/2014/main" id="{19CC50D3-6F25-D72D-3E43-01B62D5ABD8D}"/>
                          </a:ext>
                        </a:extLst>
                      </xdr:cNvPr>
                      <xdr:cNvGrpSpPr/>
                    </xdr:nvGrpSpPr>
                    <xdr:grpSpPr>
                      <a:xfrm>
                        <a:off x="365760" y="3977640"/>
                        <a:ext cx="2438400" cy="457200"/>
                        <a:chOff x="365760" y="3535680"/>
                        <a:chExt cx="1584960" cy="457200"/>
                      </a:xfrm>
                    </xdr:grpSpPr>
                    <xdr:sp macro="" textlink="">
                      <xdr:nvSpPr>
                        <xdr:cNvPr id="75" name="Rectangle 74">
                          <a:extLst>
                            <a:ext uri="{FF2B5EF4-FFF2-40B4-BE49-F238E27FC236}">
                              <a16:creationId xmlns:a16="http://schemas.microsoft.com/office/drawing/2014/main" id="{944D6AEE-EE8D-EA04-8B60-E9EBA619AA1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6" name="Rectangle 75">
                          <a:hlinkClick xmlns:r="http://schemas.openxmlformats.org/officeDocument/2006/relationships" r:id="rId2"/>
                          <a:extLst>
                            <a:ext uri="{FF2B5EF4-FFF2-40B4-BE49-F238E27FC236}">
                              <a16:creationId xmlns:a16="http://schemas.microsoft.com/office/drawing/2014/main" id="{1876205B-E5FB-87B5-A6F9-A2592C39F7C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2" name="Group 71">
                        <a:extLst>
                          <a:ext uri="{FF2B5EF4-FFF2-40B4-BE49-F238E27FC236}">
                            <a16:creationId xmlns:a16="http://schemas.microsoft.com/office/drawing/2014/main" id="{EDFCDB33-6738-FBD4-965E-9F68255A6DC6}"/>
                          </a:ext>
                        </a:extLst>
                      </xdr:cNvPr>
                      <xdr:cNvGrpSpPr/>
                    </xdr:nvGrpSpPr>
                    <xdr:grpSpPr>
                      <a:xfrm>
                        <a:off x="365760" y="4411980"/>
                        <a:ext cx="2438400" cy="457200"/>
                        <a:chOff x="365760" y="3535680"/>
                        <a:chExt cx="1584960" cy="457200"/>
                      </a:xfrm>
                    </xdr:grpSpPr>
                    <xdr:sp macro="" textlink="">
                      <xdr:nvSpPr>
                        <xdr:cNvPr id="73" name="Rectangle 72">
                          <a:hlinkClick xmlns:r="http://schemas.openxmlformats.org/officeDocument/2006/relationships" r:id="rId3"/>
                          <a:extLst>
                            <a:ext uri="{FF2B5EF4-FFF2-40B4-BE49-F238E27FC236}">
                              <a16:creationId xmlns:a16="http://schemas.microsoft.com/office/drawing/2014/main" id="{3E39C28B-F92C-A14D-512C-BE61327272C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4" name="Rectangle 73">
                          <a:extLst>
                            <a:ext uri="{FF2B5EF4-FFF2-40B4-BE49-F238E27FC236}">
                              <a16:creationId xmlns:a16="http://schemas.microsoft.com/office/drawing/2014/main" id="{9794A771-FCF3-429C-25D0-838816824D4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8" name="Rectangle 67">
                      <a:extLst>
                        <a:ext uri="{FF2B5EF4-FFF2-40B4-BE49-F238E27FC236}">
                          <a16:creationId xmlns:a16="http://schemas.microsoft.com/office/drawing/2014/main" id="{62806B42-C560-0099-FE00-D8EF8BFDF0A4}"/>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186CF33E-5D0C-1D00-4E36-EE59837AE7AB}"/>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4FDA5366-7A31-C636-C26C-616F9A7F236E}"/>
                        </a:ext>
                      </a:extLst>
                    </xdr:cNvPr>
                    <xdr:cNvGrpSpPr/>
                  </xdr:nvGrpSpPr>
                  <xdr:grpSpPr>
                    <a:xfrm>
                      <a:off x="205740" y="3192780"/>
                      <a:ext cx="2743200" cy="1714500"/>
                      <a:chOff x="60960" y="3154680"/>
                      <a:chExt cx="2743200" cy="1714500"/>
                    </a:xfrm>
                  </xdr:grpSpPr>
                  <xdr:sp macro="" textlink="">
                    <xdr:nvSpPr>
                      <xdr:cNvPr id="57" name="Rectangle 56">
                        <a:extLst>
                          <a:ext uri="{FF2B5EF4-FFF2-40B4-BE49-F238E27FC236}">
                            <a16:creationId xmlns:a16="http://schemas.microsoft.com/office/drawing/2014/main" id="{230DFFD5-BD9F-7B68-C784-E6E88C16B68A}"/>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8" name="Group 57">
                        <a:extLst>
                          <a:ext uri="{FF2B5EF4-FFF2-40B4-BE49-F238E27FC236}">
                            <a16:creationId xmlns:a16="http://schemas.microsoft.com/office/drawing/2014/main" id="{22E52C1B-168F-936F-35D8-0E3F1DB57486}"/>
                          </a:ext>
                        </a:extLst>
                      </xdr:cNvPr>
                      <xdr:cNvGrpSpPr/>
                    </xdr:nvGrpSpPr>
                    <xdr:grpSpPr>
                      <a:xfrm>
                        <a:off x="365760" y="3535680"/>
                        <a:ext cx="2438400" cy="457200"/>
                        <a:chOff x="365760" y="3535680"/>
                        <a:chExt cx="1584960" cy="457200"/>
                      </a:xfrm>
                    </xdr:grpSpPr>
                    <xdr:sp macro="" textlink="">
                      <xdr:nvSpPr>
                        <xdr:cNvPr id="65" name="Rectangle 64">
                          <a:hlinkClick xmlns:r="http://schemas.openxmlformats.org/officeDocument/2006/relationships" r:id="rId4"/>
                          <a:extLst>
                            <a:ext uri="{FF2B5EF4-FFF2-40B4-BE49-F238E27FC236}">
                              <a16:creationId xmlns:a16="http://schemas.microsoft.com/office/drawing/2014/main" id="{210C01A2-61AA-CAE6-8A5D-F692BEE90B1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6" name="Rectangle 65">
                          <a:hlinkClick xmlns:r="http://schemas.openxmlformats.org/officeDocument/2006/relationships" r:id="rId5"/>
                          <a:extLst>
                            <a:ext uri="{FF2B5EF4-FFF2-40B4-BE49-F238E27FC236}">
                              <a16:creationId xmlns:a16="http://schemas.microsoft.com/office/drawing/2014/main" id="{4E468E3F-558D-958A-DE40-D50F9AF19E8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59" name="Group 58">
                        <a:extLst>
                          <a:ext uri="{FF2B5EF4-FFF2-40B4-BE49-F238E27FC236}">
                            <a16:creationId xmlns:a16="http://schemas.microsoft.com/office/drawing/2014/main" id="{AAAE5A4C-6DFB-EB54-7D95-5FA9BB492CA8}"/>
                          </a:ext>
                        </a:extLst>
                      </xdr:cNvPr>
                      <xdr:cNvGrpSpPr/>
                    </xdr:nvGrpSpPr>
                    <xdr:grpSpPr>
                      <a:xfrm>
                        <a:off x="365760" y="3977640"/>
                        <a:ext cx="2438400" cy="457200"/>
                        <a:chOff x="365760" y="3535680"/>
                        <a:chExt cx="1584960" cy="457200"/>
                      </a:xfrm>
                    </xdr:grpSpPr>
                    <xdr:sp macro="" textlink="">
                      <xdr:nvSpPr>
                        <xdr:cNvPr id="63" name="Rectangle 62">
                          <a:hlinkClick xmlns:r="http://schemas.openxmlformats.org/officeDocument/2006/relationships" r:id="rId6"/>
                          <a:extLst>
                            <a:ext uri="{FF2B5EF4-FFF2-40B4-BE49-F238E27FC236}">
                              <a16:creationId xmlns:a16="http://schemas.microsoft.com/office/drawing/2014/main" id="{E14EA291-C3BA-BAED-1DC6-1CDC67090E8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4" name="Rectangle 63">
                          <a:hlinkClick xmlns:r="http://schemas.openxmlformats.org/officeDocument/2006/relationships" r:id="rId7"/>
                          <a:extLst>
                            <a:ext uri="{FF2B5EF4-FFF2-40B4-BE49-F238E27FC236}">
                              <a16:creationId xmlns:a16="http://schemas.microsoft.com/office/drawing/2014/main" id="{61E341B3-93E1-F725-E0D7-D2B6169CDAA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0" name="Group 59">
                        <a:extLst>
                          <a:ext uri="{FF2B5EF4-FFF2-40B4-BE49-F238E27FC236}">
                            <a16:creationId xmlns:a16="http://schemas.microsoft.com/office/drawing/2014/main" id="{E4DFF375-701D-C250-D021-A2DC3B4E3D8B}"/>
                          </a:ext>
                        </a:extLst>
                      </xdr:cNvPr>
                      <xdr:cNvGrpSpPr/>
                    </xdr:nvGrpSpPr>
                    <xdr:grpSpPr>
                      <a:xfrm>
                        <a:off x="365760" y="4411980"/>
                        <a:ext cx="2438400" cy="457200"/>
                        <a:chOff x="365760" y="3535680"/>
                        <a:chExt cx="1584960" cy="457200"/>
                      </a:xfrm>
                    </xdr:grpSpPr>
                    <xdr:sp macro="" textlink="">
                      <xdr:nvSpPr>
                        <xdr:cNvPr id="61" name="Rectangle 60">
                          <a:hlinkClick xmlns:r="http://schemas.openxmlformats.org/officeDocument/2006/relationships" r:id="rId8"/>
                          <a:extLst>
                            <a:ext uri="{FF2B5EF4-FFF2-40B4-BE49-F238E27FC236}">
                              <a16:creationId xmlns:a16="http://schemas.microsoft.com/office/drawing/2014/main" id="{EAB1FD95-521B-A22A-56B5-9A153D75E1C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2" name="Rectangle 61">
                          <a:hlinkClick xmlns:r="http://schemas.openxmlformats.org/officeDocument/2006/relationships" r:id="rId9"/>
                          <a:extLst>
                            <a:ext uri="{FF2B5EF4-FFF2-40B4-BE49-F238E27FC236}">
                              <a16:creationId xmlns:a16="http://schemas.microsoft.com/office/drawing/2014/main" id="{09CFEAB5-B079-BF3A-3B65-AB1F5D3219F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66811F60-DCF2-2FE5-BA4E-F0D45176A15A}"/>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A1A6F6EE-A65B-3C79-0BBC-708BC26BAF5D}"/>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9D70BC81-B898-33DC-530A-C86EE5902E91}"/>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1459BB49-FC86-DC90-8F21-4BB6756EBC66}"/>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74883060-3C50-0A7F-4AAB-2A334DEEC589}"/>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F510C3C9-ADBF-49BE-6695-7088E54FC2B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DA155F03-145B-65AC-ABB9-70900EAA180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2B114604-2C1E-7D4C-DA61-652D86ED3CC3}"/>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EEC8A029-A966-8B77-ACD3-8F57396B3A2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6AB744C6-9894-EDF3-5494-BFD5A1D362E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D231FE9C-87E9-293E-51E4-76EF4E578AEB}"/>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53EA55FC-1B7A-E2E6-443F-A2AD1E206FC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C7071613-91B1-EA37-9D72-45058C24592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2085A029-4B9C-624E-3D4B-DECEA25370B2}"/>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4DDEBA0C-CC74-1BD5-91ED-AF781FCC131B}"/>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961CF888-D4D2-BB69-91D7-57BF03D4DE38}"/>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66386A4C-155A-F605-330D-235EBA770FE7}"/>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8C1AEBD0-3A42-40D6-5307-8A5990F02260}"/>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F653FCAA-2C91-1476-7D4F-9AF62D6816B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7F387408-F065-8D50-7E24-BA0F184556E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5C653247-0978-FD93-BB0D-8488DD71BFE5}"/>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CB5BEA24-EBF1-C6B5-84FC-8FA06A12793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7A5EE6A6-9C65-8CF4-5B13-44DB4307271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D660BE4D-65A4-81A8-5A79-2465D65CFB9D}"/>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1916C6D0-AAC5-8AC9-F641-D2139C77177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947F099D-1266-C616-1698-EC7DB4A53FD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C6316553-B172-E308-1E3F-B6CDEB84A868}"/>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7737A056-45E0-794F-D67A-95BFE164C8F9}"/>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9629652C-7DD5-46E1-A85E-6D9A475BF4E9}"/>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B0A790BD-C266-91E7-445B-78702B87962B}"/>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B336EF85-CF06-63F0-C53C-B18AF0CA3F56}"/>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DDABB488-9E83-2630-6E19-292FBD3DF98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70724BF0-A79C-BB0E-9047-25648F24103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87BD0FBE-B62F-8088-C96E-2D057141A6B5}"/>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153BAE97-056E-C732-8969-867C69681F4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95E9A927-3978-9FE4-6AAA-88FE773B524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53291D3F-1C0A-9878-5C79-4474A58A15CC}"/>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777FAAB7-642D-614C-F19C-E9CCA922571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F9AC3F5F-E58A-0E99-6952-611093672BC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65C0B364-3BA4-AE58-EDD2-D7D6E70E834A}"/>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35CB31C4-821D-CE23-463A-9DE270F6BBD2}"/>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A0FB7CE9-5A9A-B6E6-D1C7-83092310CE74}"/>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57357A4B-0183-0D4D-501F-F4B0BEBFE71B}"/>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A5B1E1C6-639F-96F3-391A-5AC01BF7F58F}"/>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E61240A2-CFFB-0552-65C2-3F431CB93544}"/>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165100</xdr:rowOff>
    </xdr:from>
    <xdr:to>
      <xdr:col>21</xdr:col>
      <xdr:colOff>79388</xdr:colOff>
      <xdr:row>15</xdr:row>
      <xdr:rowOff>0</xdr:rowOff>
    </xdr:to>
    <xdr:grpSp>
      <xdr:nvGrpSpPr>
        <xdr:cNvPr id="2" name="Group 1">
          <a:extLst>
            <a:ext uri="{FF2B5EF4-FFF2-40B4-BE49-F238E27FC236}">
              <a16:creationId xmlns:a16="http://schemas.microsoft.com/office/drawing/2014/main" id="{140A6C0E-B91A-4BA2-B13A-DEB02F7C00B0}"/>
            </a:ext>
          </a:extLst>
        </xdr:cNvPr>
        <xdr:cNvGrpSpPr/>
      </xdr:nvGrpSpPr>
      <xdr:grpSpPr>
        <a:xfrm>
          <a:off x="0" y="165100"/>
          <a:ext cx="19785555" cy="2734733"/>
          <a:chOff x="0" y="25400"/>
          <a:chExt cx="18808713" cy="2465554"/>
        </a:xfrm>
      </xdr:grpSpPr>
      <xdr:grpSp>
        <xdr:nvGrpSpPr>
          <xdr:cNvPr id="3" name="Group 2">
            <a:extLst>
              <a:ext uri="{FF2B5EF4-FFF2-40B4-BE49-F238E27FC236}">
                <a16:creationId xmlns:a16="http://schemas.microsoft.com/office/drawing/2014/main" id="{7F43C1A1-A185-19E0-B770-7C9699BDACC6}"/>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2ACA2D7F-ED81-4DF3-7724-9A191934505F}"/>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A0628F1F-85E8-4633-D577-325D04A1DAF7}"/>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0EBEE4DC-3AE1-55A7-3CC3-A63C14A6BA96}"/>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E7502111-7088-9ABF-A2F0-BB709629F9EA}"/>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69CE56F8-C9B1-D949-8C42-84BE59A873DC}"/>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19555ED2-1B49-A5D8-E8FE-946529BDD34C}"/>
                      </a:ext>
                    </a:extLst>
                  </xdr:cNvPr>
                  <xdr:cNvGrpSpPr/>
                </xdr:nvGrpSpPr>
                <xdr:grpSpPr>
                  <a:xfrm>
                    <a:off x="2948940" y="3200400"/>
                    <a:ext cx="2743200" cy="1935480"/>
                    <a:chOff x="2948940" y="3200400"/>
                    <a:chExt cx="2743200" cy="1935480"/>
                  </a:xfrm>
                </xdr:grpSpPr>
                <xdr:grpSp>
                  <xdr:nvGrpSpPr>
                    <xdr:cNvPr id="67" name="Group 66">
                      <a:extLst>
                        <a:ext uri="{FF2B5EF4-FFF2-40B4-BE49-F238E27FC236}">
                          <a16:creationId xmlns:a16="http://schemas.microsoft.com/office/drawing/2014/main" id="{072F3169-51F1-F1A1-3B32-FDB944DBCB8E}"/>
                        </a:ext>
                      </a:extLst>
                    </xdr:cNvPr>
                    <xdr:cNvGrpSpPr/>
                  </xdr:nvGrpSpPr>
                  <xdr:grpSpPr>
                    <a:xfrm>
                      <a:off x="2948940" y="3200400"/>
                      <a:ext cx="2743200" cy="1714500"/>
                      <a:chOff x="60960" y="3154680"/>
                      <a:chExt cx="2743200" cy="1714500"/>
                    </a:xfrm>
                  </xdr:grpSpPr>
                  <xdr:sp macro="" textlink="">
                    <xdr:nvSpPr>
                      <xdr:cNvPr id="69" name="Rectangle 68">
                        <a:extLst>
                          <a:ext uri="{FF2B5EF4-FFF2-40B4-BE49-F238E27FC236}">
                            <a16:creationId xmlns:a16="http://schemas.microsoft.com/office/drawing/2014/main" id="{A1BD10C4-68A0-0B30-1739-DA566C49B40B}"/>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0" name="Group 69">
                        <a:extLst>
                          <a:ext uri="{FF2B5EF4-FFF2-40B4-BE49-F238E27FC236}">
                            <a16:creationId xmlns:a16="http://schemas.microsoft.com/office/drawing/2014/main" id="{6B80226A-3537-820A-DED2-EFA3ABFD43BE}"/>
                          </a:ext>
                        </a:extLst>
                      </xdr:cNvPr>
                      <xdr:cNvGrpSpPr/>
                    </xdr:nvGrpSpPr>
                    <xdr:grpSpPr>
                      <a:xfrm>
                        <a:off x="365760" y="3535680"/>
                        <a:ext cx="2438400" cy="457200"/>
                        <a:chOff x="365760" y="3535680"/>
                        <a:chExt cx="1584960" cy="457200"/>
                      </a:xfrm>
                    </xdr:grpSpPr>
                    <xdr:sp macro="" textlink="">
                      <xdr:nvSpPr>
                        <xdr:cNvPr id="77" name="Rectangle 76">
                          <a:hlinkClick xmlns:r="http://schemas.openxmlformats.org/officeDocument/2006/relationships" r:id="rId1"/>
                          <a:extLst>
                            <a:ext uri="{FF2B5EF4-FFF2-40B4-BE49-F238E27FC236}">
                              <a16:creationId xmlns:a16="http://schemas.microsoft.com/office/drawing/2014/main" id="{93E54D73-912C-60B1-8FBF-CEAADDD1472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8" name="Rectangle 77">
                          <a:hlinkClick xmlns:r="http://schemas.openxmlformats.org/officeDocument/2006/relationships" r:id="rId1"/>
                          <a:extLst>
                            <a:ext uri="{FF2B5EF4-FFF2-40B4-BE49-F238E27FC236}">
                              <a16:creationId xmlns:a16="http://schemas.microsoft.com/office/drawing/2014/main" id="{5C1F6921-212A-A5E2-E315-A378B1F5B34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 name="Group 70">
                        <a:extLst>
                          <a:ext uri="{FF2B5EF4-FFF2-40B4-BE49-F238E27FC236}">
                            <a16:creationId xmlns:a16="http://schemas.microsoft.com/office/drawing/2014/main" id="{3FA380E5-B048-5C38-3FB7-47DD3E421CB3}"/>
                          </a:ext>
                        </a:extLst>
                      </xdr:cNvPr>
                      <xdr:cNvGrpSpPr/>
                    </xdr:nvGrpSpPr>
                    <xdr:grpSpPr>
                      <a:xfrm>
                        <a:off x="365760" y="3977640"/>
                        <a:ext cx="2438400" cy="457200"/>
                        <a:chOff x="365760" y="3535680"/>
                        <a:chExt cx="1584960" cy="457200"/>
                      </a:xfrm>
                    </xdr:grpSpPr>
                    <xdr:sp macro="" textlink="">
                      <xdr:nvSpPr>
                        <xdr:cNvPr id="75" name="Rectangle 74">
                          <a:extLst>
                            <a:ext uri="{FF2B5EF4-FFF2-40B4-BE49-F238E27FC236}">
                              <a16:creationId xmlns:a16="http://schemas.microsoft.com/office/drawing/2014/main" id="{8F325D50-CE5F-F985-9DA6-C1EA5654A56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6" name="Rectangle 75">
                          <a:hlinkClick xmlns:r="http://schemas.openxmlformats.org/officeDocument/2006/relationships" r:id="rId2"/>
                          <a:extLst>
                            <a:ext uri="{FF2B5EF4-FFF2-40B4-BE49-F238E27FC236}">
                              <a16:creationId xmlns:a16="http://schemas.microsoft.com/office/drawing/2014/main" id="{F993B2EF-8A2F-62C1-593D-04C7D86639F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2" name="Group 71">
                        <a:extLst>
                          <a:ext uri="{FF2B5EF4-FFF2-40B4-BE49-F238E27FC236}">
                            <a16:creationId xmlns:a16="http://schemas.microsoft.com/office/drawing/2014/main" id="{25F69656-B336-298E-1BBD-A5A8C17EDAE4}"/>
                          </a:ext>
                        </a:extLst>
                      </xdr:cNvPr>
                      <xdr:cNvGrpSpPr/>
                    </xdr:nvGrpSpPr>
                    <xdr:grpSpPr>
                      <a:xfrm>
                        <a:off x="365760" y="4411980"/>
                        <a:ext cx="2438400" cy="457200"/>
                        <a:chOff x="365760" y="3535680"/>
                        <a:chExt cx="1584960" cy="457200"/>
                      </a:xfrm>
                    </xdr:grpSpPr>
                    <xdr:sp macro="" textlink="">
                      <xdr:nvSpPr>
                        <xdr:cNvPr id="73" name="Rectangle 72">
                          <a:hlinkClick xmlns:r="http://schemas.openxmlformats.org/officeDocument/2006/relationships" r:id="rId3"/>
                          <a:extLst>
                            <a:ext uri="{FF2B5EF4-FFF2-40B4-BE49-F238E27FC236}">
                              <a16:creationId xmlns:a16="http://schemas.microsoft.com/office/drawing/2014/main" id="{1C578E64-D551-07A4-25DD-0CD2C3198B5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4" name="Rectangle 73">
                          <a:extLst>
                            <a:ext uri="{FF2B5EF4-FFF2-40B4-BE49-F238E27FC236}">
                              <a16:creationId xmlns:a16="http://schemas.microsoft.com/office/drawing/2014/main" id="{32C553C9-9B65-D924-F4AE-B46C031882B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8" name="Rectangle 67">
                      <a:extLst>
                        <a:ext uri="{FF2B5EF4-FFF2-40B4-BE49-F238E27FC236}">
                          <a16:creationId xmlns:a16="http://schemas.microsoft.com/office/drawing/2014/main" id="{D578C354-4726-DDE5-0A6B-B5804BC0DA5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1E53C141-69E4-1C93-8C5A-18E8BA4C473E}"/>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4B5B209E-AF5D-EB9D-BDE0-2C33D5A53AA6}"/>
                        </a:ext>
                      </a:extLst>
                    </xdr:cNvPr>
                    <xdr:cNvGrpSpPr/>
                  </xdr:nvGrpSpPr>
                  <xdr:grpSpPr>
                    <a:xfrm>
                      <a:off x="205740" y="3192780"/>
                      <a:ext cx="2743200" cy="1714500"/>
                      <a:chOff x="60960" y="3154680"/>
                      <a:chExt cx="2743200" cy="1714500"/>
                    </a:xfrm>
                  </xdr:grpSpPr>
                  <xdr:sp macro="" textlink="">
                    <xdr:nvSpPr>
                      <xdr:cNvPr id="57" name="Rectangle 56">
                        <a:extLst>
                          <a:ext uri="{FF2B5EF4-FFF2-40B4-BE49-F238E27FC236}">
                            <a16:creationId xmlns:a16="http://schemas.microsoft.com/office/drawing/2014/main" id="{CF349ACF-B68F-9732-F5C4-05D04D4DC00D}"/>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8" name="Group 57">
                        <a:extLst>
                          <a:ext uri="{FF2B5EF4-FFF2-40B4-BE49-F238E27FC236}">
                            <a16:creationId xmlns:a16="http://schemas.microsoft.com/office/drawing/2014/main" id="{5767561E-AE10-8D96-9F14-18BDBF7A1020}"/>
                          </a:ext>
                        </a:extLst>
                      </xdr:cNvPr>
                      <xdr:cNvGrpSpPr/>
                    </xdr:nvGrpSpPr>
                    <xdr:grpSpPr>
                      <a:xfrm>
                        <a:off x="365760" y="3535680"/>
                        <a:ext cx="2438400" cy="457200"/>
                        <a:chOff x="365760" y="3535680"/>
                        <a:chExt cx="1584960" cy="457200"/>
                      </a:xfrm>
                    </xdr:grpSpPr>
                    <xdr:sp macro="" textlink="">
                      <xdr:nvSpPr>
                        <xdr:cNvPr id="65" name="Rectangle 64">
                          <a:hlinkClick xmlns:r="http://schemas.openxmlformats.org/officeDocument/2006/relationships" r:id="rId4"/>
                          <a:extLst>
                            <a:ext uri="{FF2B5EF4-FFF2-40B4-BE49-F238E27FC236}">
                              <a16:creationId xmlns:a16="http://schemas.microsoft.com/office/drawing/2014/main" id="{D6322FAA-01F8-049C-85D5-F26524F3F55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6" name="Rectangle 65">
                          <a:hlinkClick xmlns:r="http://schemas.openxmlformats.org/officeDocument/2006/relationships" r:id="rId5"/>
                          <a:extLst>
                            <a:ext uri="{FF2B5EF4-FFF2-40B4-BE49-F238E27FC236}">
                              <a16:creationId xmlns:a16="http://schemas.microsoft.com/office/drawing/2014/main" id="{C45D44C4-EEB8-62BA-1956-498829DCF47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59" name="Group 58">
                        <a:extLst>
                          <a:ext uri="{FF2B5EF4-FFF2-40B4-BE49-F238E27FC236}">
                            <a16:creationId xmlns:a16="http://schemas.microsoft.com/office/drawing/2014/main" id="{85675D63-15B4-A2B7-8609-D85FE9541B7B}"/>
                          </a:ext>
                        </a:extLst>
                      </xdr:cNvPr>
                      <xdr:cNvGrpSpPr/>
                    </xdr:nvGrpSpPr>
                    <xdr:grpSpPr>
                      <a:xfrm>
                        <a:off x="365760" y="3977640"/>
                        <a:ext cx="2438400" cy="457200"/>
                        <a:chOff x="365760" y="3535680"/>
                        <a:chExt cx="1584960" cy="457200"/>
                      </a:xfrm>
                    </xdr:grpSpPr>
                    <xdr:sp macro="" textlink="">
                      <xdr:nvSpPr>
                        <xdr:cNvPr id="63" name="Rectangle 62">
                          <a:hlinkClick xmlns:r="http://schemas.openxmlformats.org/officeDocument/2006/relationships" r:id="rId6"/>
                          <a:extLst>
                            <a:ext uri="{FF2B5EF4-FFF2-40B4-BE49-F238E27FC236}">
                              <a16:creationId xmlns:a16="http://schemas.microsoft.com/office/drawing/2014/main" id="{7DD4775A-9DCA-AAC5-C056-69C33C93FB8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4" name="Rectangle 63">
                          <a:hlinkClick xmlns:r="http://schemas.openxmlformats.org/officeDocument/2006/relationships" r:id="rId7"/>
                          <a:extLst>
                            <a:ext uri="{FF2B5EF4-FFF2-40B4-BE49-F238E27FC236}">
                              <a16:creationId xmlns:a16="http://schemas.microsoft.com/office/drawing/2014/main" id="{D90E0E75-1A6E-5625-81D6-08C7BF24509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0" name="Group 59">
                        <a:extLst>
                          <a:ext uri="{FF2B5EF4-FFF2-40B4-BE49-F238E27FC236}">
                            <a16:creationId xmlns:a16="http://schemas.microsoft.com/office/drawing/2014/main" id="{0306166B-96A4-4E45-4343-76E8231B969D}"/>
                          </a:ext>
                        </a:extLst>
                      </xdr:cNvPr>
                      <xdr:cNvGrpSpPr/>
                    </xdr:nvGrpSpPr>
                    <xdr:grpSpPr>
                      <a:xfrm>
                        <a:off x="365760" y="4411980"/>
                        <a:ext cx="2438400" cy="457200"/>
                        <a:chOff x="365760" y="3535680"/>
                        <a:chExt cx="1584960" cy="457200"/>
                      </a:xfrm>
                    </xdr:grpSpPr>
                    <xdr:sp macro="" textlink="">
                      <xdr:nvSpPr>
                        <xdr:cNvPr id="61" name="Rectangle 60">
                          <a:hlinkClick xmlns:r="http://schemas.openxmlformats.org/officeDocument/2006/relationships" r:id="rId8"/>
                          <a:extLst>
                            <a:ext uri="{FF2B5EF4-FFF2-40B4-BE49-F238E27FC236}">
                              <a16:creationId xmlns:a16="http://schemas.microsoft.com/office/drawing/2014/main" id="{747B4A86-BBF5-8745-A9D2-3FD76AB370E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2" name="Rectangle 61">
                          <a:hlinkClick xmlns:r="http://schemas.openxmlformats.org/officeDocument/2006/relationships" r:id="rId9"/>
                          <a:extLst>
                            <a:ext uri="{FF2B5EF4-FFF2-40B4-BE49-F238E27FC236}">
                              <a16:creationId xmlns:a16="http://schemas.microsoft.com/office/drawing/2014/main" id="{4E15625C-BAA8-0C48-0481-136595E120F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B5EB7711-6486-51E5-A73E-8A12D07B7F6D}"/>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9D5D70E5-83E2-186D-34BD-CB7EDC378337}"/>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728DF0DF-2A85-9AB6-2997-64605290C255}"/>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E958E439-E9EF-82A1-5C80-1BCC9A429B6B}"/>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F99AFA82-5BD4-30B5-DFED-95D9FA0466AD}"/>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B6E537C4-424E-6D71-6682-17D6BA4124B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8F736844-457D-2F82-91D6-EC3DAEABEDD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C4D7DE5E-0192-5BF6-EC6B-7D1631E4E2E5}"/>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28942580-8F69-C108-9D4C-855520F8A56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F7CB246F-310A-0BD2-166A-15E9E33A666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584D6907-0057-BD1D-589A-CFA83DE15789}"/>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0A8090E0-D473-A120-CCBF-837182C1B0C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59FC2582-DC78-E62E-E913-C33AEE01159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536B9C18-0E3C-E5AF-DDE7-AB2574A6C91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7577B5C1-C86E-E211-28DD-AA6EE534F17F}"/>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D9FA89FF-9EEC-B11C-7B22-655ED3FF3449}"/>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EC979995-2CC8-A673-79A8-153CABB8A8D7}"/>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5E9F7D29-5225-4B5B-C3DC-42BBEF8B4694}"/>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53651D4B-9BCD-F029-C583-8AAF5B388D5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279288A8-B4B8-522E-087C-26346B0A476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476B94C0-1B5F-7D3A-D9DF-74601E4A0E72}"/>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69EBE472-8729-ECBC-D546-CEBB371F5C1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4142C076-FF78-B733-098B-6B5D7222461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B1152B32-1F65-6003-4B52-0652F811AB53}"/>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AE72F19F-E094-043A-B5B3-93069A48D22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85923BC2-9068-7AAE-9071-F4FB68333C9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21BB9188-7A0E-FE90-826D-BF626F31FEAE}"/>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D7BC18DB-67FD-7ECC-90F4-F1E79C35CF0A}"/>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4C7C3B85-D6F7-EF8F-8416-46CDB654850D}"/>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FA08640F-ADBF-91ED-6851-DE0C99CCF1CC}"/>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095DFCCD-80C4-2702-9828-A18A33424C1F}"/>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1FFC88D4-C867-B17A-3D91-571B6921317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E73E23C0-77FB-B268-E7EE-1AB08F58C2C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2EC3E1A2-A9B0-993B-7EFC-3645F9F3BCE8}"/>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49584828-3EC2-2D15-79D8-F11F7AA8C76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9A43205A-7115-35A2-F910-03D7EA7D0C6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0CB165BD-E2AD-8D3C-2B73-D53C9A961D38}"/>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504ED855-AC1E-3874-F0EA-D913DD1CC47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6FB303B3-5A39-2292-76AE-5C5166FDCD2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39068594-C498-0E78-3A77-3161B3E1E4C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5F57B541-F984-2B61-C7BD-D95C5446564F}"/>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435E67A0-F658-97F8-118C-220677D55F64}"/>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163F330A-BA32-1073-241D-9F5B0CDA644D}"/>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5712B2A7-E96A-88F2-01F0-1F089CD82718}"/>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5064BA4A-E1EF-686D-C5B4-EA24717E5F0F}"/>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146063</xdr:colOff>
      <xdr:row>13</xdr:row>
      <xdr:rowOff>157329</xdr:rowOff>
    </xdr:to>
    <xdr:grpSp>
      <xdr:nvGrpSpPr>
        <xdr:cNvPr id="2" name="Group 1">
          <a:extLst>
            <a:ext uri="{FF2B5EF4-FFF2-40B4-BE49-F238E27FC236}">
              <a16:creationId xmlns:a16="http://schemas.microsoft.com/office/drawing/2014/main" id="{0537F67D-E6D4-4E19-A63B-901A7945032E}"/>
            </a:ext>
          </a:extLst>
        </xdr:cNvPr>
        <xdr:cNvGrpSpPr/>
      </xdr:nvGrpSpPr>
      <xdr:grpSpPr>
        <a:xfrm>
          <a:off x="0" y="0"/>
          <a:ext cx="20958188" cy="2633829"/>
          <a:chOff x="0" y="25400"/>
          <a:chExt cx="18808713" cy="2465554"/>
        </a:xfrm>
      </xdr:grpSpPr>
      <xdr:grpSp>
        <xdr:nvGrpSpPr>
          <xdr:cNvPr id="3" name="Group 2">
            <a:extLst>
              <a:ext uri="{FF2B5EF4-FFF2-40B4-BE49-F238E27FC236}">
                <a16:creationId xmlns:a16="http://schemas.microsoft.com/office/drawing/2014/main" id="{9566F816-4300-DFB5-38E6-A33048BC3A43}"/>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FCE71797-4893-201E-7253-AC3D39FF8451}"/>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D330C74E-B790-1198-314F-C4AA1C8853DD}"/>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075A99C7-8205-1E27-048E-84093E8DC65E}"/>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FE56C40E-D335-02CE-1C23-554E076691AA}"/>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8C23421B-6F2B-1A47-BB7E-D3AF3AFFFEB5}"/>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AFDC0244-5FE7-AF6E-3C07-89F08F1A52B5}"/>
                      </a:ext>
                    </a:extLst>
                  </xdr:cNvPr>
                  <xdr:cNvGrpSpPr/>
                </xdr:nvGrpSpPr>
                <xdr:grpSpPr>
                  <a:xfrm>
                    <a:off x="2948940" y="3200400"/>
                    <a:ext cx="2743200" cy="1935480"/>
                    <a:chOff x="2948940" y="3200400"/>
                    <a:chExt cx="2743200" cy="1935480"/>
                  </a:xfrm>
                </xdr:grpSpPr>
                <xdr:grpSp>
                  <xdr:nvGrpSpPr>
                    <xdr:cNvPr id="67" name="Group 66">
                      <a:extLst>
                        <a:ext uri="{FF2B5EF4-FFF2-40B4-BE49-F238E27FC236}">
                          <a16:creationId xmlns:a16="http://schemas.microsoft.com/office/drawing/2014/main" id="{CF5827C2-1C09-BBE5-6D42-0F92F848A0E1}"/>
                        </a:ext>
                      </a:extLst>
                    </xdr:cNvPr>
                    <xdr:cNvGrpSpPr/>
                  </xdr:nvGrpSpPr>
                  <xdr:grpSpPr>
                    <a:xfrm>
                      <a:off x="2948940" y="3200400"/>
                      <a:ext cx="2743200" cy="1714500"/>
                      <a:chOff x="60960" y="3154680"/>
                      <a:chExt cx="2743200" cy="1714500"/>
                    </a:xfrm>
                  </xdr:grpSpPr>
                  <xdr:sp macro="" textlink="">
                    <xdr:nvSpPr>
                      <xdr:cNvPr id="69" name="Rectangle 68">
                        <a:extLst>
                          <a:ext uri="{FF2B5EF4-FFF2-40B4-BE49-F238E27FC236}">
                            <a16:creationId xmlns:a16="http://schemas.microsoft.com/office/drawing/2014/main" id="{EBFAC42B-A532-FD12-9A47-C7A8DCE5273B}"/>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0" name="Group 69">
                        <a:extLst>
                          <a:ext uri="{FF2B5EF4-FFF2-40B4-BE49-F238E27FC236}">
                            <a16:creationId xmlns:a16="http://schemas.microsoft.com/office/drawing/2014/main" id="{5228B68B-6D61-AF04-4CD2-D6AA991C0C39}"/>
                          </a:ext>
                        </a:extLst>
                      </xdr:cNvPr>
                      <xdr:cNvGrpSpPr/>
                    </xdr:nvGrpSpPr>
                    <xdr:grpSpPr>
                      <a:xfrm>
                        <a:off x="365760" y="3535680"/>
                        <a:ext cx="2438400" cy="457200"/>
                        <a:chOff x="365760" y="3535680"/>
                        <a:chExt cx="1584960" cy="457200"/>
                      </a:xfrm>
                    </xdr:grpSpPr>
                    <xdr:sp macro="" textlink="">
                      <xdr:nvSpPr>
                        <xdr:cNvPr id="77" name="Rectangle 76">
                          <a:hlinkClick xmlns:r="http://schemas.openxmlformats.org/officeDocument/2006/relationships" r:id="rId1"/>
                          <a:extLst>
                            <a:ext uri="{FF2B5EF4-FFF2-40B4-BE49-F238E27FC236}">
                              <a16:creationId xmlns:a16="http://schemas.microsoft.com/office/drawing/2014/main" id="{D968B64E-E745-4C7B-E0D3-A06A079C165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8" name="Rectangle 77">
                          <a:hlinkClick xmlns:r="http://schemas.openxmlformats.org/officeDocument/2006/relationships" r:id="rId1"/>
                          <a:extLst>
                            <a:ext uri="{FF2B5EF4-FFF2-40B4-BE49-F238E27FC236}">
                              <a16:creationId xmlns:a16="http://schemas.microsoft.com/office/drawing/2014/main" id="{1158B03B-831C-9C4A-57BA-7D7E9E9A021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 name="Group 70">
                        <a:extLst>
                          <a:ext uri="{FF2B5EF4-FFF2-40B4-BE49-F238E27FC236}">
                            <a16:creationId xmlns:a16="http://schemas.microsoft.com/office/drawing/2014/main" id="{03FE7ADD-54B2-C68D-AEE3-1E66030C8310}"/>
                          </a:ext>
                        </a:extLst>
                      </xdr:cNvPr>
                      <xdr:cNvGrpSpPr/>
                    </xdr:nvGrpSpPr>
                    <xdr:grpSpPr>
                      <a:xfrm>
                        <a:off x="365760" y="3977640"/>
                        <a:ext cx="2438400" cy="457200"/>
                        <a:chOff x="365760" y="3535680"/>
                        <a:chExt cx="1584960" cy="457200"/>
                      </a:xfrm>
                    </xdr:grpSpPr>
                    <xdr:sp macro="" textlink="">
                      <xdr:nvSpPr>
                        <xdr:cNvPr id="75" name="Rectangle 74">
                          <a:extLst>
                            <a:ext uri="{FF2B5EF4-FFF2-40B4-BE49-F238E27FC236}">
                              <a16:creationId xmlns:a16="http://schemas.microsoft.com/office/drawing/2014/main" id="{3FD686F4-9024-6544-2629-4145D373A15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6" name="Rectangle 75">
                          <a:hlinkClick xmlns:r="http://schemas.openxmlformats.org/officeDocument/2006/relationships" r:id="rId2"/>
                          <a:extLst>
                            <a:ext uri="{FF2B5EF4-FFF2-40B4-BE49-F238E27FC236}">
                              <a16:creationId xmlns:a16="http://schemas.microsoft.com/office/drawing/2014/main" id="{F07DB356-B058-D696-79D6-8BB8F39D480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2" name="Group 71">
                        <a:extLst>
                          <a:ext uri="{FF2B5EF4-FFF2-40B4-BE49-F238E27FC236}">
                            <a16:creationId xmlns:a16="http://schemas.microsoft.com/office/drawing/2014/main" id="{E71CA7D1-2970-B808-1AF0-C95D199BE079}"/>
                          </a:ext>
                        </a:extLst>
                      </xdr:cNvPr>
                      <xdr:cNvGrpSpPr/>
                    </xdr:nvGrpSpPr>
                    <xdr:grpSpPr>
                      <a:xfrm>
                        <a:off x="365760" y="4411980"/>
                        <a:ext cx="2438400" cy="457200"/>
                        <a:chOff x="365760" y="3535680"/>
                        <a:chExt cx="1584960" cy="457200"/>
                      </a:xfrm>
                    </xdr:grpSpPr>
                    <xdr:sp macro="" textlink="">
                      <xdr:nvSpPr>
                        <xdr:cNvPr id="73" name="Rectangle 72">
                          <a:hlinkClick xmlns:r="http://schemas.openxmlformats.org/officeDocument/2006/relationships" r:id="rId3"/>
                          <a:extLst>
                            <a:ext uri="{FF2B5EF4-FFF2-40B4-BE49-F238E27FC236}">
                              <a16:creationId xmlns:a16="http://schemas.microsoft.com/office/drawing/2014/main" id="{8BB7A6D7-481A-6C2E-58AE-163362C2A64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4" name="Rectangle 73">
                          <a:extLst>
                            <a:ext uri="{FF2B5EF4-FFF2-40B4-BE49-F238E27FC236}">
                              <a16:creationId xmlns:a16="http://schemas.microsoft.com/office/drawing/2014/main" id="{58089846-10E5-E7E0-4B24-3811501646A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8" name="Rectangle 67">
                      <a:extLst>
                        <a:ext uri="{FF2B5EF4-FFF2-40B4-BE49-F238E27FC236}">
                          <a16:creationId xmlns:a16="http://schemas.microsoft.com/office/drawing/2014/main" id="{4B97DFEB-2983-C11B-0C17-8B39CB659510}"/>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47DF6FC4-0DC0-5F7E-1C88-F7281F2F028F}"/>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A0105A5F-A769-A8C9-5516-1BDC764CB0AD}"/>
                        </a:ext>
                      </a:extLst>
                    </xdr:cNvPr>
                    <xdr:cNvGrpSpPr/>
                  </xdr:nvGrpSpPr>
                  <xdr:grpSpPr>
                    <a:xfrm>
                      <a:off x="205740" y="3192780"/>
                      <a:ext cx="2743200" cy="1714500"/>
                      <a:chOff x="60960" y="3154680"/>
                      <a:chExt cx="2743200" cy="1714500"/>
                    </a:xfrm>
                  </xdr:grpSpPr>
                  <xdr:sp macro="" textlink="">
                    <xdr:nvSpPr>
                      <xdr:cNvPr id="57" name="Rectangle 56">
                        <a:extLst>
                          <a:ext uri="{FF2B5EF4-FFF2-40B4-BE49-F238E27FC236}">
                            <a16:creationId xmlns:a16="http://schemas.microsoft.com/office/drawing/2014/main" id="{65DE8F40-A16D-D098-6ECE-2E385DEB0A05}"/>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8" name="Group 57">
                        <a:extLst>
                          <a:ext uri="{FF2B5EF4-FFF2-40B4-BE49-F238E27FC236}">
                            <a16:creationId xmlns:a16="http://schemas.microsoft.com/office/drawing/2014/main" id="{DF884373-8CA4-88E0-AE11-2B0E59922AB6}"/>
                          </a:ext>
                        </a:extLst>
                      </xdr:cNvPr>
                      <xdr:cNvGrpSpPr/>
                    </xdr:nvGrpSpPr>
                    <xdr:grpSpPr>
                      <a:xfrm>
                        <a:off x="365760" y="3535680"/>
                        <a:ext cx="2438400" cy="457200"/>
                        <a:chOff x="365760" y="3535680"/>
                        <a:chExt cx="1584960" cy="457200"/>
                      </a:xfrm>
                    </xdr:grpSpPr>
                    <xdr:sp macro="" textlink="">
                      <xdr:nvSpPr>
                        <xdr:cNvPr id="65" name="Rectangle 64">
                          <a:hlinkClick xmlns:r="http://schemas.openxmlformats.org/officeDocument/2006/relationships" r:id="rId4"/>
                          <a:extLst>
                            <a:ext uri="{FF2B5EF4-FFF2-40B4-BE49-F238E27FC236}">
                              <a16:creationId xmlns:a16="http://schemas.microsoft.com/office/drawing/2014/main" id="{DD7CC498-18F2-C595-C15D-3057DB0734A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6" name="Rectangle 65">
                          <a:hlinkClick xmlns:r="http://schemas.openxmlformats.org/officeDocument/2006/relationships" r:id="rId5"/>
                          <a:extLst>
                            <a:ext uri="{FF2B5EF4-FFF2-40B4-BE49-F238E27FC236}">
                              <a16:creationId xmlns:a16="http://schemas.microsoft.com/office/drawing/2014/main" id="{59BEB0F8-BF40-F0A7-40E7-5D5FAE4338B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59" name="Group 58">
                        <a:extLst>
                          <a:ext uri="{FF2B5EF4-FFF2-40B4-BE49-F238E27FC236}">
                            <a16:creationId xmlns:a16="http://schemas.microsoft.com/office/drawing/2014/main" id="{311921BE-B6ED-7563-8CFF-4430100960DF}"/>
                          </a:ext>
                        </a:extLst>
                      </xdr:cNvPr>
                      <xdr:cNvGrpSpPr/>
                    </xdr:nvGrpSpPr>
                    <xdr:grpSpPr>
                      <a:xfrm>
                        <a:off x="365760" y="3977640"/>
                        <a:ext cx="2438400" cy="457200"/>
                        <a:chOff x="365760" y="3535680"/>
                        <a:chExt cx="1584960" cy="457200"/>
                      </a:xfrm>
                    </xdr:grpSpPr>
                    <xdr:sp macro="" textlink="">
                      <xdr:nvSpPr>
                        <xdr:cNvPr id="63" name="Rectangle 62">
                          <a:hlinkClick xmlns:r="http://schemas.openxmlformats.org/officeDocument/2006/relationships" r:id="rId6"/>
                          <a:extLst>
                            <a:ext uri="{FF2B5EF4-FFF2-40B4-BE49-F238E27FC236}">
                              <a16:creationId xmlns:a16="http://schemas.microsoft.com/office/drawing/2014/main" id="{5102D475-718E-87E9-9629-99F883F2643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4" name="Rectangle 63">
                          <a:hlinkClick xmlns:r="http://schemas.openxmlformats.org/officeDocument/2006/relationships" r:id="rId7"/>
                          <a:extLst>
                            <a:ext uri="{FF2B5EF4-FFF2-40B4-BE49-F238E27FC236}">
                              <a16:creationId xmlns:a16="http://schemas.microsoft.com/office/drawing/2014/main" id="{AE9A2DB8-351B-95AC-0A92-18154C6792D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0" name="Group 59">
                        <a:extLst>
                          <a:ext uri="{FF2B5EF4-FFF2-40B4-BE49-F238E27FC236}">
                            <a16:creationId xmlns:a16="http://schemas.microsoft.com/office/drawing/2014/main" id="{B4249A66-C6D6-B9D6-DA27-B20765533387}"/>
                          </a:ext>
                        </a:extLst>
                      </xdr:cNvPr>
                      <xdr:cNvGrpSpPr/>
                    </xdr:nvGrpSpPr>
                    <xdr:grpSpPr>
                      <a:xfrm>
                        <a:off x="365760" y="4411980"/>
                        <a:ext cx="2438400" cy="457200"/>
                        <a:chOff x="365760" y="3535680"/>
                        <a:chExt cx="1584960" cy="457200"/>
                      </a:xfrm>
                    </xdr:grpSpPr>
                    <xdr:sp macro="" textlink="">
                      <xdr:nvSpPr>
                        <xdr:cNvPr id="61" name="Rectangle 60">
                          <a:hlinkClick xmlns:r="http://schemas.openxmlformats.org/officeDocument/2006/relationships" r:id="rId8"/>
                          <a:extLst>
                            <a:ext uri="{FF2B5EF4-FFF2-40B4-BE49-F238E27FC236}">
                              <a16:creationId xmlns:a16="http://schemas.microsoft.com/office/drawing/2014/main" id="{C563E456-EB43-1141-25D1-22C110C21F3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2" name="Rectangle 61">
                          <a:hlinkClick xmlns:r="http://schemas.openxmlformats.org/officeDocument/2006/relationships" r:id="rId9"/>
                          <a:extLst>
                            <a:ext uri="{FF2B5EF4-FFF2-40B4-BE49-F238E27FC236}">
                              <a16:creationId xmlns:a16="http://schemas.microsoft.com/office/drawing/2014/main" id="{31FCBBB0-2BAD-2DF2-5D08-BC4B0766B1F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F8D6E7B7-7BB5-C095-4E7C-8B1D17E6D435}"/>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A8882ECD-07E6-D9B1-A2B8-714A70B37302}"/>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8B080899-33E7-B31D-DF71-D3DF66DD1EA3}"/>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F5B9F80A-C39A-25CE-C7FC-97AB4916D2DA}"/>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7BE43780-9696-62F7-9CC1-5F99EDA1F745}"/>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FB0576BE-4445-A275-C14D-C6B873A4B79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65036EEB-D4EE-4184-9296-786BE7E8E65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DE616CE3-2572-0C2C-90D3-5F76574FD4DA}"/>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D4EEF6CF-93F1-D1E6-A0DE-D994711EA2B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C6955C9F-2EE4-56F2-4D40-37051A0A69E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7976154F-2806-EBF5-34F4-3C9DA3653A52}"/>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4628A68A-6A5A-4BEF-2F61-B2BE3D20AE6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0DAE7D92-5066-E5FF-F7C4-A2B3264A12B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7FD2D925-4BC7-E7FA-BD42-BE50CE8D5D6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AAD1A7AA-B1A1-FFAE-2E0E-668906ABF24B}"/>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97421266-63DC-2532-8F71-5E1D8782AB85}"/>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B57C836B-B8D2-B927-7A38-DFF7A56135AB}"/>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70D1038E-36E4-0A64-57D5-FFFB947F1543}"/>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A1C191DA-011C-E234-A7F4-C0D6C536B26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133B58D9-03B7-C39E-52DC-8BDE315FD70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15E7A446-CD55-22E3-E991-6E0085ADD0B0}"/>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F684BCD1-6A98-ED49-57AB-DF3B0FF5B4F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7D86837B-0BD8-0329-B6A5-84251E3E53E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7F6D07D9-29B6-89F3-9BC6-BBC2486DA2A5}"/>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36F91CEA-E18E-E179-E191-A69402602B7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4D58E7EB-54AE-7566-4DCC-E4D5AA9F2F8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4BA12B0C-1C16-F988-8A7E-EE7EA2605EF6}"/>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42A043CE-B3B1-C1BB-FBC0-4EAF13BA6DEF}"/>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9CE76348-CFAF-2866-7ECF-286DA924A51E}"/>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A790957F-A176-CEBB-3F50-666CCDE34FDB}"/>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DF70A2D1-A46B-C885-4462-A220267437BA}"/>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B0726F27-426C-5E36-57FB-24EE6263906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6C95DF80-9892-BC18-D625-E55D8AF1356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5FC602D8-E6D4-1ECD-6CB3-4A894DA51A78}"/>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0F765ABA-8B57-52C9-A0A3-96D79055893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36B0C740-AC0F-843D-F0B7-96164F847A6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35A9B0B0-EB36-174B-B929-55E8F5E53F94}"/>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68E7B896-23F4-4F8A-B91F-D8FB3C41B20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34122157-70BE-E1C0-3648-A60E0795CD2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A56A93A4-C60B-0A06-60A3-1EEB39294CA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11D4BE49-D60C-462F-66AE-CDFAB08DBB84}"/>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5B4EF931-F7D2-689A-85CC-A2F3FE863585}"/>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38E86E15-71DA-1D30-A616-7C2329107E9A}"/>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8A1E293B-5420-1A1D-B65A-F170D837005B}"/>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5ADDF088-986C-B402-719B-AE96E05F69F3}"/>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146063</xdr:colOff>
      <xdr:row>13</xdr:row>
      <xdr:rowOff>157329</xdr:rowOff>
    </xdr:to>
    <xdr:grpSp>
      <xdr:nvGrpSpPr>
        <xdr:cNvPr id="2" name="Group 1">
          <a:extLst>
            <a:ext uri="{FF2B5EF4-FFF2-40B4-BE49-F238E27FC236}">
              <a16:creationId xmlns:a16="http://schemas.microsoft.com/office/drawing/2014/main" id="{EA0DD5F4-05B7-4672-8183-4D47C2B29E82}"/>
            </a:ext>
          </a:extLst>
        </xdr:cNvPr>
        <xdr:cNvGrpSpPr/>
      </xdr:nvGrpSpPr>
      <xdr:grpSpPr>
        <a:xfrm>
          <a:off x="0" y="0"/>
          <a:ext cx="19100813" cy="2633829"/>
          <a:chOff x="0" y="25400"/>
          <a:chExt cx="18808713" cy="2465554"/>
        </a:xfrm>
      </xdr:grpSpPr>
      <xdr:grpSp>
        <xdr:nvGrpSpPr>
          <xdr:cNvPr id="3" name="Group 2">
            <a:extLst>
              <a:ext uri="{FF2B5EF4-FFF2-40B4-BE49-F238E27FC236}">
                <a16:creationId xmlns:a16="http://schemas.microsoft.com/office/drawing/2014/main" id="{BD0C620B-8194-B3C8-1F0C-58ED05BF68B3}"/>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52BCDEA1-3D5A-8FAD-80FB-97851A89742E}"/>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B2DAA090-F7B5-A2BD-E4BF-929525099FEB}"/>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CAA21F1D-15E5-4867-8562-593435D85F54}"/>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63853A5E-6F95-2BFE-8D59-40313A20C626}"/>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E30F1FD4-E65C-DC55-6B61-00642D513491}"/>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503653F6-F094-D52B-F175-6484FA8E0E77}"/>
                      </a:ext>
                    </a:extLst>
                  </xdr:cNvPr>
                  <xdr:cNvGrpSpPr/>
                </xdr:nvGrpSpPr>
                <xdr:grpSpPr>
                  <a:xfrm>
                    <a:off x="2948940" y="3200400"/>
                    <a:ext cx="2743200" cy="1935480"/>
                    <a:chOff x="2948940" y="3200400"/>
                    <a:chExt cx="2743200" cy="1935480"/>
                  </a:xfrm>
                </xdr:grpSpPr>
                <xdr:grpSp>
                  <xdr:nvGrpSpPr>
                    <xdr:cNvPr id="67" name="Group 66">
                      <a:extLst>
                        <a:ext uri="{FF2B5EF4-FFF2-40B4-BE49-F238E27FC236}">
                          <a16:creationId xmlns:a16="http://schemas.microsoft.com/office/drawing/2014/main" id="{08925F06-E51F-5335-3FBB-210796B851CF}"/>
                        </a:ext>
                      </a:extLst>
                    </xdr:cNvPr>
                    <xdr:cNvGrpSpPr/>
                  </xdr:nvGrpSpPr>
                  <xdr:grpSpPr>
                    <a:xfrm>
                      <a:off x="2948940" y="3200400"/>
                      <a:ext cx="2743200" cy="1714500"/>
                      <a:chOff x="60960" y="3154680"/>
                      <a:chExt cx="2743200" cy="1714500"/>
                    </a:xfrm>
                  </xdr:grpSpPr>
                  <xdr:sp macro="" textlink="">
                    <xdr:nvSpPr>
                      <xdr:cNvPr id="69" name="Rectangle 68">
                        <a:extLst>
                          <a:ext uri="{FF2B5EF4-FFF2-40B4-BE49-F238E27FC236}">
                            <a16:creationId xmlns:a16="http://schemas.microsoft.com/office/drawing/2014/main" id="{0CF3EFEA-A45D-D761-E328-9BFAE1590C39}"/>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0" name="Group 69">
                        <a:extLst>
                          <a:ext uri="{FF2B5EF4-FFF2-40B4-BE49-F238E27FC236}">
                            <a16:creationId xmlns:a16="http://schemas.microsoft.com/office/drawing/2014/main" id="{9B4C53BC-9A82-F2DB-08CE-A5E6EE35DE1F}"/>
                          </a:ext>
                        </a:extLst>
                      </xdr:cNvPr>
                      <xdr:cNvGrpSpPr/>
                    </xdr:nvGrpSpPr>
                    <xdr:grpSpPr>
                      <a:xfrm>
                        <a:off x="365760" y="3535680"/>
                        <a:ext cx="2438400" cy="457200"/>
                        <a:chOff x="365760" y="3535680"/>
                        <a:chExt cx="1584960" cy="457200"/>
                      </a:xfrm>
                    </xdr:grpSpPr>
                    <xdr:sp macro="" textlink="">
                      <xdr:nvSpPr>
                        <xdr:cNvPr id="77" name="Rectangle 76">
                          <a:hlinkClick xmlns:r="http://schemas.openxmlformats.org/officeDocument/2006/relationships" r:id="rId1"/>
                          <a:extLst>
                            <a:ext uri="{FF2B5EF4-FFF2-40B4-BE49-F238E27FC236}">
                              <a16:creationId xmlns:a16="http://schemas.microsoft.com/office/drawing/2014/main" id="{7E4737D0-5806-6129-20AE-CD0A49300BF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8" name="Rectangle 77">
                          <a:hlinkClick xmlns:r="http://schemas.openxmlformats.org/officeDocument/2006/relationships" r:id="rId1"/>
                          <a:extLst>
                            <a:ext uri="{FF2B5EF4-FFF2-40B4-BE49-F238E27FC236}">
                              <a16:creationId xmlns:a16="http://schemas.microsoft.com/office/drawing/2014/main" id="{615F7A7A-39AB-DDB1-746B-2E1C532347C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 name="Group 70">
                        <a:extLst>
                          <a:ext uri="{FF2B5EF4-FFF2-40B4-BE49-F238E27FC236}">
                            <a16:creationId xmlns:a16="http://schemas.microsoft.com/office/drawing/2014/main" id="{C8673F75-6060-9323-107A-297B6A763E7E}"/>
                          </a:ext>
                        </a:extLst>
                      </xdr:cNvPr>
                      <xdr:cNvGrpSpPr/>
                    </xdr:nvGrpSpPr>
                    <xdr:grpSpPr>
                      <a:xfrm>
                        <a:off x="365760" y="3977640"/>
                        <a:ext cx="2438400" cy="457200"/>
                        <a:chOff x="365760" y="3535680"/>
                        <a:chExt cx="1584960" cy="457200"/>
                      </a:xfrm>
                    </xdr:grpSpPr>
                    <xdr:sp macro="" textlink="">
                      <xdr:nvSpPr>
                        <xdr:cNvPr id="75" name="Rectangle 74">
                          <a:extLst>
                            <a:ext uri="{FF2B5EF4-FFF2-40B4-BE49-F238E27FC236}">
                              <a16:creationId xmlns:a16="http://schemas.microsoft.com/office/drawing/2014/main" id="{D7CAB112-D4A4-F163-0278-A21C7F929AF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6" name="Rectangle 75">
                          <a:hlinkClick xmlns:r="http://schemas.openxmlformats.org/officeDocument/2006/relationships" r:id="rId2"/>
                          <a:extLst>
                            <a:ext uri="{FF2B5EF4-FFF2-40B4-BE49-F238E27FC236}">
                              <a16:creationId xmlns:a16="http://schemas.microsoft.com/office/drawing/2014/main" id="{A4388E57-BED7-3BBB-62C7-3872FDCDCE1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2" name="Group 71">
                        <a:extLst>
                          <a:ext uri="{FF2B5EF4-FFF2-40B4-BE49-F238E27FC236}">
                            <a16:creationId xmlns:a16="http://schemas.microsoft.com/office/drawing/2014/main" id="{05C206FE-FBCC-0C5E-C925-EAA614CA892D}"/>
                          </a:ext>
                        </a:extLst>
                      </xdr:cNvPr>
                      <xdr:cNvGrpSpPr/>
                    </xdr:nvGrpSpPr>
                    <xdr:grpSpPr>
                      <a:xfrm>
                        <a:off x="365760" y="4411980"/>
                        <a:ext cx="2438400" cy="457200"/>
                        <a:chOff x="365760" y="3535680"/>
                        <a:chExt cx="1584960" cy="457200"/>
                      </a:xfrm>
                    </xdr:grpSpPr>
                    <xdr:sp macro="" textlink="">
                      <xdr:nvSpPr>
                        <xdr:cNvPr id="73" name="Rectangle 72">
                          <a:hlinkClick xmlns:r="http://schemas.openxmlformats.org/officeDocument/2006/relationships" r:id="rId3"/>
                          <a:extLst>
                            <a:ext uri="{FF2B5EF4-FFF2-40B4-BE49-F238E27FC236}">
                              <a16:creationId xmlns:a16="http://schemas.microsoft.com/office/drawing/2014/main" id="{EF493F03-E7D4-FD4E-95EA-708910C738A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4" name="Rectangle 73">
                          <a:extLst>
                            <a:ext uri="{FF2B5EF4-FFF2-40B4-BE49-F238E27FC236}">
                              <a16:creationId xmlns:a16="http://schemas.microsoft.com/office/drawing/2014/main" id="{EDCE9BB8-684C-C42E-0AA3-CFE96EDA10F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8" name="Rectangle 67">
                      <a:extLst>
                        <a:ext uri="{FF2B5EF4-FFF2-40B4-BE49-F238E27FC236}">
                          <a16:creationId xmlns:a16="http://schemas.microsoft.com/office/drawing/2014/main" id="{DCAE88AE-A413-87B3-79AD-56A99D37AC75}"/>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DC954980-7D33-269A-E9D5-76A6B3012869}"/>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045D1752-3BF0-0038-1FE5-2AAEBA8F3D8C}"/>
                        </a:ext>
                      </a:extLst>
                    </xdr:cNvPr>
                    <xdr:cNvGrpSpPr/>
                  </xdr:nvGrpSpPr>
                  <xdr:grpSpPr>
                    <a:xfrm>
                      <a:off x="205740" y="3192780"/>
                      <a:ext cx="2743200" cy="1714500"/>
                      <a:chOff x="60960" y="3154680"/>
                      <a:chExt cx="2743200" cy="1714500"/>
                    </a:xfrm>
                  </xdr:grpSpPr>
                  <xdr:sp macro="" textlink="">
                    <xdr:nvSpPr>
                      <xdr:cNvPr id="57" name="Rectangle 56">
                        <a:extLst>
                          <a:ext uri="{FF2B5EF4-FFF2-40B4-BE49-F238E27FC236}">
                            <a16:creationId xmlns:a16="http://schemas.microsoft.com/office/drawing/2014/main" id="{6A2E62DE-5F56-95B0-25F7-5E8D332A617B}"/>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8" name="Group 57">
                        <a:extLst>
                          <a:ext uri="{FF2B5EF4-FFF2-40B4-BE49-F238E27FC236}">
                            <a16:creationId xmlns:a16="http://schemas.microsoft.com/office/drawing/2014/main" id="{BE6C4F10-56CF-A623-E799-7CF921879C0B}"/>
                          </a:ext>
                        </a:extLst>
                      </xdr:cNvPr>
                      <xdr:cNvGrpSpPr/>
                    </xdr:nvGrpSpPr>
                    <xdr:grpSpPr>
                      <a:xfrm>
                        <a:off x="365760" y="3535680"/>
                        <a:ext cx="2438400" cy="457200"/>
                        <a:chOff x="365760" y="3535680"/>
                        <a:chExt cx="1584960" cy="457200"/>
                      </a:xfrm>
                    </xdr:grpSpPr>
                    <xdr:sp macro="" textlink="">
                      <xdr:nvSpPr>
                        <xdr:cNvPr id="65" name="Rectangle 64">
                          <a:hlinkClick xmlns:r="http://schemas.openxmlformats.org/officeDocument/2006/relationships" r:id="rId4"/>
                          <a:extLst>
                            <a:ext uri="{FF2B5EF4-FFF2-40B4-BE49-F238E27FC236}">
                              <a16:creationId xmlns:a16="http://schemas.microsoft.com/office/drawing/2014/main" id="{2037EBCF-CC68-6178-C1AF-E52FC1A92F0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6" name="Rectangle 65">
                          <a:hlinkClick xmlns:r="http://schemas.openxmlformats.org/officeDocument/2006/relationships" r:id="rId5"/>
                          <a:extLst>
                            <a:ext uri="{FF2B5EF4-FFF2-40B4-BE49-F238E27FC236}">
                              <a16:creationId xmlns:a16="http://schemas.microsoft.com/office/drawing/2014/main" id="{4A4BE62D-3FC4-3AAC-0784-0057612D2BF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59" name="Group 58">
                        <a:extLst>
                          <a:ext uri="{FF2B5EF4-FFF2-40B4-BE49-F238E27FC236}">
                            <a16:creationId xmlns:a16="http://schemas.microsoft.com/office/drawing/2014/main" id="{E6F5C190-E42A-2B39-3494-C4624DCDDB35}"/>
                          </a:ext>
                        </a:extLst>
                      </xdr:cNvPr>
                      <xdr:cNvGrpSpPr/>
                    </xdr:nvGrpSpPr>
                    <xdr:grpSpPr>
                      <a:xfrm>
                        <a:off x="365760" y="3977640"/>
                        <a:ext cx="2438400" cy="457200"/>
                        <a:chOff x="365760" y="3535680"/>
                        <a:chExt cx="1584960" cy="457200"/>
                      </a:xfrm>
                    </xdr:grpSpPr>
                    <xdr:sp macro="" textlink="">
                      <xdr:nvSpPr>
                        <xdr:cNvPr id="63" name="Rectangle 62">
                          <a:hlinkClick xmlns:r="http://schemas.openxmlformats.org/officeDocument/2006/relationships" r:id="rId6"/>
                          <a:extLst>
                            <a:ext uri="{FF2B5EF4-FFF2-40B4-BE49-F238E27FC236}">
                              <a16:creationId xmlns:a16="http://schemas.microsoft.com/office/drawing/2014/main" id="{DDA95807-A7C7-B64B-F118-B15A0A98E50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4" name="Rectangle 63">
                          <a:hlinkClick xmlns:r="http://schemas.openxmlformats.org/officeDocument/2006/relationships" r:id="rId7"/>
                          <a:extLst>
                            <a:ext uri="{FF2B5EF4-FFF2-40B4-BE49-F238E27FC236}">
                              <a16:creationId xmlns:a16="http://schemas.microsoft.com/office/drawing/2014/main" id="{CBA06552-BBA3-39B4-04C2-896C9F2C148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0" name="Group 59">
                        <a:extLst>
                          <a:ext uri="{FF2B5EF4-FFF2-40B4-BE49-F238E27FC236}">
                            <a16:creationId xmlns:a16="http://schemas.microsoft.com/office/drawing/2014/main" id="{279C81CD-9072-0E64-41F9-A446BB2E671B}"/>
                          </a:ext>
                        </a:extLst>
                      </xdr:cNvPr>
                      <xdr:cNvGrpSpPr/>
                    </xdr:nvGrpSpPr>
                    <xdr:grpSpPr>
                      <a:xfrm>
                        <a:off x="365760" y="4411980"/>
                        <a:ext cx="2438400" cy="457200"/>
                        <a:chOff x="365760" y="3535680"/>
                        <a:chExt cx="1584960" cy="457200"/>
                      </a:xfrm>
                    </xdr:grpSpPr>
                    <xdr:sp macro="" textlink="">
                      <xdr:nvSpPr>
                        <xdr:cNvPr id="61" name="Rectangle 60">
                          <a:hlinkClick xmlns:r="http://schemas.openxmlformats.org/officeDocument/2006/relationships" r:id="rId8"/>
                          <a:extLst>
                            <a:ext uri="{FF2B5EF4-FFF2-40B4-BE49-F238E27FC236}">
                              <a16:creationId xmlns:a16="http://schemas.microsoft.com/office/drawing/2014/main" id="{EE80D4B5-B888-60DB-24D7-BE6C0457EB9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2" name="Rectangle 61">
                          <a:hlinkClick xmlns:r="http://schemas.openxmlformats.org/officeDocument/2006/relationships" r:id="rId9"/>
                          <a:extLst>
                            <a:ext uri="{FF2B5EF4-FFF2-40B4-BE49-F238E27FC236}">
                              <a16:creationId xmlns:a16="http://schemas.microsoft.com/office/drawing/2014/main" id="{499511A7-ED50-D348-3712-1A9D0A14FA3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6F666389-F333-5C29-6867-933343DE449A}"/>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385B4265-DD92-6247-1945-2251781A5231}"/>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07A2A3D9-C777-09B6-9C8B-DE5E0740AC1D}"/>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66BA1563-CF66-964B-B419-B7AAFA66258F}"/>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B7DD0079-1490-CFB4-C0C4-2703C8CF3AF2}"/>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4075B36E-E9C7-7389-60EE-392905BAA18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3D5C126B-6A7D-8EF2-C532-6B6AE5F4399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39D69125-AF9F-1469-4DD2-5990EFF18585}"/>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FCF04DE8-2FB4-AB7A-DEA7-3E904966BDB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98F69CD0-764D-E94D-3C54-1985B836DC2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EBB2550C-383C-2FA8-4CDB-F85FAAC1AE08}"/>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C3213723-8C3D-CB69-1EA0-3DFF3AB85DA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D9DC7F23-4CB6-99F2-8CAE-70070FBE1E9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2096DD08-EF85-057A-D813-171144FC5CC2}"/>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E3230B3D-8781-98BD-1DC5-A51424A2F41C}"/>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E766E03A-DE0F-B9C4-2EDA-E016E0E64A9B}"/>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B20AE3CB-0EE0-6993-57E4-1A137F373A09}"/>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C3D46505-7521-1E4C-926F-D222D5365D80}"/>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3F1DF50C-0E45-03D6-8632-8E26473B740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F986DC35-7471-269F-D7CB-06C39C9DD08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ED08BC52-A1FE-4E98-D4A0-660E758C374F}"/>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5BBEE29F-50FE-65C5-18EE-34918FA5C49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01226A02-A0A4-B463-7ED4-2B6409381BE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303F7866-7735-35F9-77C3-9CD213DCA8F9}"/>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A2C8191C-4E33-263E-EF3E-C708E9A3476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43F96308-F6CB-134F-3459-C3DB869E58C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ABB26340-62C7-80E3-E920-9CD286C4FBC4}"/>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1C30EC30-F3AC-53D6-EEA7-5F90339E054C}"/>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3BBAB243-4AB8-4F0A-7D22-43B8958D9935}"/>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6CA15226-5AE1-BBBA-42CB-12A8DEC65980}"/>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C03708F6-7885-146A-9146-85766B9AC321}"/>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5EB82170-F35C-5547-8062-E24B2BD297F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D3163608-3B80-16F4-633E-0D88202C574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FB4DD39B-4454-4F4E-C4A2-EDC7AD0F94D8}"/>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297BA941-2450-42E8-60E1-1732550B9CB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7408F4DD-311E-1E7D-7D9D-0FFE21B0256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69B4BCC1-229A-AC36-646C-B59291868E95}"/>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D9E122DB-21E4-B04A-13B9-F0CE765AE1E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4CDF033C-B42B-8EB7-CB50-4B41395524F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FDC36EBE-43BB-8B47-70E6-A79196C571DD}"/>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3DAEFEC3-9424-0951-1FEC-CA77E683EC72}"/>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75EF9EEA-4574-77DE-4B6A-3504EB4CCB00}"/>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4A9BEF80-D6DA-6B56-4578-6FB65D103796}"/>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AAE7F578-2266-ADE7-92F2-A1652BD7286E}"/>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78EFCC87-3783-B18B-6F0E-3EDC60B38DC3}"/>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142663</xdr:rowOff>
    </xdr:from>
    <xdr:to>
      <xdr:col>23</xdr:col>
      <xdr:colOff>555002</xdr:colOff>
      <xdr:row>14</xdr:row>
      <xdr:rowOff>0</xdr:rowOff>
    </xdr:to>
    <xdr:grpSp>
      <xdr:nvGrpSpPr>
        <xdr:cNvPr id="2" name="Group 1">
          <a:extLst>
            <a:ext uri="{FF2B5EF4-FFF2-40B4-BE49-F238E27FC236}">
              <a16:creationId xmlns:a16="http://schemas.microsoft.com/office/drawing/2014/main" id="{BECE64E0-BF8F-4DD0-A766-14339AF45FA2}"/>
            </a:ext>
          </a:extLst>
        </xdr:cNvPr>
        <xdr:cNvGrpSpPr/>
      </xdr:nvGrpSpPr>
      <xdr:grpSpPr>
        <a:xfrm>
          <a:off x="0" y="142663"/>
          <a:ext cx="22682310" cy="2690414"/>
          <a:chOff x="0" y="25400"/>
          <a:chExt cx="18808713" cy="2465554"/>
        </a:xfrm>
      </xdr:grpSpPr>
      <xdr:grpSp>
        <xdr:nvGrpSpPr>
          <xdr:cNvPr id="3" name="Group 2">
            <a:extLst>
              <a:ext uri="{FF2B5EF4-FFF2-40B4-BE49-F238E27FC236}">
                <a16:creationId xmlns:a16="http://schemas.microsoft.com/office/drawing/2014/main" id="{9640F71C-CAB5-E756-FBCE-00AC15DB072B}"/>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3B5F9D82-5D87-94DA-BCBD-C6C8429AA673}"/>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8325AB64-7D9A-5096-EC16-022F6F1B7C50}"/>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FE3E370A-E47E-8970-15B8-8628EEE0E7B7}"/>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96948096-5E6D-248C-5C71-32D55B676441}"/>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073DA570-FA81-BDBC-6703-93CB985BFC06}"/>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11B3E255-B109-01A8-C8EA-0F9ECB35EB9F}"/>
                      </a:ext>
                    </a:extLst>
                  </xdr:cNvPr>
                  <xdr:cNvGrpSpPr/>
                </xdr:nvGrpSpPr>
                <xdr:grpSpPr>
                  <a:xfrm>
                    <a:off x="2948940" y="3200400"/>
                    <a:ext cx="2743200" cy="1935480"/>
                    <a:chOff x="2948940" y="3200400"/>
                    <a:chExt cx="2743200" cy="1935480"/>
                  </a:xfrm>
                </xdr:grpSpPr>
                <xdr:grpSp>
                  <xdr:nvGrpSpPr>
                    <xdr:cNvPr id="67" name="Group 66">
                      <a:extLst>
                        <a:ext uri="{FF2B5EF4-FFF2-40B4-BE49-F238E27FC236}">
                          <a16:creationId xmlns:a16="http://schemas.microsoft.com/office/drawing/2014/main" id="{9FA0F7C0-261D-5A6D-A2F6-3D1CBA4D5FEE}"/>
                        </a:ext>
                      </a:extLst>
                    </xdr:cNvPr>
                    <xdr:cNvGrpSpPr/>
                  </xdr:nvGrpSpPr>
                  <xdr:grpSpPr>
                    <a:xfrm>
                      <a:off x="2948940" y="3200400"/>
                      <a:ext cx="2743200" cy="1714500"/>
                      <a:chOff x="60960" y="3154680"/>
                      <a:chExt cx="2743200" cy="1714500"/>
                    </a:xfrm>
                  </xdr:grpSpPr>
                  <xdr:sp macro="" textlink="">
                    <xdr:nvSpPr>
                      <xdr:cNvPr id="69" name="Rectangle 68">
                        <a:extLst>
                          <a:ext uri="{FF2B5EF4-FFF2-40B4-BE49-F238E27FC236}">
                            <a16:creationId xmlns:a16="http://schemas.microsoft.com/office/drawing/2014/main" id="{E3E991DB-D9C3-336E-B5BC-BE215D44F8C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0" name="Group 69">
                        <a:extLst>
                          <a:ext uri="{FF2B5EF4-FFF2-40B4-BE49-F238E27FC236}">
                            <a16:creationId xmlns:a16="http://schemas.microsoft.com/office/drawing/2014/main" id="{8341A461-6465-5159-66DC-5ACEDFA6C7E3}"/>
                          </a:ext>
                        </a:extLst>
                      </xdr:cNvPr>
                      <xdr:cNvGrpSpPr/>
                    </xdr:nvGrpSpPr>
                    <xdr:grpSpPr>
                      <a:xfrm>
                        <a:off x="365760" y="3535680"/>
                        <a:ext cx="2438400" cy="457200"/>
                        <a:chOff x="365760" y="3535680"/>
                        <a:chExt cx="1584960" cy="457200"/>
                      </a:xfrm>
                    </xdr:grpSpPr>
                    <xdr:sp macro="" textlink="">
                      <xdr:nvSpPr>
                        <xdr:cNvPr id="77" name="Rectangle 76">
                          <a:hlinkClick xmlns:r="http://schemas.openxmlformats.org/officeDocument/2006/relationships" r:id="rId1"/>
                          <a:extLst>
                            <a:ext uri="{FF2B5EF4-FFF2-40B4-BE49-F238E27FC236}">
                              <a16:creationId xmlns:a16="http://schemas.microsoft.com/office/drawing/2014/main" id="{0786BB27-C9F9-0E5C-1D88-D2CBDB819A3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8" name="Rectangle 77">
                          <a:hlinkClick xmlns:r="http://schemas.openxmlformats.org/officeDocument/2006/relationships" r:id="rId1"/>
                          <a:extLst>
                            <a:ext uri="{FF2B5EF4-FFF2-40B4-BE49-F238E27FC236}">
                              <a16:creationId xmlns:a16="http://schemas.microsoft.com/office/drawing/2014/main" id="{180563CA-6CCB-40C5-A17E-EF9C4ED5983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 name="Group 70">
                        <a:extLst>
                          <a:ext uri="{FF2B5EF4-FFF2-40B4-BE49-F238E27FC236}">
                            <a16:creationId xmlns:a16="http://schemas.microsoft.com/office/drawing/2014/main" id="{26481A9B-AE34-FBF5-6D69-F4FA401868C5}"/>
                          </a:ext>
                        </a:extLst>
                      </xdr:cNvPr>
                      <xdr:cNvGrpSpPr/>
                    </xdr:nvGrpSpPr>
                    <xdr:grpSpPr>
                      <a:xfrm>
                        <a:off x="365760" y="3977640"/>
                        <a:ext cx="2438400" cy="457200"/>
                        <a:chOff x="365760" y="3535680"/>
                        <a:chExt cx="1584960" cy="457200"/>
                      </a:xfrm>
                    </xdr:grpSpPr>
                    <xdr:sp macro="" textlink="">
                      <xdr:nvSpPr>
                        <xdr:cNvPr id="75" name="Rectangle 74">
                          <a:extLst>
                            <a:ext uri="{FF2B5EF4-FFF2-40B4-BE49-F238E27FC236}">
                              <a16:creationId xmlns:a16="http://schemas.microsoft.com/office/drawing/2014/main" id="{C1EB1E7F-37EB-B745-EC98-6FB3BA7C56D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6" name="Rectangle 75">
                          <a:hlinkClick xmlns:r="http://schemas.openxmlformats.org/officeDocument/2006/relationships" r:id="rId2"/>
                          <a:extLst>
                            <a:ext uri="{FF2B5EF4-FFF2-40B4-BE49-F238E27FC236}">
                              <a16:creationId xmlns:a16="http://schemas.microsoft.com/office/drawing/2014/main" id="{BD237C94-44E5-E54A-927C-BB570422879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2" name="Group 71">
                        <a:extLst>
                          <a:ext uri="{FF2B5EF4-FFF2-40B4-BE49-F238E27FC236}">
                            <a16:creationId xmlns:a16="http://schemas.microsoft.com/office/drawing/2014/main" id="{A0D7F03A-6456-3D10-8C88-FA5155B1CE05}"/>
                          </a:ext>
                        </a:extLst>
                      </xdr:cNvPr>
                      <xdr:cNvGrpSpPr/>
                    </xdr:nvGrpSpPr>
                    <xdr:grpSpPr>
                      <a:xfrm>
                        <a:off x="365760" y="4411980"/>
                        <a:ext cx="2438400" cy="457200"/>
                        <a:chOff x="365760" y="3535680"/>
                        <a:chExt cx="1584960" cy="457200"/>
                      </a:xfrm>
                    </xdr:grpSpPr>
                    <xdr:sp macro="" textlink="">
                      <xdr:nvSpPr>
                        <xdr:cNvPr id="73" name="Rectangle 72">
                          <a:hlinkClick xmlns:r="http://schemas.openxmlformats.org/officeDocument/2006/relationships" r:id="rId3"/>
                          <a:extLst>
                            <a:ext uri="{FF2B5EF4-FFF2-40B4-BE49-F238E27FC236}">
                              <a16:creationId xmlns:a16="http://schemas.microsoft.com/office/drawing/2014/main" id="{B27EA624-E795-B9C2-5B58-463718E62A3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4" name="Rectangle 73">
                          <a:extLst>
                            <a:ext uri="{FF2B5EF4-FFF2-40B4-BE49-F238E27FC236}">
                              <a16:creationId xmlns:a16="http://schemas.microsoft.com/office/drawing/2014/main" id="{E1F40B35-A4BD-A260-1922-6208BD2959F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8" name="Rectangle 67">
                      <a:extLst>
                        <a:ext uri="{FF2B5EF4-FFF2-40B4-BE49-F238E27FC236}">
                          <a16:creationId xmlns:a16="http://schemas.microsoft.com/office/drawing/2014/main" id="{CE882981-3C2F-D4BA-D8C2-8B637587AD0D}"/>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E58F482F-29DB-10B8-C213-3AE83EE41C95}"/>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64C94152-2554-4A95-D5B1-E9A490B4101E}"/>
                        </a:ext>
                      </a:extLst>
                    </xdr:cNvPr>
                    <xdr:cNvGrpSpPr/>
                  </xdr:nvGrpSpPr>
                  <xdr:grpSpPr>
                    <a:xfrm>
                      <a:off x="205740" y="3192780"/>
                      <a:ext cx="2743200" cy="1714500"/>
                      <a:chOff x="60960" y="3154680"/>
                      <a:chExt cx="2743200" cy="1714500"/>
                    </a:xfrm>
                  </xdr:grpSpPr>
                  <xdr:sp macro="" textlink="">
                    <xdr:nvSpPr>
                      <xdr:cNvPr id="57" name="Rectangle 56">
                        <a:extLst>
                          <a:ext uri="{FF2B5EF4-FFF2-40B4-BE49-F238E27FC236}">
                            <a16:creationId xmlns:a16="http://schemas.microsoft.com/office/drawing/2014/main" id="{6D8B6AA3-6DE0-4A35-77C4-D23FDDFD7487}"/>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8" name="Group 57">
                        <a:extLst>
                          <a:ext uri="{FF2B5EF4-FFF2-40B4-BE49-F238E27FC236}">
                            <a16:creationId xmlns:a16="http://schemas.microsoft.com/office/drawing/2014/main" id="{21458E4F-9F6E-8FFB-39F5-29EFACC9164B}"/>
                          </a:ext>
                        </a:extLst>
                      </xdr:cNvPr>
                      <xdr:cNvGrpSpPr/>
                    </xdr:nvGrpSpPr>
                    <xdr:grpSpPr>
                      <a:xfrm>
                        <a:off x="365760" y="3535680"/>
                        <a:ext cx="2438400" cy="457200"/>
                        <a:chOff x="365760" y="3535680"/>
                        <a:chExt cx="1584960" cy="457200"/>
                      </a:xfrm>
                    </xdr:grpSpPr>
                    <xdr:sp macro="" textlink="">
                      <xdr:nvSpPr>
                        <xdr:cNvPr id="65" name="Rectangle 64">
                          <a:hlinkClick xmlns:r="http://schemas.openxmlformats.org/officeDocument/2006/relationships" r:id="rId4"/>
                          <a:extLst>
                            <a:ext uri="{FF2B5EF4-FFF2-40B4-BE49-F238E27FC236}">
                              <a16:creationId xmlns:a16="http://schemas.microsoft.com/office/drawing/2014/main" id="{2006EEE4-9886-45B7-3802-E6159C7A1D7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6" name="Rectangle 65">
                          <a:hlinkClick xmlns:r="http://schemas.openxmlformats.org/officeDocument/2006/relationships" r:id="rId5"/>
                          <a:extLst>
                            <a:ext uri="{FF2B5EF4-FFF2-40B4-BE49-F238E27FC236}">
                              <a16:creationId xmlns:a16="http://schemas.microsoft.com/office/drawing/2014/main" id="{9BF740E3-145B-9DAD-6BD4-5C980215A9D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59" name="Group 58">
                        <a:extLst>
                          <a:ext uri="{FF2B5EF4-FFF2-40B4-BE49-F238E27FC236}">
                            <a16:creationId xmlns:a16="http://schemas.microsoft.com/office/drawing/2014/main" id="{71CDA113-69FA-7E27-4C47-C494A0C9DE3D}"/>
                          </a:ext>
                        </a:extLst>
                      </xdr:cNvPr>
                      <xdr:cNvGrpSpPr/>
                    </xdr:nvGrpSpPr>
                    <xdr:grpSpPr>
                      <a:xfrm>
                        <a:off x="365760" y="3977640"/>
                        <a:ext cx="2438400" cy="457200"/>
                        <a:chOff x="365760" y="3535680"/>
                        <a:chExt cx="1584960" cy="457200"/>
                      </a:xfrm>
                    </xdr:grpSpPr>
                    <xdr:sp macro="" textlink="">
                      <xdr:nvSpPr>
                        <xdr:cNvPr id="63" name="Rectangle 62">
                          <a:hlinkClick xmlns:r="http://schemas.openxmlformats.org/officeDocument/2006/relationships" r:id="rId6"/>
                          <a:extLst>
                            <a:ext uri="{FF2B5EF4-FFF2-40B4-BE49-F238E27FC236}">
                              <a16:creationId xmlns:a16="http://schemas.microsoft.com/office/drawing/2014/main" id="{F9F6E678-1768-C3BD-EC36-7D1448545D4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4" name="Rectangle 63">
                          <a:hlinkClick xmlns:r="http://schemas.openxmlformats.org/officeDocument/2006/relationships" r:id="rId7"/>
                          <a:extLst>
                            <a:ext uri="{FF2B5EF4-FFF2-40B4-BE49-F238E27FC236}">
                              <a16:creationId xmlns:a16="http://schemas.microsoft.com/office/drawing/2014/main" id="{6B00BDA4-B701-F049-2831-32169B8BC4C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0" name="Group 59">
                        <a:extLst>
                          <a:ext uri="{FF2B5EF4-FFF2-40B4-BE49-F238E27FC236}">
                            <a16:creationId xmlns:a16="http://schemas.microsoft.com/office/drawing/2014/main" id="{7D902789-37C4-2D3D-0E22-5B821FEE49D8}"/>
                          </a:ext>
                        </a:extLst>
                      </xdr:cNvPr>
                      <xdr:cNvGrpSpPr/>
                    </xdr:nvGrpSpPr>
                    <xdr:grpSpPr>
                      <a:xfrm>
                        <a:off x="365760" y="4411980"/>
                        <a:ext cx="2438400" cy="457200"/>
                        <a:chOff x="365760" y="3535680"/>
                        <a:chExt cx="1584960" cy="457200"/>
                      </a:xfrm>
                    </xdr:grpSpPr>
                    <xdr:sp macro="" textlink="">
                      <xdr:nvSpPr>
                        <xdr:cNvPr id="61" name="Rectangle 60">
                          <a:hlinkClick xmlns:r="http://schemas.openxmlformats.org/officeDocument/2006/relationships" r:id="rId8"/>
                          <a:extLst>
                            <a:ext uri="{FF2B5EF4-FFF2-40B4-BE49-F238E27FC236}">
                              <a16:creationId xmlns:a16="http://schemas.microsoft.com/office/drawing/2014/main" id="{06A49EC5-24C2-4B7C-292F-38D5C64310B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2" name="Rectangle 61">
                          <a:hlinkClick xmlns:r="http://schemas.openxmlformats.org/officeDocument/2006/relationships" r:id="rId9"/>
                          <a:extLst>
                            <a:ext uri="{FF2B5EF4-FFF2-40B4-BE49-F238E27FC236}">
                              <a16:creationId xmlns:a16="http://schemas.microsoft.com/office/drawing/2014/main" id="{16F06D5A-E68A-2506-0BCF-8AC197B6689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3B743E69-BF41-B368-7A01-7F0EE1747355}"/>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AF96967B-0F70-680B-3CC3-048CF2B54222}"/>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FC6F6A6B-F843-CE7D-34FA-D191DC71C656}"/>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10684C34-BF2D-6170-5010-35CE6764952D}"/>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6089B53D-1D01-2499-39C8-74657AEF78D4}"/>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23E362B9-7746-5320-4D9A-C4522703F72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A28F063B-9C34-6733-CFE5-8CCC4B37251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1B152E24-9189-B7CE-C080-9375FD37994C}"/>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958DC6F3-FEE5-6495-50FD-B2FFAAB0E17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DF86E770-0BC0-0911-B6D3-59D27C40144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EB2647DB-399D-4D7B-2729-AB6ACE3DB7BA}"/>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241511A4-710D-B36D-26F8-C0984BCC08D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91947579-AE93-84FA-A73E-B31AB8E4975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6CEBCB5A-1BC6-A938-5065-4491C3EF3E5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728F5698-32F4-F530-613A-73DE8CDC3814}"/>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CE3641EA-C43E-9106-83C6-05D89CA40F13}"/>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10DCEC12-F146-CFF1-2178-E5EC91D5A95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456CB39B-1EE2-2440-0C2C-6EF72CD02753}"/>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8C441CAA-0EFA-8F8F-2E53-A1687A939D7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9A12D569-E14A-6762-3409-432103C7B8E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5C141A20-0248-9C80-6000-FC97185130E4}"/>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B7CF848C-0338-6BDE-8661-159AC6615FA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66FFE865-643E-C6C3-CAC3-7ED859C04D5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5685C2F6-3969-D789-0E55-9BB9B148CF1B}"/>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B4BC1BCD-E052-C324-C39F-705320EEE1A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08EE0B0B-BE88-63AC-8A60-7D953C42C97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59465964-C43B-EB81-836C-00DFCBE46852}"/>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BCB04605-6001-7D06-BD3B-9E78ADF50DE8}"/>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57AE3ED4-C485-137F-6EC8-73737FD4DFAD}"/>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5F82AB2F-E814-E11E-EFBA-7CF2027DCADF}"/>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2BA424BC-8BD2-DADC-1C1F-70422535EF1C}"/>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2397CCC7-EB48-6740-1332-3EC88B3B72A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543A1BB5-FB54-971F-1D0B-1AD9874E020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15CA27FC-A0DB-E0B5-A38E-5679217FC3FA}"/>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89ADB2E9-0640-28B5-9A0C-9F7B95C53B0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DF7A0CAC-A3B8-ED9C-3EC6-C2F8040B56F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1597C120-6DF8-7FD6-BB1E-07A3B59E3BA9}"/>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07C6B693-1814-423F-C793-94A918FDB0A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D6CB2D52-E068-2A77-0E8F-15589F88EA7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DE91032F-9863-EC17-8887-7506E9AB5817}"/>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9B9142BF-AC32-2E64-B9EE-634F94D06A42}"/>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4639F046-6B31-6639-8DDC-33491A1106A2}"/>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CB901A0A-A420-46FE-C0D5-194B32B83305}"/>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42F5AA40-4EF2-3250-E19A-0CCE711A967F}"/>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72602F6A-3A4F-4823-AB63-FA28FD3F245F}"/>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84669</xdr:rowOff>
    </xdr:from>
    <xdr:to>
      <xdr:col>29</xdr:col>
      <xdr:colOff>63499</xdr:colOff>
      <xdr:row>14</xdr:row>
      <xdr:rowOff>13186</xdr:rowOff>
    </xdr:to>
    <xdr:grpSp>
      <xdr:nvGrpSpPr>
        <xdr:cNvPr id="3" name="Group 2">
          <a:extLst>
            <a:ext uri="{FF2B5EF4-FFF2-40B4-BE49-F238E27FC236}">
              <a16:creationId xmlns:a16="http://schemas.microsoft.com/office/drawing/2014/main" id="{CF9075D3-5BC5-4732-B676-3CF3CC111F5F}"/>
            </a:ext>
          </a:extLst>
        </xdr:cNvPr>
        <xdr:cNvGrpSpPr/>
      </xdr:nvGrpSpPr>
      <xdr:grpSpPr>
        <a:xfrm>
          <a:off x="0" y="84669"/>
          <a:ext cx="21244277" cy="2736628"/>
          <a:chOff x="0" y="25400"/>
          <a:chExt cx="19428378" cy="2465554"/>
        </a:xfrm>
      </xdr:grpSpPr>
      <xdr:grpSp>
        <xdr:nvGrpSpPr>
          <xdr:cNvPr id="4" name="Group 3">
            <a:extLst>
              <a:ext uri="{FF2B5EF4-FFF2-40B4-BE49-F238E27FC236}">
                <a16:creationId xmlns:a16="http://schemas.microsoft.com/office/drawing/2014/main" id="{75F36807-67C9-3B42-421B-BCA6C3227B95}"/>
              </a:ext>
            </a:extLst>
          </xdr:cNvPr>
          <xdr:cNvGrpSpPr/>
        </xdr:nvGrpSpPr>
        <xdr:grpSpPr>
          <a:xfrm>
            <a:off x="0" y="268648"/>
            <a:ext cx="19428378" cy="2222306"/>
            <a:chOff x="-2" y="774501"/>
            <a:chExt cx="14707716" cy="2312445"/>
          </a:xfrm>
        </xdr:grpSpPr>
        <xdr:sp macro="" textlink="">
          <xdr:nvSpPr>
            <xdr:cNvPr id="6" name="Rectangle: Rounded Corners 5">
              <a:extLst>
                <a:ext uri="{FF2B5EF4-FFF2-40B4-BE49-F238E27FC236}">
                  <a16:creationId xmlns:a16="http://schemas.microsoft.com/office/drawing/2014/main" id="{2E6711A2-9064-0B38-3B96-3BAEAD0006F8}"/>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7" name="Group 6">
              <a:extLst>
                <a:ext uri="{FF2B5EF4-FFF2-40B4-BE49-F238E27FC236}">
                  <a16:creationId xmlns:a16="http://schemas.microsoft.com/office/drawing/2014/main" id="{4137593F-6066-9FC3-0E0D-52994FCBDF5D}"/>
                </a:ext>
              </a:extLst>
            </xdr:cNvPr>
            <xdr:cNvGrpSpPr/>
          </xdr:nvGrpSpPr>
          <xdr:grpSpPr>
            <a:xfrm>
              <a:off x="-2" y="977052"/>
              <a:ext cx="14707716" cy="2109894"/>
              <a:chOff x="15238" y="3223260"/>
              <a:chExt cx="14682309" cy="2072640"/>
            </a:xfrm>
          </xdr:grpSpPr>
          <xdr:sp macro="" textlink="">
            <xdr:nvSpPr>
              <xdr:cNvPr id="11" name="Rectangle 10">
                <a:extLst>
                  <a:ext uri="{FF2B5EF4-FFF2-40B4-BE49-F238E27FC236}">
                    <a16:creationId xmlns:a16="http://schemas.microsoft.com/office/drawing/2014/main" id="{622321AF-8272-A6F9-940D-EBE125ABEE9D}"/>
                  </a:ext>
                </a:extLst>
              </xdr:cNvPr>
              <xdr:cNvSpPr/>
            </xdr:nvSpPr>
            <xdr:spPr>
              <a:xfrm>
                <a:off x="15238" y="3223260"/>
                <a:ext cx="146823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2" name="Group 11">
                <a:extLst>
                  <a:ext uri="{FF2B5EF4-FFF2-40B4-BE49-F238E27FC236}">
                    <a16:creationId xmlns:a16="http://schemas.microsoft.com/office/drawing/2014/main" id="{32D3A2B0-00DF-1582-CAEB-7B2B7D0B0561}"/>
                  </a:ext>
                </a:extLst>
              </xdr:cNvPr>
              <xdr:cNvGrpSpPr/>
            </xdr:nvGrpSpPr>
            <xdr:grpSpPr>
              <a:xfrm>
                <a:off x="121920" y="3291840"/>
                <a:ext cx="13708380" cy="1950720"/>
                <a:chOff x="205740" y="2491740"/>
                <a:chExt cx="13708380" cy="1950720"/>
              </a:xfrm>
            </xdr:grpSpPr>
            <xdr:grpSp>
              <xdr:nvGrpSpPr>
                <xdr:cNvPr id="13" name="Group 12">
                  <a:extLst>
                    <a:ext uri="{FF2B5EF4-FFF2-40B4-BE49-F238E27FC236}">
                      <a16:creationId xmlns:a16="http://schemas.microsoft.com/office/drawing/2014/main" id="{BA23F02E-6C5E-886A-2698-40949C6C4B14}"/>
                    </a:ext>
                  </a:extLst>
                </xdr:cNvPr>
                <xdr:cNvGrpSpPr/>
              </xdr:nvGrpSpPr>
              <xdr:grpSpPr>
                <a:xfrm>
                  <a:off x="205740" y="2491740"/>
                  <a:ext cx="13708380" cy="1950720"/>
                  <a:chOff x="205740" y="3192780"/>
                  <a:chExt cx="13708380" cy="1950720"/>
                </a:xfrm>
              </xdr:grpSpPr>
              <xdr:grpSp>
                <xdr:nvGrpSpPr>
                  <xdr:cNvPr id="15" name="Group 14">
                    <a:extLst>
                      <a:ext uri="{FF2B5EF4-FFF2-40B4-BE49-F238E27FC236}">
                        <a16:creationId xmlns:a16="http://schemas.microsoft.com/office/drawing/2014/main" id="{4DFAF554-0164-A838-982A-056F8354B4FE}"/>
                      </a:ext>
                    </a:extLst>
                  </xdr:cNvPr>
                  <xdr:cNvGrpSpPr/>
                </xdr:nvGrpSpPr>
                <xdr:grpSpPr>
                  <a:xfrm>
                    <a:off x="2948940" y="3200400"/>
                    <a:ext cx="2743200" cy="1935480"/>
                    <a:chOff x="2948940" y="3200400"/>
                    <a:chExt cx="2743200" cy="1935480"/>
                  </a:xfrm>
                </xdr:grpSpPr>
                <xdr:grpSp>
                  <xdr:nvGrpSpPr>
                    <xdr:cNvPr id="68" name="Group 67">
                      <a:extLst>
                        <a:ext uri="{FF2B5EF4-FFF2-40B4-BE49-F238E27FC236}">
                          <a16:creationId xmlns:a16="http://schemas.microsoft.com/office/drawing/2014/main" id="{A614C43D-2828-255C-1734-F173A7B45C1F}"/>
                        </a:ext>
                      </a:extLst>
                    </xdr:cNvPr>
                    <xdr:cNvGrpSpPr/>
                  </xdr:nvGrpSpPr>
                  <xdr:grpSpPr>
                    <a:xfrm>
                      <a:off x="2948940" y="3200400"/>
                      <a:ext cx="2743200" cy="1714500"/>
                      <a:chOff x="60960" y="3154680"/>
                      <a:chExt cx="2743200" cy="1714500"/>
                    </a:xfrm>
                  </xdr:grpSpPr>
                  <xdr:sp macro="" textlink="">
                    <xdr:nvSpPr>
                      <xdr:cNvPr id="70" name="Rectangle 69">
                        <a:extLst>
                          <a:ext uri="{FF2B5EF4-FFF2-40B4-BE49-F238E27FC236}">
                            <a16:creationId xmlns:a16="http://schemas.microsoft.com/office/drawing/2014/main" id="{8901F8CD-D516-3EBC-29F9-01E1426C2D14}"/>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1" name="Group 70">
                        <a:extLst>
                          <a:ext uri="{FF2B5EF4-FFF2-40B4-BE49-F238E27FC236}">
                            <a16:creationId xmlns:a16="http://schemas.microsoft.com/office/drawing/2014/main" id="{FDC387E1-0AA1-056D-6153-B11E74239D49}"/>
                          </a:ext>
                        </a:extLst>
                      </xdr:cNvPr>
                      <xdr:cNvGrpSpPr/>
                    </xdr:nvGrpSpPr>
                    <xdr:grpSpPr>
                      <a:xfrm>
                        <a:off x="365760" y="3535680"/>
                        <a:ext cx="2438400" cy="457200"/>
                        <a:chOff x="365760" y="3535680"/>
                        <a:chExt cx="1584960" cy="457200"/>
                      </a:xfrm>
                    </xdr:grpSpPr>
                    <xdr:sp macro="" textlink="">
                      <xdr:nvSpPr>
                        <xdr:cNvPr id="78" name="Rectangle 77">
                          <a:hlinkClick xmlns:r="http://schemas.openxmlformats.org/officeDocument/2006/relationships" r:id="rId1"/>
                          <a:extLst>
                            <a:ext uri="{FF2B5EF4-FFF2-40B4-BE49-F238E27FC236}">
                              <a16:creationId xmlns:a16="http://schemas.microsoft.com/office/drawing/2014/main" id="{382A1CDC-44CB-8661-31DC-86B18216DCF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9" name="Rectangle 78">
                          <a:hlinkClick xmlns:r="http://schemas.openxmlformats.org/officeDocument/2006/relationships" r:id="rId1"/>
                          <a:extLst>
                            <a:ext uri="{FF2B5EF4-FFF2-40B4-BE49-F238E27FC236}">
                              <a16:creationId xmlns:a16="http://schemas.microsoft.com/office/drawing/2014/main" id="{28825AAA-D31B-A235-5082-D1D8C40352E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2" name="Group 71">
                        <a:extLst>
                          <a:ext uri="{FF2B5EF4-FFF2-40B4-BE49-F238E27FC236}">
                            <a16:creationId xmlns:a16="http://schemas.microsoft.com/office/drawing/2014/main" id="{6028A40A-5917-81E1-515C-BA3BFA6FD07E}"/>
                          </a:ext>
                        </a:extLst>
                      </xdr:cNvPr>
                      <xdr:cNvGrpSpPr/>
                    </xdr:nvGrpSpPr>
                    <xdr:grpSpPr>
                      <a:xfrm>
                        <a:off x="365760" y="3977640"/>
                        <a:ext cx="2438400" cy="457200"/>
                        <a:chOff x="365760" y="3535680"/>
                        <a:chExt cx="1584960" cy="457200"/>
                      </a:xfrm>
                    </xdr:grpSpPr>
                    <xdr:sp macro="" textlink="">
                      <xdr:nvSpPr>
                        <xdr:cNvPr id="76" name="Rectangle 75">
                          <a:extLst>
                            <a:ext uri="{FF2B5EF4-FFF2-40B4-BE49-F238E27FC236}">
                              <a16:creationId xmlns:a16="http://schemas.microsoft.com/office/drawing/2014/main" id="{A37ED9FF-9670-1B24-412A-7754EF7022B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7" name="Rectangle 76">
                          <a:hlinkClick xmlns:r="http://schemas.openxmlformats.org/officeDocument/2006/relationships" r:id="rId2"/>
                          <a:extLst>
                            <a:ext uri="{FF2B5EF4-FFF2-40B4-BE49-F238E27FC236}">
                              <a16:creationId xmlns:a16="http://schemas.microsoft.com/office/drawing/2014/main" id="{5122B256-00B7-109D-F38F-6A8EDD7507C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3" name="Group 72">
                        <a:extLst>
                          <a:ext uri="{FF2B5EF4-FFF2-40B4-BE49-F238E27FC236}">
                            <a16:creationId xmlns:a16="http://schemas.microsoft.com/office/drawing/2014/main" id="{9635CACD-2822-0455-BA45-AB0B67425682}"/>
                          </a:ext>
                        </a:extLst>
                      </xdr:cNvPr>
                      <xdr:cNvGrpSpPr/>
                    </xdr:nvGrpSpPr>
                    <xdr:grpSpPr>
                      <a:xfrm>
                        <a:off x="365760" y="4411980"/>
                        <a:ext cx="2438400" cy="457200"/>
                        <a:chOff x="365760" y="3535680"/>
                        <a:chExt cx="1584960" cy="457200"/>
                      </a:xfrm>
                    </xdr:grpSpPr>
                    <xdr:sp macro="" textlink="">
                      <xdr:nvSpPr>
                        <xdr:cNvPr id="74" name="Rectangle 73">
                          <a:hlinkClick xmlns:r="http://schemas.openxmlformats.org/officeDocument/2006/relationships" r:id="rId3"/>
                          <a:extLst>
                            <a:ext uri="{FF2B5EF4-FFF2-40B4-BE49-F238E27FC236}">
                              <a16:creationId xmlns:a16="http://schemas.microsoft.com/office/drawing/2014/main" id="{1818BCC8-2E9F-C51A-148E-2AAB3980FFF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5" name="Rectangle 74">
                          <a:extLst>
                            <a:ext uri="{FF2B5EF4-FFF2-40B4-BE49-F238E27FC236}">
                              <a16:creationId xmlns:a16="http://schemas.microsoft.com/office/drawing/2014/main" id="{93F98DC0-0E78-0948-CFA2-121DE623F68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9" name="Rectangle 68">
                      <a:extLst>
                        <a:ext uri="{FF2B5EF4-FFF2-40B4-BE49-F238E27FC236}">
                          <a16:creationId xmlns:a16="http://schemas.microsoft.com/office/drawing/2014/main" id="{F1149D0B-0669-6438-1871-EB0ED297F18D}"/>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6" name="Group 15">
                    <a:extLst>
                      <a:ext uri="{FF2B5EF4-FFF2-40B4-BE49-F238E27FC236}">
                        <a16:creationId xmlns:a16="http://schemas.microsoft.com/office/drawing/2014/main" id="{AB34B4F3-D049-2AC4-20B6-BC8B9FC103C0}"/>
                      </a:ext>
                    </a:extLst>
                  </xdr:cNvPr>
                  <xdr:cNvGrpSpPr/>
                </xdr:nvGrpSpPr>
                <xdr:grpSpPr>
                  <a:xfrm>
                    <a:off x="205740" y="3192780"/>
                    <a:ext cx="2743200" cy="1943100"/>
                    <a:chOff x="205740" y="3192780"/>
                    <a:chExt cx="2743200" cy="1943100"/>
                  </a:xfrm>
                </xdr:grpSpPr>
                <xdr:grpSp>
                  <xdr:nvGrpSpPr>
                    <xdr:cNvPr id="56" name="Group 55">
                      <a:extLst>
                        <a:ext uri="{FF2B5EF4-FFF2-40B4-BE49-F238E27FC236}">
                          <a16:creationId xmlns:a16="http://schemas.microsoft.com/office/drawing/2014/main" id="{0688FC52-5D99-65CF-D883-32A7AC2F6FE9}"/>
                        </a:ext>
                      </a:extLst>
                    </xdr:cNvPr>
                    <xdr:cNvGrpSpPr/>
                  </xdr:nvGrpSpPr>
                  <xdr:grpSpPr>
                    <a:xfrm>
                      <a:off x="205740" y="3192780"/>
                      <a:ext cx="2743200" cy="1714500"/>
                      <a:chOff x="60960" y="3154680"/>
                      <a:chExt cx="2743200" cy="1714500"/>
                    </a:xfrm>
                  </xdr:grpSpPr>
                  <xdr:sp macro="" textlink="">
                    <xdr:nvSpPr>
                      <xdr:cNvPr id="58" name="Rectangle 57">
                        <a:extLst>
                          <a:ext uri="{FF2B5EF4-FFF2-40B4-BE49-F238E27FC236}">
                            <a16:creationId xmlns:a16="http://schemas.microsoft.com/office/drawing/2014/main" id="{A38B7C8B-2A1A-F50A-6F2F-8588A609DDBB}"/>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9" name="Group 58">
                        <a:extLst>
                          <a:ext uri="{FF2B5EF4-FFF2-40B4-BE49-F238E27FC236}">
                            <a16:creationId xmlns:a16="http://schemas.microsoft.com/office/drawing/2014/main" id="{B6C901C0-FAAD-0E43-83AD-7B8E23F876E0}"/>
                          </a:ext>
                        </a:extLst>
                      </xdr:cNvPr>
                      <xdr:cNvGrpSpPr/>
                    </xdr:nvGrpSpPr>
                    <xdr:grpSpPr>
                      <a:xfrm>
                        <a:off x="365760" y="3535680"/>
                        <a:ext cx="2438400" cy="457200"/>
                        <a:chOff x="365760" y="3535680"/>
                        <a:chExt cx="1584960" cy="457200"/>
                      </a:xfrm>
                    </xdr:grpSpPr>
                    <xdr:sp macro="" textlink="">
                      <xdr:nvSpPr>
                        <xdr:cNvPr id="66" name="Rectangle 65">
                          <a:hlinkClick xmlns:r="http://schemas.openxmlformats.org/officeDocument/2006/relationships" r:id="rId4"/>
                          <a:extLst>
                            <a:ext uri="{FF2B5EF4-FFF2-40B4-BE49-F238E27FC236}">
                              <a16:creationId xmlns:a16="http://schemas.microsoft.com/office/drawing/2014/main" id="{25B5AC11-BD53-2251-DE12-8FC5A8F666F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7" name="Rectangle 66">
                          <a:hlinkClick xmlns:r="http://schemas.openxmlformats.org/officeDocument/2006/relationships" r:id="rId5"/>
                          <a:extLst>
                            <a:ext uri="{FF2B5EF4-FFF2-40B4-BE49-F238E27FC236}">
                              <a16:creationId xmlns:a16="http://schemas.microsoft.com/office/drawing/2014/main" id="{691BA6DA-9DFD-EE66-DA73-DCD89E5F060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60" name="Group 59">
                        <a:extLst>
                          <a:ext uri="{FF2B5EF4-FFF2-40B4-BE49-F238E27FC236}">
                            <a16:creationId xmlns:a16="http://schemas.microsoft.com/office/drawing/2014/main" id="{8F8BF3D7-9D00-69AB-B231-53CA973EEC77}"/>
                          </a:ext>
                        </a:extLst>
                      </xdr:cNvPr>
                      <xdr:cNvGrpSpPr/>
                    </xdr:nvGrpSpPr>
                    <xdr:grpSpPr>
                      <a:xfrm>
                        <a:off x="365760" y="3977640"/>
                        <a:ext cx="2438400" cy="457200"/>
                        <a:chOff x="365760" y="3535680"/>
                        <a:chExt cx="1584960" cy="457200"/>
                      </a:xfrm>
                    </xdr:grpSpPr>
                    <xdr:sp macro="" textlink="">
                      <xdr:nvSpPr>
                        <xdr:cNvPr id="64" name="Rectangle 63">
                          <a:hlinkClick xmlns:r="http://schemas.openxmlformats.org/officeDocument/2006/relationships" r:id="rId6"/>
                          <a:extLst>
                            <a:ext uri="{FF2B5EF4-FFF2-40B4-BE49-F238E27FC236}">
                              <a16:creationId xmlns:a16="http://schemas.microsoft.com/office/drawing/2014/main" id="{B72E7FD1-1D56-A25F-5A29-191DB957BDF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5" name="Rectangle 64">
                          <a:hlinkClick xmlns:r="http://schemas.openxmlformats.org/officeDocument/2006/relationships" r:id="rId7"/>
                          <a:extLst>
                            <a:ext uri="{FF2B5EF4-FFF2-40B4-BE49-F238E27FC236}">
                              <a16:creationId xmlns:a16="http://schemas.microsoft.com/office/drawing/2014/main" id="{D82BA8AE-19AD-5FF3-47D1-73AD1CEA8A1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1" name="Group 60">
                        <a:extLst>
                          <a:ext uri="{FF2B5EF4-FFF2-40B4-BE49-F238E27FC236}">
                            <a16:creationId xmlns:a16="http://schemas.microsoft.com/office/drawing/2014/main" id="{55082393-BADD-7C47-74B6-85A5F5B7D77C}"/>
                          </a:ext>
                        </a:extLst>
                      </xdr:cNvPr>
                      <xdr:cNvGrpSpPr/>
                    </xdr:nvGrpSpPr>
                    <xdr:grpSpPr>
                      <a:xfrm>
                        <a:off x="365760" y="4411980"/>
                        <a:ext cx="2438400" cy="457200"/>
                        <a:chOff x="365760" y="3535680"/>
                        <a:chExt cx="1584960" cy="457200"/>
                      </a:xfrm>
                    </xdr:grpSpPr>
                    <xdr:sp macro="" textlink="">
                      <xdr:nvSpPr>
                        <xdr:cNvPr id="62" name="Rectangle 61">
                          <a:hlinkClick xmlns:r="http://schemas.openxmlformats.org/officeDocument/2006/relationships" r:id="rId8"/>
                          <a:extLst>
                            <a:ext uri="{FF2B5EF4-FFF2-40B4-BE49-F238E27FC236}">
                              <a16:creationId xmlns:a16="http://schemas.microsoft.com/office/drawing/2014/main" id="{A8E81088-49F7-F491-015C-E5C354CD365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3" name="Rectangle 62">
                          <a:hlinkClick xmlns:r="http://schemas.openxmlformats.org/officeDocument/2006/relationships" r:id="rId9"/>
                          <a:extLst>
                            <a:ext uri="{FF2B5EF4-FFF2-40B4-BE49-F238E27FC236}">
                              <a16:creationId xmlns:a16="http://schemas.microsoft.com/office/drawing/2014/main" id="{46DCD9B5-C952-2D81-86DD-631520BFA5B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7" name="Rectangle 56">
                      <a:hlinkClick xmlns:r="http://schemas.openxmlformats.org/officeDocument/2006/relationships" r:id="rId4"/>
                      <a:extLst>
                        <a:ext uri="{FF2B5EF4-FFF2-40B4-BE49-F238E27FC236}">
                          <a16:creationId xmlns:a16="http://schemas.microsoft.com/office/drawing/2014/main" id="{44A2592F-6B4E-3564-1783-4CBC26721299}"/>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7" name="Group 16">
                    <a:extLst>
                      <a:ext uri="{FF2B5EF4-FFF2-40B4-BE49-F238E27FC236}">
                        <a16:creationId xmlns:a16="http://schemas.microsoft.com/office/drawing/2014/main" id="{DA410D9E-5D8C-27D8-6B89-8973AFF2C2D0}"/>
                      </a:ext>
                    </a:extLst>
                  </xdr:cNvPr>
                  <xdr:cNvGrpSpPr/>
                </xdr:nvGrpSpPr>
                <xdr:grpSpPr>
                  <a:xfrm>
                    <a:off x="5692140" y="3208020"/>
                    <a:ext cx="2743200" cy="1935480"/>
                    <a:chOff x="2948940" y="3200400"/>
                    <a:chExt cx="2743200" cy="1935480"/>
                  </a:xfrm>
                </xdr:grpSpPr>
                <xdr:grpSp>
                  <xdr:nvGrpSpPr>
                    <xdr:cNvPr id="44" name="Group 43">
                      <a:extLst>
                        <a:ext uri="{FF2B5EF4-FFF2-40B4-BE49-F238E27FC236}">
                          <a16:creationId xmlns:a16="http://schemas.microsoft.com/office/drawing/2014/main" id="{55C056A2-7615-8F24-AAD2-BB30ABF03C65}"/>
                        </a:ext>
                      </a:extLst>
                    </xdr:cNvPr>
                    <xdr:cNvGrpSpPr/>
                  </xdr:nvGrpSpPr>
                  <xdr:grpSpPr>
                    <a:xfrm>
                      <a:off x="2948940" y="3200400"/>
                      <a:ext cx="2743200" cy="1714500"/>
                      <a:chOff x="60960" y="3154680"/>
                      <a:chExt cx="2743200" cy="1714500"/>
                    </a:xfrm>
                  </xdr:grpSpPr>
                  <xdr:sp macro="" textlink="">
                    <xdr:nvSpPr>
                      <xdr:cNvPr id="46" name="Rectangle 45">
                        <a:extLst>
                          <a:ext uri="{FF2B5EF4-FFF2-40B4-BE49-F238E27FC236}">
                            <a16:creationId xmlns:a16="http://schemas.microsoft.com/office/drawing/2014/main" id="{B54D40F6-5DF8-E1B3-FB1E-D42E02D12ADB}"/>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7" name="Group 46">
                        <a:extLst>
                          <a:ext uri="{FF2B5EF4-FFF2-40B4-BE49-F238E27FC236}">
                            <a16:creationId xmlns:a16="http://schemas.microsoft.com/office/drawing/2014/main" id="{6D91354B-C310-F133-178A-0690C3787FB1}"/>
                          </a:ext>
                        </a:extLst>
                      </xdr:cNvPr>
                      <xdr:cNvGrpSpPr/>
                    </xdr:nvGrpSpPr>
                    <xdr:grpSpPr>
                      <a:xfrm>
                        <a:off x="365760" y="3535680"/>
                        <a:ext cx="2438400" cy="457200"/>
                        <a:chOff x="365760" y="3535680"/>
                        <a:chExt cx="1584960" cy="457200"/>
                      </a:xfrm>
                    </xdr:grpSpPr>
                    <xdr:sp macro="" textlink="">
                      <xdr:nvSpPr>
                        <xdr:cNvPr id="54" name="Rectangle 53">
                          <a:hlinkClick xmlns:r="http://schemas.openxmlformats.org/officeDocument/2006/relationships" r:id="rId10"/>
                          <a:extLst>
                            <a:ext uri="{FF2B5EF4-FFF2-40B4-BE49-F238E27FC236}">
                              <a16:creationId xmlns:a16="http://schemas.microsoft.com/office/drawing/2014/main" id="{4974DFF4-3842-39B4-C29E-144FF1684A4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5" name="Rectangle 54">
                          <a:hlinkClick xmlns:r="http://schemas.openxmlformats.org/officeDocument/2006/relationships" r:id="rId11"/>
                          <a:extLst>
                            <a:ext uri="{FF2B5EF4-FFF2-40B4-BE49-F238E27FC236}">
                              <a16:creationId xmlns:a16="http://schemas.microsoft.com/office/drawing/2014/main" id="{658D1188-043B-0172-2454-A5EBB734FF7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8" name="Group 47">
                        <a:extLst>
                          <a:ext uri="{FF2B5EF4-FFF2-40B4-BE49-F238E27FC236}">
                            <a16:creationId xmlns:a16="http://schemas.microsoft.com/office/drawing/2014/main" id="{25395E68-00AA-4C95-3EA6-AAD26EDAFCBC}"/>
                          </a:ext>
                        </a:extLst>
                      </xdr:cNvPr>
                      <xdr:cNvGrpSpPr/>
                    </xdr:nvGrpSpPr>
                    <xdr:grpSpPr>
                      <a:xfrm>
                        <a:off x="365760" y="3977640"/>
                        <a:ext cx="2438400" cy="457200"/>
                        <a:chOff x="365760" y="3535680"/>
                        <a:chExt cx="1584960" cy="457200"/>
                      </a:xfrm>
                    </xdr:grpSpPr>
                    <xdr:sp macro="" textlink="">
                      <xdr:nvSpPr>
                        <xdr:cNvPr id="52" name="Rectangle 51">
                          <a:extLst>
                            <a:ext uri="{FF2B5EF4-FFF2-40B4-BE49-F238E27FC236}">
                              <a16:creationId xmlns:a16="http://schemas.microsoft.com/office/drawing/2014/main" id="{0C8EEA76-BE63-323E-454E-E882B88BB94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3" name="Rectangle 52">
                          <a:extLst>
                            <a:ext uri="{FF2B5EF4-FFF2-40B4-BE49-F238E27FC236}">
                              <a16:creationId xmlns:a16="http://schemas.microsoft.com/office/drawing/2014/main" id="{6519D6B8-0377-BEF2-0345-072B5082CB8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9" name="Group 48">
                        <a:extLst>
                          <a:ext uri="{FF2B5EF4-FFF2-40B4-BE49-F238E27FC236}">
                            <a16:creationId xmlns:a16="http://schemas.microsoft.com/office/drawing/2014/main" id="{52A281D8-F569-95BD-6197-96A51C8F218C}"/>
                          </a:ext>
                        </a:extLst>
                      </xdr:cNvPr>
                      <xdr:cNvGrpSpPr/>
                    </xdr:nvGrpSpPr>
                    <xdr:grpSpPr>
                      <a:xfrm>
                        <a:off x="365760" y="4411980"/>
                        <a:ext cx="2438400" cy="457200"/>
                        <a:chOff x="365760" y="3535680"/>
                        <a:chExt cx="1584960" cy="457200"/>
                      </a:xfrm>
                    </xdr:grpSpPr>
                    <xdr:sp macro="" textlink="">
                      <xdr:nvSpPr>
                        <xdr:cNvPr id="50" name="Rectangle 49">
                          <a:extLst>
                            <a:ext uri="{FF2B5EF4-FFF2-40B4-BE49-F238E27FC236}">
                              <a16:creationId xmlns:a16="http://schemas.microsoft.com/office/drawing/2014/main" id="{505BF407-539A-D23F-1D47-F6450B8E9F2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1" name="Rectangle 50">
                          <a:extLst>
                            <a:ext uri="{FF2B5EF4-FFF2-40B4-BE49-F238E27FC236}">
                              <a16:creationId xmlns:a16="http://schemas.microsoft.com/office/drawing/2014/main" id="{CCF8C4E4-C6D8-9D60-0420-2EFC392CC0C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5" name="Rectangle 44">
                      <a:extLst>
                        <a:ext uri="{FF2B5EF4-FFF2-40B4-BE49-F238E27FC236}">
                          <a16:creationId xmlns:a16="http://schemas.microsoft.com/office/drawing/2014/main" id="{688C5D39-9FD6-223F-3A46-2EF564D97AD3}"/>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8" name="Group 17">
                    <a:extLst>
                      <a:ext uri="{FF2B5EF4-FFF2-40B4-BE49-F238E27FC236}">
                        <a16:creationId xmlns:a16="http://schemas.microsoft.com/office/drawing/2014/main" id="{2EF83448-0987-58F2-C6A1-D205E565EB4A}"/>
                      </a:ext>
                    </a:extLst>
                  </xdr:cNvPr>
                  <xdr:cNvGrpSpPr/>
                </xdr:nvGrpSpPr>
                <xdr:grpSpPr>
                  <a:xfrm>
                    <a:off x="8435340" y="3208020"/>
                    <a:ext cx="2743200" cy="1935480"/>
                    <a:chOff x="2948940" y="3200400"/>
                    <a:chExt cx="2743200" cy="1935480"/>
                  </a:xfrm>
                </xdr:grpSpPr>
                <xdr:grpSp>
                  <xdr:nvGrpSpPr>
                    <xdr:cNvPr id="32" name="Group 31">
                      <a:extLst>
                        <a:ext uri="{FF2B5EF4-FFF2-40B4-BE49-F238E27FC236}">
                          <a16:creationId xmlns:a16="http://schemas.microsoft.com/office/drawing/2014/main" id="{FD1B575F-DABE-D814-8761-1473B9D6AB67}"/>
                        </a:ext>
                      </a:extLst>
                    </xdr:cNvPr>
                    <xdr:cNvGrpSpPr/>
                  </xdr:nvGrpSpPr>
                  <xdr:grpSpPr>
                    <a:xfrm>
                      <a:off x="2948940" y="3200400"/>
                      <a:ext cx="2743200" cy="1714500"/>
                      <a:chOff x="60960" y="3154680"/>
                      <a:chExt cx="2743200" cy="1714500"/>
                    </a:xfrm>
                  </xdr:grpSpPr>
                  <xdr:sp macro="" textlink="">
                    <xdr:nvSpPr>
                      <xdr:cNvPr id="34" name="Rectangle 33">
                        <a:extLst>
                          <a:ext uri="{FF2B5EF4-FFF2-40B4-BE49-F238E27FC236}">
                            <a16:creationId xmlns:a16="http://schemas.microsoft.com/office/drawing/2014/main" id="{F041078F-C817-AF21-7DDA-7A0CC207A895}"/>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5" name="Group 34">
                        <a:extLst>
                          <a:ext uri="{FF2B5EF4-FFF2-40B4-BE49-F238E27FC236}">
                            <a16:creationId xmlns:a16="http://schemas.microsoft.com/office/drawing/2014/main" id="{F1EB4F95-A892-64BD-FC23-72EAA5C1AEE5}"/>
                          </a:ext>
                        </a:extLst>
                      </xdr:cNvPr>
                      <xdr:cNvGrpSpPr/>
                    </xdr:nvGrpSpPr>
                    <xdr:grpSpPr>
                      <a:xfrm>
                        <a:off x="365760" y="3535680"/>
                        <a:ext cx="2438400" cy="457200"/>
                        <a:chOff x="365760" y="3535680"/>
                        <a:chExt cx="1584960" cy="457200"/>
                      </a:xfrm>
                    </xdr:grpSpPr>
                    <xdr:sp macro="" textlink="">
                      <xdr:nvSpPr>
                        <xdr:cNvPr id="42" name="Rectangle 41">
                          <a:extLst>
                            <a:ext uri="{FF2B5EF4-FFF2-40B4-BE49-F238E27FC236}">
                              <a16:creationId xmlns:a16="http://schemas.microsoft.com/office/drawing/2014/main" id="{19E54870-EB43-EBE9-4AD9-38B38D92C17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3" name="Rectangle 42">
                          <a:extLst>
                            <a:ext uri="{FF2B5EF4-FFF2-40B4-BE49-F238E27FC236}">
                              <a16:creationId xmlns:a16="http://schemas.microsoft.com/office/drawing/2014/main" id="{6569FA27-34B6-40C9-2853-5EB8BF2705F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6" name="Group 35">
                        <a:extLst>
                          <a:ext uri="{FF2B5EF4-FFF2-40B4-BE49-F238E27FC236}">
                            <a16:creationId xmlns:a16="http://schemas.microsoft.com/office/drawing/2014/main" id="{17A89D29-16B1-74B8-A7C1-6C4ABECEB393}"/>
                          </a:ext>
                        </a:extLst>
                      </xdr:cNvPr>
                      <xdr:cNvGrpSpPr/>
                    </xdr:nvGrpSpPr>
                    <xdr:grpSpPr>
                      <a:xfrm>
                        <a:off x="365760" y="3977640"/>
                        <a:ext cx="2438400" cy="457200"/>
                        <a:chOff x="365760" y="3535680"/>
                        <a:chExt cx="1584960" cy="457200"/>
                      </a:xfrm>
                    </xdr:grpSpPr>
                    <xdr:sp macro="" textlink="">
                      <xdr:nvSpPr>
                        <xdr:cNvPr id="40" name="Rectangle 39">
                          <a:extLst>
                            <a:ext uri="{FF2B5EF4-FFF2-40B4-BE49-F238E27FC236}">
                              <a16:creationId xmlns:a16="http://schemas.microsoft.com/office/drawing/2014/main" id="{8D26B96B-65C2-D0FB-F1D5-84C4F22158F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1" name="Rectangle 40">
                          <a:extLst>
                            <a:ext uri="{FF2B5EF4-FFF2-40B4-BE49-F238E27FC236}">
                              <a16:creationId xmlns:a16="http://schemas.microsoft.com/office/drawing/2014/main" id="{182B6FA9-6E14-0197-720F-61230B30375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7" name="Group 36">
                        <a:extLst>
                          <a:ext uri="{FF2B5EF4-FFF2-40B4-BE49-F238E27FC236}">
                            <a16:creationId xmlns:a16="http://schemas.microsoft.com/office/drawing/2014/main" id="{82E55672-E1FC-57AB-E5BD-72B0DF539C5F}"/>
                          </a:ext>
                        </a:extLst>
                      </xdr:cNvPr>
                      <xdr:cNvGrpSpPr/>
                    </xdr:nvGrpSpPr>
                    <xdr:grpSpPr>
                      <a:xfrm>
                        <a:off x="365760" y="4411980"/>
                        <a:ext cx="2438400" cy="457200"/>
                        <a:chOff x="365760" y="3535680"/>
                        <a:chExt cx="1584960" cy="457200"/>
                      </a:xfrm>
                    </xdr:grpSpPr>
                    <xdr:sp macro="" textlink="">
                      <xdr:nvSpPr>
                        <xdr:cNvPr id="38" name="Rectangle 37">
                          <a:extLst>
                            <a:ext uri="{FF2B5EF4-FFF2-40B4-BE49-F238E27FC236}">
                              <a16:creationId xmlns:a16="http://schemas.microsoft.com/office/drawing/2014/main" id="{8263B324-755A-3428-7264-2C140002D1D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9" name="Rectangle 38">
                          <a:extLst>
                            <a:ext uri="{FF2B5EF4-FFF2-40B4-BE49-F238E27FC236}">
                              <a16:creationId xmlns:a16="http://schemas.microsoft.com/office/drawing/2014/main" id="{CB2F1F71-4AB2-4EF2-F37F-409A5A82EEF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3" name="Rectangle 32">
                      <a:extLst>
                        <a:ext uri="{FF2B5EF4-FFF2-40B4-BE49-F238E27FC236}">
                          <a16:creationId xmlns:a16="http://schemas.microsoft.com/office/drawing/2014/main" id="{6DE47F38-7555-1D17-C5E0-3C30E1EEF716}"/>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9" name="Group 18">
                    <a:extLst>
                      <a:ext uri="{FF2B5EF4-FFF2-40B4-BE49-F238E27FC236}">
                        <a16:creationId xmlns:a16="http://schemas.microsoft.com/office/drawing/2014/main" id="{CC025548-5A68-9751-084B-C6CB84AE262C}"/>
                      </a:ext>
                    </a:extLst>
                  </xdr:cNvPr>
                  <xdr:cNvGrpSpPr/>
                </xdr:nvGrpSpPr>
                <xdr:grpSpPr>
                  <a:xfrm>
                    <a:off x="11170920" y="3208020"/>
                    <a:ext cx="2743200" cy="1935480"/>
                    <a:chOff x="2948940" y="3200400"/>
                    <a:chExt cx="2743200" cy="1935480"/>
                  </a:xfrm>
                </xdr:grpSpPr>
                <xdr:grpSp>
                  <xdr:nvGrpSpPr>
                    <xdr:cNvPr id="20" name="Group 19">
                      <a:extLst>
                        <a:ext uri="{FF2B5EF4-FFF2-40B4-BE49-F238E27FC236}">
                          <a16:creationId xmlns:a16="http://schemas.microsoft.com/office/drawing/2014/main" id="{2EC74409-BBA3-C502-3AD7-78A07FEA861E}"/>
                        </a:ext>
                      </a:extLst>
                    </xdr:cNvPr>
                    <xdr:cNvGrpSpPr/>
                  </xdr:nvGrpSpPr>
                  <xdr:grpSpPr>
                    <a:xfrm>
                      <a:off x="2948940" y="3200400"/>
                      <a:ext cx="2743200" cy="1714500"/>
                      <a:chOff x="60960" y="3154680"/>
                      <a:chExt cx="2743200" cy="1714500"/>
                    </a:xfrm>
                  </xdr:grpSpPr>
                  <xdr:sp macro="" textlink="">
                    <xdr:nvSpPr>
                      <xdr:cNvPr id="22" name="Rectangle 21">
                        <a:extLst>
                          <a:ext uri="{FF2B5EF4-FFF2-40B4-BE49-F238E27FC236}">
                            <a16:creationId xmlns:a16="http://schemas.microsoft.com/office/drawing/2014/main" id="{3B56E232-09C5-B478-4729-5026948A053D}"/>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3" name="Group 22">
                        <a:extLst>
                          <a:ext uri="{FF2B5EF4-FFF2-40B4-BE49-F238E27FC236}">
                            <a16:creationId xmlns:a16="http://schemas.microsoft.com/office/drawing/2014/main" id="{51AD3C9D-A052-83AB-4D61-847CA7ED813F}"/>
                          </a:ext>
                        </a:extLst>
                      </xdr:cNvPr>
                      <xdr:cNvGrpSpPr/>
                    </xdr:nvGrpSpPr>
                    <xdr:grpSpPr>
                      <a:xfrm>
                        <a:off x="365760" y="3535680"/>
                        <a:ext cx="2438400" cy="457200"/>
                        <a:chOff x="365760" y="3535680"/>
                        <a:chExt cx="1584960" cy="457200"/>
                      </a:xfrm>
                    </xdr:grpSpPr>
                    <xdr:sp macro="" textlink="">
                      <xdr:nvSpPr>
                        <xdr:cNvPr id="30" name="Rectangle 29">
                          <a:hlinkClick xmlns:r="http://schemas.openxmlformats.org/officeDocument/2006/relationships" r:id="rId12"/>
                          <a:extLst>
                            <a:ext uri="{FF2B5EF4-FFF2-40B4-BE49-F238E27FC236}">
                              <a16:creationId xmlns:a16="http://schemas.microsoft.com/office/drawing/2014/main" id="{759E3020-7203-B489-C5A9-639B2155ACF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1" name="Rectangle 30">
                          <a:hlinkClick xmlns:r="http://schemas.openxmlformats.org/officeDocument/2006/relationships" r:id="rId13"/>
                          <a:extLst>
                            <a:ext uri="{FF2B5EF4-FFF2-40B4-BE49-F238E27FC236}">
                              <a16:creationId xmlns:a16="http://schemas.microsoft.com/office/drawing/2014/main" id="{BAEF1F60-BDDC-678A-AAB2-7B5AB1646D5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4" name="Group 23">
                        <a:extLst>
                          <a:ext uri="{FF2B5EF4-FFF2-40B4-BE49-F238E27FC236}">
                            <a16:creationId xmlns:a16="http://schemas.microsoft.com/office/drawing/2014/main" id="{1D9607FB-E39A-552C-2BBA-CBC9793A5481}"/>
                          </a:ext>
                        </a:extLst>
                      </xdr:cNvPr>
                      <xdr:cNvGrpSpPr/>
                    </xdr:nvGrpSpPr>
                    <xdr:grpSpPr>
                      <a:xfrm>
                        <a:off x="365760" y="3977640"/>
                        <a:ext cx="2438400" cy="457200"/>
                        <a:chOff x="365760" y="3535680"/>
                        <a:chExt cx="1584960" cy="457200"/>
                      </a:xfrm>
                    </xdr:grpSpPr>
                    <xdr:sp macro="" textlink="">
                      <xdr:nvSpPr>
                        <xdr:cNvPr id="28" name="Rectangle 27">
                          <a:hlinkClick xmlns:r="http://schemas.openxmlformats.org/officeDocument/2006/relationships" r:id="rId14"/>
                          <a:extLst>
                            <a:ext uri="{FF2B5EF4-FFF2-40B4-BE49-F238E27FC236}">
                              <a16:creationId xmlns:a16="http://schemas.microsoft.com/office/drawing/2014/main" id="{F21DF88D-C4EF-BEDB-1FDF-27A4E45659C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9" name="Rectangle 28">
                          <a:extLst>
                            <a:ext uri="{FF2B5EF4-FFF2-40B4-BE49-F238E27FC236}">
                              <a16:creationId xmlns:a16="http://schemas.microsoft.com/office/drawing/2014/main" id="{CAF8E179-8257-0F7F-F544-EE0D084D247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5" name="Group 24">
                        <a:extLst>
                          <a:ext uri="{FF2B5EF4-FFF2-40B4-BE49-F238E27FC236}">
                            <a16:creationId xmlns:a16="http://schemas.microsoft.com/office/drawing/2014/main" id="{6B77A8B3-2B58-943A-CF6A-EDDA09DC107D}"/>
                          </a:ext>
                        </a:extLst>
                      </xdr:cNvPr>
                      <xdr:cNvGrpSpPr/>
                    </xdr:nvGrpSpPr>
                    <xdr:grpSpPr>
                      <a:xfrm>
                        <a:off x="365760" y="4411980"/>
                        <a:ext cx="2438400" cy="457200"/>
                        <a:chOff x="365760" y="3535680"/>
                        <a:chExt cx="1584960" cy="457200"/>
                      </a:xfrm>
                    </xdr:grpSpPr>
                    <xdr:sp macro="" textlink="">
                      <xdr:nvSpPr>
                        <xdr:cNvPr id="26" name="Rectangle 25">
                          <a:extLst>
                            <a:ext uri="{FF2B5EF4-FFF2-40B4-BE49-F238E27FC236}">
                              <a16:creationId xmlns:a16="http://schemas.microsoft.com/office/drawing/2014/main" id="{461A6DDD-9979-2812-8827-8851F81948E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7" name="Rectangle 26">
                          <a:extLst>
                            <a:ext uri="{FF2B5EF4-FFF2-40B4-BE49-F238E27FC236}">
                              <a16:creationId xmlns:a16="http://schemas.microsoft.com/office/drawing/2014/main" id="{1A76B0B4-58DE-90CF-448E-F296557D8EC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1" name="Rectangle 20">
                      <a:extLst>
                        <a:ext uri="{FF2B5EF4-FFF2-40B4-BE49-F238E27FC236}">
                          <a16:creationId xmlns:a16="http://schemas.microsoft.com/office/drawing/2014/main" id="{6643C7FE-FF66-39FB-3220-C2EFB92E20EF}"/>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4" name="Rectangle 13">
                  <a:extLst>
                    <a:ext uri="{FF2B5EF4-FFF2-40B4-BE49-F238E27FC236}">
                      <a16:creationId xmlns:a16="http://schemas.microsoft.com/office/drawing/2014/main" id="{558821F8-6061-5950-8C57-450094431E49}"/>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8" name="Rectangle: Rounded Corners 7">
              <a:extLst>
                <a:ext uri="{FF2B5EF4-FFF2-40B4-BE49-F238E27FC236}">
                  <a16:creationId xmlns:a16="http://schemas.microsoft.com/office/drawing/2014/main" id="{1BA202EA-342A-51FF-7267-2CAD4DB31303}"/>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9" name="Rectangle: Rounded Corners 8">
              <a:extLst>
                <a:ext uri="{FF2B5EF4-FFF2-40B4-BE49-F238E27FC236}">
                  <a16:creationId xmlns:a16="http://schemas.microsoft.com/office/drawing/2014/main" id="{036F4B9C-907C-70C5-387E-4E83D672F2D6}"/>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10" name="Rectangle: Rounded Corners 9">
              <a:extLst>
                <a:ext uri="{FF2B5EF4-FFF2-40B4-BE49-F238E27FC236}">
                  <a16:creationId xmlns:a16="http://schemas.microsoft.com/office/drawing/2014/main" id="{91D13F50-DF20-E51C-5DE7-BD4D0C9678E5}"/>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5" name="Picture 4">
            <a:hlinkClick xmlns:r="http://schemas.openxmlformats.org/officeDocument/2006/relationships" r:id="rId15"/>
            <a:extLst>
              <a:ext uri="{FF2B5EF4-FFF2-40B4-BE49-F238E27FC236}">
                <a16:creationId xmlns:a16="http://schemas.microsoft.com/office/drawing/2014/main" id="{D0D856D4-A475-7EF8-010A-37C7967F0E95}"/>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twoCellAnchor>
    <xdr:from>
      <xdr:col>24</xdr:col>
      <xdr:colOff>394114</xdr:colOff>
      <xdr:row>3</xdr:row>
      <xdr:rowOff>111338</xdr:rowOff>
    </xdr:from>
    <xdr:to>
      <xdr:col>29</xdr:col>
      <xdr:colOff>22849</xdr:colOff>
      <xdr:row>10</xdr:row>
      <xdr:rowOff>149012</xdr:rowOff>
    </xdr:to>
    <xdr:grpSp>
      <xdr:nvGrpSpPr>
        <xdr:cNvPr id="80" name="Group 79">
          <a:extLst>
            <a:ext uri="{FF2B5EF4-FFF2-40B4-BE49-F238E27FC236}">
              <a16:creationId xmlns:a16="http://schemas.microsoft.com/office/drawing/2014/main" id="{87BF429A-242D-4660-88E4-B87DB6106736}"/>
            </a:ext>
          </a:extLst>
        </xdr:cNvPr>
        <xdr:cNvGrpSpPr/>
      </xdr:nvGrpSpPr>
      <xdr:grpSpPr>
        <a:xfrm>
          <a:off x="18823225" y="704005"/>
          <a:ext cx="2380402" cy="1420563"/>
          <a:chOff x="16551064" y="631192"/>
          <a:chExt cx="2256789" cy="1284391"/>
        </a:xfrm>
      </xdr:grpSpPr>
      <xdr:sp macro="" textlink="">
        <xdr:nvSpPr>
          <xdr:cNvPr id="81" name="Rectangle 80">
            <a:extLst>
              <a:ext uri="{FF2B5EF4-FFF2-40B4-BE49-F238E27FC236}">
                <a16:creationId xmlns:a16="http://schemas.microsoft.com/office/drawing/2014/main" id="{20470ED3-C0D8-8567-E36C-E7BEE501056C}"/>
              </a:ext>
            </a:extLst>
          </xdr:cNvPr>
          <xdr:cNvSpPr/>
        </xdr:nvSpPr>
        <xdr:spPr>
          <a:xfrm>
            <a:off x="16882956" y="1017690"/>
            <a:ext cx="1587500" cy="281517"/>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a:t>
            </a:r>
            <a:r>
              <a:rPr lang="fr-FR" sz="1100" b="1" baseline="0">
                <a:latin typeface="+mn-lt"/>
              </a:rPr>
              <a:t> assistance</a:t>
            </a:r>
            <a:endParaRPr lang="fr-FR" sz="1100" b="1">
              <a:latin typeface="+mn-lt"/>
            </a:endParaRPr>
          </a:p>
        </xdr:txBody>
      </xdr:sp>
      <xdr:sp macro="" textlink="">
        <xdr:nvSpPr>
          <xdr:cNvPr id="82" name="Rectangle 81">
            <a:extLst>
              <a:ext uri="{FF2B5EF4-FFF2-40B4-BE49-F238E27FC236}">
                <a16:creationId xmlns:a16="http://schemas.microsoft.com/office/drawing/2014/main" id="{E4DDE81D-FEDF-F778-97A8-637AAE42512D}"/>
              </a:ext>
            </a:extLst>
          </xdr:cNvPr>
          <xdr:cNvSpPr/>
        </xdr:nvSpPr>
        <xdr:spPr>
          <a:xfrm>
            <a:off x="16877452" y="1283542"/>
            <a:ext cx="1583690" cy="278977"/>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IT</a:t>
            </a:r>
            <a:r>
              <a:rPr lang="fr-FR" sz="1100" b="1" baseline="0">
                <a:latin typeface="+mn-lt"/>
              </a:rPr>
              <a:t> Support</a:t>
            </a:r>
            <a:endParaRPr lang="fr-FR" sz="1100" b="1">
              <a:latin typeface="+mn-lt"/>
            </a:endParaRPr>
          </a:p>
        </xdr:txBody>
      </xdr:sp>
      <xdr:sp macro="" textlink="">
        <xdr:nvSpPr>
          <xdr:cNvPr id="83" name="Rectangle 82">
            <a:extLst>
              <a:ext uri="{FF2B5EF4-FFF2-40B4-BE49-F238E27FC236}">
                <a16:creationId xmlns:a16="http://schemas.microsoft.com/office/drawing/2014/main" id="{24B6177A-9976-1090-A60B-421C2626381E}"/>
              </a:ext>
            </a:extLst>
          </xdr:cNvPr>
          <xdr:cNvSpPr/>
        </xdr:nvSpPr>
        <xdr:spPr>
          <a:xfrm>
            <a:off x="16881263" y="1518915"/>
            <a:ext cx="1926590" cy="396668"/>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development</a:t>
            </a:r>
            <a:endParaRPr lang="fr-FR" sz="1100" b="1">
              <a:latin typeface="+mn-lt"/>
            </a:endParaRPr>
          </a:p>
        </xdr:txBody>
      </xdr:sp>
      <xdr:sp macro="" textlink="">
        <xdr:nvSpPr>
          <xdr:cNvPr id="84" name="Rectangle 83">
            <a:extLst>
              <a:ext uri="{FF2B5EF4-FFF2-40B4-BE49-F238E27FC236}">
                <a16:creationId xmlns:a16="http://schemas.microsoft.com/office/drawing/2014/main" id="{7B5BFE3E-DA8A-4934-2828-47F4D23894A9}"/>
              </a:ext>
            </a:extLst>
          </xdr:cNvPr>
          <xdr:cNvSpPr/>
        </xdr:nvSpPr>
        <xdr:spPr>
          <a:xfrm>
            <a:off x="16551064" y="631192"/>
            <a:ext cx="1546437" cy="359831"/>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Help</a:t>
            </a:r>
            <a:r>
              <a:rPr lang="fr-FR" sz="1800" b="1" baseline="0">
                <a:latin typeface="+mj-lt"/>
              </a:rPr>
              <a:t> Center</a:t>
            </a:r>
            <a:endParaRPr lang="fr-FR" sz="1800" b="1">
              <a:latin typeface="+mj-lt"/>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9525</xdr:colOff>
      <xdr:row>0</xdr:row>
      <xdr:rowOff>95250</xdr:rowOff>
    </xdr:from>
    <xdr:to>
      <xdr:col>23</xdr:col>
      <xdr:colOff>555638</xdr:colOff>
      <xdr:row>14</xdr:row>
      <xdr:rowOff>0</xdr:rowOff>
    </xdr:to>
    <xdr:grpSp>
      <xdr:nvGrpSpPr>
        <xdr:cNvPr id="2" name="Group 1">
          <a:extLst>
            <a:ext uri="{FF2B5EF4-FFF2-40B4-BE49-F238E27FC236}">
              <a16:creationId xmlns:a16="http://schemas.microsoft.com/office/drawing/2014/main" id="{49749FA0-54B6-4E53-8DDB-3E02EC6F1A4E}"/>
            </a:ext>
          </a:extLst>
        </xdr:cNvPr>
        <xdr:cNvGrpSpPr/>
      </xdr:nvGrpSpPr>
      <xdr:grpSpPr>
        <a:xfrm>
          <a:off x="9525" y="95250"/>
          <a:ext cx="21342363" cy="2619375"/>
          <a:chOff x="0" y="25400"/>
          <a:chExt cx="18808713" cy="2465554"/>
        </a:xfrm>
      </xdr:grpSpPr>
      <xdr:grpSp>
        <xdr:nvGrpSpPr>
          <xdr:cNvPr id="3" name="Group 2">
            <a:extLst>
              <a:ext uri="{FF2B5EF4-FFF2-40B4-BE49-F238E27FC236}">
                <a16:creationId xmlns:a16="http://schemas.microsoft.com/office/drawing/2014/main" id="{51B1646F-79F4-21AD-9B52-B2ED35C331A6}"/>
              </a:ext>
            </a:extLst>
          </xdr:cNvPr>
          <xdr:cNvGrpSpPr/>
        </xdr:nvGrpSpPr>
        <xdr:grpSpPr>
          <a:xfrm>
            <a:off x="0" y="268648"/>
            <a:ext cx="18808713" cy="2222306"/>
            <a:chOff x="-2" y="774501"/>
            <a:chExt cx="14238616" cy="2312445"/>
          </a:xfrm>
        </xdr:grpSpPr>
        <xdr:sp macro="" textlink="">
          <xdr:nvSpPr>
            <xdr:cNvPr id="5" name="Rectangle: Rounded Corners 4">
              <a:extLst>
                <a:ext uri="{FF2B5EF4-FFF2-40B4-BE49-F238E27FC236}">
                  <a16:creationId xmlns:a16="http://schemas.microsoft.com/office/drawing/2014/main" id="{D2972A12-4DA8-DCFA-1FE9-0A8A73998C6C}"/>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6" name="Group 5">
              <a:extLst>
                <a:ext uri="{FF2B5EF4-FFF2-40B4-BE49-F238E27FC236}">
                  <a16:creationId xmlns:a16="http://schemas.microsoft.com/office/drawing/2014/main" id="{82696AFA-D87F-4D01-A538-19941E3DE504}"/>
                </a:ext>
              </a:extLst>
            </xdr:cNvPr>
            <xdr:cNvGrpSpPr/>
          </xdr:nvGrpSpPr>
          <xdr:grpSpPr>
            <a:xfrm>
              <a:off x="-2" y="977052"/>
              <a:ext cx="14238606" cy="2109894"/>
              <a:chOff x="15238" y="3223260"/>
              <a:chExt cx="14214009" cy="2072640"/>
            </a:xfrm>
          </xdr:grpSpPr>
          <xdr:sp macro="" textlink="">
            <xdr:nvSpPr>
              <xdr:cNvPr id="10" name="Rectangle 9">
                <a:extLst>
                  <a:ext uri="{FF2B5EF4-FFF2-40B4-BE49-F238E27FC236}">
                    <a16:creationId xmlns:a16="http://schemas.microsoft.com/office/drawing/2014/main" id="{5CD9645B-6294-5E26-784B-1868CA858FEA}"/>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1" name="Group 10">
                <a:extLst>
                  <a:ext uri="{FF2B5EF4-FFF2-40B4-BE49-F238E27FC236}">
                    <a16:creationId xmlns:a16="http://schemas.microsoft.com/office/drawing/2014/main" id="{F360FF5D-2F45-8227-414F-17E4E0798EBC}"/>
                  </a:ext>
                </a:extLst>
              </xdr:cNvPr>
              <xdr:cNvGrpSpPr/>
            </xdr:nvGrpSpPr>
            <xdr:grpSpPr>
              <a:xfrm>
                <a:off x="121920" y="3291840"/>
                <a:ext cx="13708380" cy="1950720"/>
                <a:chOff x="205740" y="2491740"/>
                <a:chExt cx="13708380" cy="1950720"/>
              </a:xfrm>
            </xdr:grpSpPr>
            <xdr:grpSp>
              <xdr:nvGrpSpPr>
                <xdr:cNvPr id="12" name="Group 11">
                  <a:extLst>
                    <a:ext uri="{FF2B5EF4-FFF2-40B4-BE49-F238E27FC236}">
                      <a16:creationId xmlns:a16="http://schemas.microsoft.com/office/drawing/2014/main" id="{F787FC0E-B760-CCC0-7F33-7FCEDE413AAF}"/>
                    </a:ext>
                  </a:extLst>
                </xdr:cNvPr>
                <xdr:cNvGrpSpPr/>
              </xdr:nvGrpSpPr>
              <xdr:grpSpPr>
                <a:xfrm>
                  <a:off x="205740" y="2491740"/>
                  <a:ext cx="13708380" cy="1950720"/>
                  <a:chOff x="205740" y="3192780"/>
                  <a:chExt cx="13708380" cy="1950720"/>
                </a:xfrm>
              </xdr:grpSpPr>
              <xdr:grpSp>
                <xdr:nvGrpSpPr>
                  <xdr:cNvPr id="14" name="Group 13">
                    <a:extLst>
                      <a:ext uri="{FF2B5EF4-FFF2-40B4-BE49-F238E27FC236}">
                        <a16:creationId xmlns:a16="http://schemas.microsoft.com/office/drawing/2014/main" id="{699D18E1-C101-1B64-6E67-FC4D8F523F7F}"/>
                      </a:ext>
                    </a:extLst>
                  </xdr:cNvPr>
                  <xdr:cNvGrpSpPr/>
                </xdr:nvGrpSpPr>
                <xdr:grpSpPr>
                  <a:xfrm>
                    <a:off x="2948940" y="3200400"/>
                    <a:ext cx="2743200" cy="1935480"/>
                    <a:chOff x="2948940" y="3200400"/>
                    <a:chExt cx="2743200" cy="1935480"/>
                  </a:xfrm>
                </xdr:grpSpPr>
                <xdr:grpSp>
                  <xdr:nvGrpSpPr>
                    <xdr:cNvPr id="67" name="Group 66">
                      <a:extLst>
                        <a:ext uri="{FF2B5EF4-FFF2-40B4-BE49-F238E27FC236}">
                          <a16:creationId xmlns:a16="http://schemas.microsoft.com/office/drawing/2014/main" id="{65482931-945E-D0FA-A8DC-BE07DA50A80E}"/>
                        </a:ext>
                      </a:extLst>
                    </xdr:cNvPr>
                    <xdr:cNvGrpSpPr/>
                  </xdr:nvGrpSpPr>
                  <xdr:grpSpPr>
                    <a:xfrm>
                      <a:off x="2948940" y="3200400"/>
                      <a:ext cx="2743200" cy="1714500"/>
                      <a:chOff x="60960" y="3154680"/>
                      <a:chExt cx="2743200" cy="1714500"/>
                    </a:xfrm>
                  </xdr:grpSpPr>
                  <xdr:sp macro="" textlink="">
                    <xdr:nvSpPr>
                      <xdr:cNvPr id="69" name="Rectangle 68">
                        <a:extLst>
                          <a:ext uri="{FF2B5EF4-FFF2-40B4-BE49-F238E27FC236}">
                            <a16:creationId xmlns:a16="http://schemas.microsoft.com/office/drawing/2014/main" id="{74EB03EA-1B73-8A46-0FFF-34766D96F26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0" name="Group 69">
                        <a:extLst>
                          <a:ext uri="{FF2B5EF4-FFF2-40B4-BE49-F238E27FC236}">
                            <a16:creationId xmlns:a16="http://schemas.microsoft.com/office/drawing/2014/main" id="{651D8472-16A2-CC3A-B926-7A51624EC91C}"/>
                          </a:ext>
                        </a:extLst>
                      </xdr:cNvPr>
                      <xdr:cNvGrpSpPr/>
                    </xdr:nvGrpSpPr>
                    <xdr:grpSpPr>
                      <a:xfrm>
                        <a:off x="365760" y="3535680"/>
                        <a:ext cx="2438400" cy="457200"/>
                        <a:chOff x="365760" y="3535680"/>
                        <a:chExt cx="1584960" cy="457200"/>
                      </a:xfrm>
                    </xdr:grpSpPr>
                    <xdr:sp macro="" textlink="">
                      <xdr:nvSpPr>
                        <xdr:cNvPr id="77" name="Rectangle 76">
                          <a:hlinkClick xmlns:r="http://schemas.openxmlformats.org/officeDocument/2006/relationships" r:id="rId1"/>
                          <a:extLst>
                            <a:ext uri="{FF2B5EF4-FFF2-40B4-BE49-F238E27FC236}">
                              <a16:creationId xmlns:a16="http://schemas.microsoft.com/office/drawing/2014/main" id="{E9323486-CD94-357E-5938-3554877178D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78" name="Rectangle 77">
                          <a:hlinkClick xmlns:r="http://schemas.openxmlformats.org/officeDocument/2006/relationships" r:id="rId1"/>
                          <a:extLst>
                            <a:ext uri="{FF2B5EF4-FFF2-40B4-BE49-F238E27FC236}">
                              <a16:creationId xmlns:a16="http://schemas.microsoft.com/office/drawing/2014/main" id="{1AF6F377-E19A-B225-A690-B0AC0234DBE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1" name="Group 70">
                        <a:extLst>
                          <a:ext uri="{FF2B5EF4-FFF2-40B4-BE49-F238E27FC236}">
                            <a16:creationId xmlns:a16="http://schemas.microsoft.com/office/drawing/2014/main" id="{E53FEFB8-D936-BE5D-DAD5-6435418F0F66}"/>
                          </a:ext>
                        </a:extLst>
                      </xdr:cNvPr>
                      <xdr:cNvGrpSpPr/>
                    </xdr:nvGrpSpPr>
                    <xdr:grpSpPr>
                      <a:xfrm>
                        <a:off x="365760" y="3977640"/>
                        <a:ext cx="2438400" cy="457200"/>
                        <a:chOff x="365760" y="3535680"/>
                        <a:chExt cx="1584960" cy="457200"/>
                      </a:xfrm>
                    </xdr:grpSpPr>
                    <xdr:sp macro="" textlink="">
                      <xdr:nvSpPr>
                        <xdr:cNvPr id="75" name="Rectangle 74">
                          <a:extLst>
                            <a:ext uri="{FF2B5EF4-FFF2-40B4-BE49-F238E27FC236}">
                              <a16:creationId xmlns:a16="http://schemas.microsoft.com/office/drawing/2014/main" id="{91ED7834-63D8-B8BD-503D-EDAF564AAE8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6" name="Rectangle 75">
                          <a:hlinkClick xmlns:r="http://schemas.openxmlformats.org/officeDocument/2006/relationships" r:id="rId2"/>
                          <a:extLst>
                            <a:ext uri="{FF2B5EF4-FFF2-40B4-BE49-F238E27FC236}">
                              <a16:creationId xmlns:a16="http://schemas.microsoft.com/office/drawing/2014/main" id="{5BB1047F-4919-48C9-C22B-B09562DB976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2" name="Group 71">
                        <a:extLst>
                          <a:ext uri="{FF2B5EF4-FFF2-40B4-BE49-F238E27FC236}">
                            <a16:creationId xmlns:a16="http://schemas.microsoft.com/office/drawing/2014/main" id="{4DE2288B-3BB7-4A7B-8744-C8F1268A2A08}"/>
                          </a:ext>
                        </a:extLst>
                      </xdr:cNvPr>
                      <xdr:cNvGrpSpPr/>
                    </xdr:nvGrpSpPr>
                    <xdr:grpSpPr>
                      <a:xfrm>
                        <a:off x="365760" y="4411980"/>
                        <a:ext cx="2438400" cy="457200"/>
                        <a:chOff x="365760" y="3535680"/>
                        <a:chExt cx="1584960" cy="457200"/>
                      </a:xfrm>
                    </xdr:grpSpPr>
                    <xdr:sp macro="" textlink="">
                      <xdr:nvSpPr>
                        <xdr:cNvPr id="73" name="Rectangle 72">
                          <a:hlinkClick xmlns:r="http://schemas.openxmlformats.org/officeDocument/2006/relationships" r:id="rId3"/>
                          <a:extLst>
                            <a:ext uri="{FF2B5EF4-FFF2-40B4-BE49-F238E27FC236}">
                              <a16:creationId xmlns:a16="http://schemas.microsoft.com/office/drawing/2014/main" id="{A5FAF376-9DFA-DF4B-1B1F-31D3A9EED3B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4" name="Rectangle 73">
                          <a:extLst>
                            <a:ext uri="{FF2B5EF4-FFF2-40B4-BE49-F238E27FC236}">
                              <a16:creationId xmlns:a16="http://schemas.microsoft.com/office/drawing/2014/main" id="{6308F5BC-99E6-BF59-D0A7-0D32B04D5C3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68" name="Rectangle 67">
                      <a:extLst>
                        <a:ext uri="{FF2B5EF4-FFF2-40B4-BE49-F238E27FC236}">
                          <a16:creationId xmlns:a16="http://schemas.microsoft.com/office/drawing/2014/main" id="{8E50FB20-FEEA-5654-E6CF-29CC1AA5C43E}"/>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5" name="Group 14">
                    <a:extLst>
                      <a:ext uri="{FF2B5EF4-FFF2-40B4-BE49-F238E27FC236}">
                        <a16:creationId xmlns:a16="http://schemas.microsoft.com/office/drawing/2014/main" id="{6950E27E-14C0-71CE-6C45-555DE35720CF}"/>
                      </a:ext>
                    </a:extLst>
                  </xdr:cNvPr>
                  <xdr:cNvGrpSpPr/>
                </xdr:nvGrpSpPr>
                <xdr:grpSpPr>
                  <a:xfrm>
                    <a:off x="205740" y="3192780"/>
                    <a:ext cx="2743200" cy="1943100"/>
                    <a:chOff x="205740" y="3192780"/>
                    <a:chExt cx="2743200" cy="1943100"/>
                  </a:xfrm>
                </xdr:grpSpPr>
                <xdr:grpSp>
                  <xdr:nvGrpSpPr>
                    <xdr:cNvPr id="55" name="Group 54">
                      <a:extLst>
                        <a:ext uri="{FF2B5EF4-FFF2-40B4-BE49-F238E27FC236}">
                          <a16:creationId xmlns:a16="http://schemas.microsoft.com/office/drawing/2014/main" id="{27A2894D-0429-538D-8B46-990C086629B9}"/>
                        </a:ext>
                      </a:extLst>
                    </xdr:cNvPr>
                    <xdr:cNvGrpSpPr/>
                  </xdr:nvGrpSpPr>
                  <xdr:grpSpPr>
                    <a:xfrm>
                      <a:off x="205740" y="3192780"/>
                      <a:ext cx="2743200" cy="1714500"/>
                      <a:chOff x="60960" y="3154680"/>
                      <a:chExt cx="2743200" cy="1714500"/>
                    </a:xfrm>
                  </xdr:grpSpPr>
                  <xdr:sp macro="" textlink="">
                    <xdr:nvSpPr>
                      <xdr:cNvPr id="57" name="Rectangle 56">
                        <a:extLst>
                          <a:ext uri="{FF2B5EF4-FFF2-40B4-BE49-F238E27FC236}">
                            <a16:creationId xmlns:a16="http://schemas.microsoft.com/office/drawing/2014/main" id="{663B5E45-F5D5-DEA4-00CF-C4B392E79A70}"/>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58" name="Group 57">
                        <a:extLst>
                          <a:ext uri="{FF2B5EF4-FFF2-40B4-BE49-F238E27FC236}">
                            <a16:creationId xmlns:a16="http://schemas.microsoft.com/office/drawing/2014/main" id="{82FF88FA-4749-FA1F-D356-A20F4A5EAB4E}"/>
                          </a:ext>
                        </a:extLst>
                      </xdr:cNvPr>
                      <xdr:cNvGrpSpPr/>
                    </xdr:nvGrpSpPr>
                    <xdr:grpSpPr>
                      <a:xfrm>
                        <a:off x="365760" y="3535680"/>
                        <a:ext cx="2438400" cy="457200"/>
                        <a:chOff x="365760" y="3535680"/>
                        <a:chExt cx="1584960" cy="457200"/>
                      </a:xfrm>
                    </xdr:grpSpPr>
                    <xdr:sp macro="" textlink="">
                      <xdr:nvSpPr>
                        <xdr:cNvPr id="65" name="Rectangle 64">
                          <a:hlinkClick xmlns:r="http://schemas.openxmlformats.org/officeDocument/2006/relationships" r:id="rId4"/>
                          <a:extLst>
                            <a:ext uri="{FF2B5EF4-FFF2-40B4-BE49-F238E27FC236}">
                              <a16:creationId xmlns:a16="http://schemas.microsoft.com/office/drawing/2014/main" id="{FC20E183-42FA-6382-120E-35241490EA2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6" name="Rectangle 65">
                          <a:hlinkClick xmlns:r="http://schemas.openxmlformats.org/officeDocument/2006/relationships" r:id="rId5"/>
                          <a:extLst>
                            <a:ext uri="{FF2B5EF4-FFF2-40B4-BE49-F238E27FC236}">
                              <a16:creationId xmlns:a16="http://schemas.microsoft.com/office/drawing/2014/main" id="{5716540E-5481-68EF-594A-79F2675EE48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59" name="Group 58">
                        <a:extLst>
                          <a:ext uri="{FF2B5EF4-FFF2-40B4-BE49-F238E27FC236}">
                            <a16:creationId xmlns:a16="http://schemas.microsoft.com/office/drawing/2014/main" id="{88D775FB-ED2F-513A-EDE0-D58B9CD34D1F}"/>
                          </a:ext>
                        </a:extLst>
                      </xdr:cNvPr>
                      <xdr:cNvGrpSpPr/>
                    </xdr:nvGrpSpPr>
                    <xdr:grpSpPr>
                      <a:xfrm>
                        <a:off x="365760" y="3977640"/>
                        <a:ext cx="2438400" cy="457200"/>
                        <a:chOff x="365760" y="3535680"/>
                        <a:chExt cx="1584960" cy="457200"/>
                      </a:xfrm>
                    </xdr:grpSpPr>
                    <xdr:sp macro="" textlink="">
                      <xdr:nvSpPr>
                        <xdr:cNvPr id="63" name="Rectangle 62">
                          <a:hlinkClick xmlns:r="http://schemas.openxmlformats.org/officeDocument/2006/relationships" r:id="rId6"/>
                          <a:extLst>
                            <a:ext uri="{FF2B5EF4-FFF2-40B4-BE49-F238E27FC236}">
                              <a16:creationId xmlns:a16="http://schemas.microsoft.com/office/drawing/2014/main" id="{C76D4EBF-6CD6-C0B4-A64D-836271CEA55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4" name="Rectangle 63">
                          <a:hlinkClick xmlns:r="http://schemas.openxmlformats.org/officeDocument/2006/relationships" r:id="rId7"/>
                          <a:extLst>
                            <a:ext uri="{FF2B5EF4-FFF2-40B4-BE49-F238E27FC236}">
                              <a16:creationId xmlns:a16="http://schemas.microsoft.com/office/drawing/2014/main" id="{9102AF12-AA2A-B678-F72C-95E254AA56E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0" name="Group 59">
                        <a:extLst>
                          <a:ext uri="{FF2B5EF4-FFF2-40B4-BE49-F238E27FC236}">
                            <a16:creationId xmlns:a16="http://schemas.microsoft.com/office/drawing/2014/main" id="{D7E6D17F-65C0-C470-2039-0938E9A9DA2B}"/>
                          </a:ext>
                        </a:extLst>
                      </xdr:cNvPr>
                      <xdr:cNvGrpSpPr/>
                    </xdr:nvGrpSpPr>
                    <xdr:grpSpPr>
                      <a:xfrm>
                        <a:off x="365760" y="4411980"/>
                        <a:ext cx="2438400" cy="457200"/>
                        <a:chOff x="365760" y="3535680"/>
                        <a:chExt cx="1584960" cy="457200"/>
                      </a:xfrm>
                    </xdr:grpSpPr>
                    <xdr:sp macro="" textlink="">
                      <xdr:nvSpPr>
                        <xdr:cNvPr id="61" name="Rectangle 60">
                          <a:hlinkClick xmlns:r="http://schemas.openxmlformats.org/officeDocument/2006/relationships" r:id="rId8"/>
                          <a:extLst>
                            <a:ext uri="{FF2B5EF4-FFF2-40B4-BE49-F238E27FC236}">
                              <a16:creationId xmlns:a16="http://schemas.microsoft.com/office/drawing/2014/main" id="{8AB33B28-2C90-BDC8-03BC-7568EC1504C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2" name="Rectangle 61">
                          <a:hlinkClick xmlns:r="http://schemas.openxmlformats.org/officeDocument/2006/relationships" r:id="rId9"/>
                          <a:extLst>
                            <a:ext uri="{FF2B5EF4-FFF2-40B4-BE49-F238E27FC236}">
                              <a16:creationId xmlns:a16="http://schemas.microsoft.com/office/drawing/2014/main" id="{4E39D82B-FB70-073C-8F26-6C87A430442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6" name="Rectangle 55">
                      <a:hlinkClick xmlns:r="http://schemas.openxmlformats.org/officeDocument/2006/relationships" r:id="rId4"/>
                      <a:extLst>
                        <a:ext uri="{FF2B5EF4-FFF2-40B4-BE49-F238E27FC236}">
                          <a16:creationId xmlns:a16="http://schemas.microsoft.com/office/drawing/2014/main" id="{CC57203C-441F-269F-DC8A-F085A4B7F835}"/>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6" name="Group 15">
                    <a:extLst>
                      <a:ext uri="{FF2B5EF4-FFF2-40B4-BE49-F238E27FC236}">
                        <a16:creationId xmlns:a16="http://schemas.microsoft.com/office/drawing/2014/main" id="{46A676E2-374C-46C4-12A4-43C68518623E}"/>
                      </a:ext>
                    </a:extLst>
                  </xdr:cNvPr>
                  <xdr:cNvGrpSpPr/>
                </xdr:nvGrpSpPr>
                <xdr:grpSpPr>
                  <a:xfrm>
                    <a:off x="5692140" y="3208020"/>
                    <a:ext cx="2743200" cy="1935480"/>
                    <a:chOff x="2948940" y="3200400"/>
                    <a:chExt cx="2743200" cy="1935480"/>
                  </a:xfrm>
                </xdr:grpSpPr>
                <xdr:grpSp>
                  <xdr:nvGrpSpPr>
                    <xdr:cNvPr id="43" name="Group 42">
                      <a:extLst>
                        <a:ext uri="{FF2B5EF4-FFF2-40B4-BE49-F238E27FC236}">
                          <a16:creationId xmlns:a16="http://schemas.microsoft.com/office/drawing/2014/main" id="{A6AB9A72-5A43-E1EA-0438-7C830A9633BD}"/>
                        </a:ext>
                      </a:extLst>
                    </xdr:cNvPr>
                    <xdr:cNvGrpSpPr/>
                  </xdr:nvGrpSpPr>
                  <xdr:grpSpPr>
                    <a:xfrm>
                      <a:off x="2948940" y="3200400"/>
                      <a:ext cx="2743200" cy="1714500"/>
                      <a:chOff x="60960" y="3154680"/>
                      <a:chExt cx="2743200" cy="1714500"/>
                    </a:xfrm>
                  </xdr:grpSpPr>
                  <xdr:sp macro="" textlink="">
                    <xdr:nvSpPr>
                      <xdr:cNvPr id="45" name="Rectangle 44">
                        <a:extLst>
                          <a:ext uri="{FF2B5EF4-FFF2-40B4-BE49-F238E27FC236}">
                            <a16:creationId xmlns:a16="http://schemas.microsoft.com/office/drawing/2014/main" id="{AAC9BB44-22F4-5219-1B03-A41DD4435F51}"/>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6" name="Group 45">
                        <a:extLst>
                          <a:ext uri="{FF2B5EF4-FFF2-40B4-BE49-F238E27FC236}">
                            <a16:creationId xmlns:a16="http://schemas.microsoft.com/office/drawing/2014/main" id="{F2BB8457-DDB1-97C9-D6AF-C97F177146B9}"/>
                          </a:ext>
                        </a:extLst>
                      </xdr:cNvPr>
                      <xdr:cNvGrpSpPr/>
                    </xdr:nvGrpSpPr>
                    <xdr:grpSpPr>
                      <a:xfrm>
                        <a:off x="365760" y="3535680"/>
                        <a:ext cx="2438400" cy="457200"/>
                        <a:chOff x="365760" y="3535680"/>
                        <a:chExt cx="1584960" cy="457200"/>
                      </a:xfrm>
                    </xdr:grpSpPr>
                    <xdr:sp macro="" textlink="">
                      <xdr:nvSpPr>
                        <xdr:cNvPr id="53" name="Rectangle 52">
                          <a:hlinkClick xmlns:r="http://schemas.openxmlformats.org/officeDocument/2006/relationships" r:id="rId10"/>
                          <a:extLst>
                            <a:ext uri="{FF2B5EF4-FFF2-40B4-BE49-F238E27FC236}">
                              <a16:creationId xmlns:a16="http://schemas.microsoft.com/office/drawing/2014/main" id="{93C7F3FA-1B68-E832-1D2E-0790A747375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4" name="Rectangle 53">
                          <a:hlinkClick xmlns:r="http://schemas.openxmlformats.org/officeDocument/2006/relationships" r:id="rId11"/>
                          <a:extLst>
                            <a:ext uri="{FF2B5EF4-FFF2-40B4-BE49-F238E27FC236}">
                              <a16:creationId xmlns:a16="http://schemas.microsoft.com/office/drawing/2014/main" id="{7AF77C86-27C6-A2BF-9D0C-5C21614AB61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7" name="Group 46">
                        <a:extLst>
                          <a:ext uri="{FF2B5EF4-FFF2-40B4-BE49-F238E27FC236}">
                            <a16:creationId xmlns:a16="http://schemas.microsoft.com/office/drawing/2014/main" id="{7CE9A360-1F47-08B9-10CD-6AE300DF92C3}"/>
                          </a:ext>
                        </a:extLst>
                      </xdr:cNvPr>
                      <xdr:cNvGrpSpPr/>
                    </xdr:nvGrpSpPr>
                    <xdr:grpSpPr>
                      <a:xfrm>
                        <a:off x="365760" y="3977640"/>
                        <a:ext cx="2438400" cy="457200"/>
                        <a:chOff x="365760" y="3535680"/>
                        <a:chExt cx="1584960" cy="457200"/>
                      </a:xfrm>
                    </xdr:grpSpPr>
                    <xdr:sp macro="" textlink="">
                      <xdr:nvSpPr>
                        <xdr:cNvPr id="51" name="Rectangle 50">
                          <a:extLst>
                            <a:ext uri="{FF2B5EF4-FFF2-40B4-BE49-F238E27FC236}">
                              <a16:creationId xmlns:a16="http://schemas.microsoft.com/office/drawing/2014/main" id="{ED2C320F-4A3B-771C-6961-0E4893B6BF8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2" name="Rectangle 51">
                          <a:extLst>
                            <a:ext uri="{FF2B5EF4-FFF2-40B4-BE49-F238E27FC236}">
                              <a16:creationId xmlns:a16="http://schemas.microsoft.com/office/drawing/2014/main" id="{0F7DC0AB-C81C-9344-AED0-96870AD9A38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48" name="Group 47">
                        <a:extLst>
                          <a:ext uri="{FF2B5EF4-FFF2-40B4-BE49-F238E27FC236}">
                            <a16:creationId xmlns:a16="http://schemas.microsoft.com/office/drawing/2014/main" id="{D8FB7AC0-5901-C77E-598A-B425AE7AE837}"/>
                          </a:ext>
                        </a:extLst>
                      </xdr:cNvPr>
                      <xdr:cNvGrpSpPr/>
                    </xdr:nvGrpSpPr>
                    <xdr:grpSpPr>
                      <a:xfrm>
                        <a:off x="365760" y="4411980"/>
                        <a:ext cx="2438400" cy="457200"/>
                        <a:chOff x="365760" y="3535680"/>
                        <a:chExt cx="1584960" cy="457200"/>
                      </a:xfrm>
                    </xdr:grpSpPr>
                    <xdr:sp macro="" textlink="">
                      <xdr:nvSpPr>
                        <xdr:cNvPr id="49" name="Rectangle 48">
                          <a:extLst>
                            <a:ext uri="{FF2B5EF4-FFF2-40B4-BE49-F238E27FC236}">
                              <a16:creationId xmlns:a16="http://schemas.microsoft.com/office/drawing/2014/main" id="{861A6D6A-CC0E-E240-0C41-8BA27466D5F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0" name="Rectangle 49">
                          <a:extLst>
                            <a:ext uri="{FF2B5EF4-FFF2-40B4-BE49-F238E27FC236}">
                              <a16:creationId xmlns:a16="http://schemas.microsoft.com/office/drawing/2014/main" id="{6340E826-34EE-0140-AD35-95C232D28E7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4" name="Rectangle 43">
                      <a:extLst>
                        <a:ext uri="{FF2B5EF4-FFF2-40B4-BE49-F238E27FC236}">
                          <a16:creationId xmlns:a16="http://schemas.microsoft.com/office/drawing/2014/main" id="{C1B3A77B-1127-8620-2AF8-1458DFF854A1}"/>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7" name="Group 16">
                    <a:extLst>
                      <a:ext uri="{FF2B5EF4-FFF2-40B4-BE49-F238E27FC236}">
                        <a16:creationId xmlns:a16="http://schemas.microsoft.com/office/drawing/2014/main" id="{4492DE68-9F92-687C-95F2-197A5A73A45A}"/>
                      </a:ext>
                    </a:extLst>
                  </xdr:cNvPr>
                  <xdr:cNvGrpSpPr/>
                </xdr:nvGrpSpPr>
                <xdr:grpSpPr>
                  <a:xfrm>
                    <a:off x="8435340" y="3208020"/>
                    <a:ext cx="2743200" cy="1935480"/>
                    <a:chOff x="2948940" y="3200400"/>
                    <a:chExt cx="2743200" cy="1935480"/>
                  </a:xfrm>
                </xdr:grpSpPr>
                <xdr:grpSp>
                  <xdr:nvGrpSpPr>
                    <xdr:cNvPr id="31" name="Group 30">
                      <a:extLst>
                        <a:ext uri="{FF2B5EF4-FFF2-40B4-BE49-F238E27FC236}">
                          <a16:creationId xmlns:a16="http://schemas.microsoft.com/office/drawing/2014/main" id="{A489256A-4FF6-78EC-CB15-83B30EBBAF6D}"/>
                        </a:ext>
                      </a:extLst>
                    </xdr:cNvPr>
                    <xdr:cNvGrpSpPr/>
                  </xdr:nvGrpSpPr>
                  <xdr:grpSpPr>
                    <a:xfrm>
                      <a:off x="2948940" y="3200400"/>
                      <a:ext cx="2743200" cy="1714500"/>
                      <a:chOff x="60960" y="3154680"/>
                      <a:chExt cx="2743200" cy="1714500"/>
                    </a:xfrm>
                  </xdr:grpSpPr>
                  <xdr:sp macro="" textlink="">
                    <xdr:nvSpPr>
                      <xdr:cNvPr id="33" name="Rectangle 32">
                        <a:extLst>
                          <a:ext uri="{FF2B5EF4-FFF2-40B4-BE49-F238E27FC236}">
                            <a16:creationId xmlns:a16="http://schemas.microsoft.com/office/drawing/2014/main" id="{D7B89A7D-39AE-5996-8C49-E941BF6F118B}"/>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4" name="Group 33">
                        <a:extLst>
                          <a:ext uri="{FF2B5EF4-FFF2-40B4-BE49-F238E27FC236}">
                            <a16:creationId xmlns:a16="http://schemas.microsoft.com/office/drawing/2014/main" id="{9BAE3B7B-F677-9B06-8826-6F0D13F2AD20}"/>
                          </a:ext>
                        </a:extLst>
                      </xdr:cNvPr>
                      <xdr:cNvGrpSpPr/>
                    </xdr:nvGrpSpPr>
                    <xdr:grpSpPr>
                      <a:xfrm>
                        <a:off x="365760" y="3535680"/>
                        <a:ext cx="2438400" cy="457200"/>
                        <a:chOff x="365760" y="3535680"/>
                        <a:chExt cx="1584960" cy="457200"/>
                      </a:xfrm>
                    </xdr:grpSpPr>
                    <xdr:sp macro="" textlink="">
                      <xdr:nvSpPr>
                        <xdr:cNvPr id="41" name="Rectangle 40">
                          <a:extLst>
                            <a:ext uri="{FF2B5EF4-FFF2-40B4-BE49-F238E27FC236}">
                              <a16:creationId xmlns:a16="http://schemas.microsoft.com/office/drawing/2014/main" id="{D946A8EA-604E-F76D-CFCD-B1FA1E37F16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2" name="Rectangle 41">
                          <a:extLst>
                            <a:ext uri="{FF2B5EF4-FFF2-40B4-BE49-F238E27FC236}">
                              <a16:creationId xmlns:a16="http://schemas.microsoft.com/office/drawing/2014/main" id="{1215861F-65F3-C261-60FA-90F7D1B7BE0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5" name="Group 34">
                        <a:extLst>
                          <a:ext uri="{FF2B5EF4-FFF2-40B4-BE49-F238E27FC236}">
                            <a16:creationId xmlns:a16="http://schemas.microsoft.com/office/drawing/2014/main" id="{3CEBD183-8808-CA8E-3C0A-B3F64405CBDE}"/>
                          </a:ext>
                        </a:extLst>
                      </xdr:cNvPr>
                      <xdr:cNvGrpSpPr/>
                    </xdr:nvGrpSpPr>
                    <xdr:grpSpPr>
                      <a:xfrm>
                        <a:off x="365760" y="3977640"/>
                        <a:ext cx="2438400" cy="457200"/>
                        <a:chOff x="365760" y="3535680"/>
                        <a:chExt cx="1584960" cy="457200"/>
                      </a:xfrm>
                    </xdr:grpSpPr>
                    <xdr:sp macro="" textlink="">
                      <xdr:nvSpPr>
                        <xdr:cNvPr id="39" name="Rectangle 38">
                          <a:extLst>
                            <a:ext uri="{FF2B5EF4-FFF2-40B4-BE49-F238E27FC236}">
                              <a16:creationId xmlns:a16="http://schemas.microsoft.com/office/drawing/2014/main" id="{5A798870-5138-EB31-290A-E2B15BB87D7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0" name="Rectangle 39">
                          <a:extLst>
                            <a:ext uri="{FF2B5EF4-FFF2-40B4-BE49-F238E27FC236}">
                              <a16:creationId xmlns:a16="http://schemas.microsoft.com/office/drawing/2014/main" id="{1B2B722D-C5D9-CC54-BEDB-F47A82EF9EE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6" name="Group 35">
                        <a:extLst>
                          <a:ext uri="{FF2B5EF4-FFF2-40B4-BE49-F238E27FC236}">
                            <a16:creationId xmlns:a16="http://schemas.microsoft.com/office/drawing/2014/main" id="{9D236CF7-149A-FC8A-07BE-74053377E3B1}"/>
                          </a:ext>
                        </a:extLst>
                      </xdr:cNvPr>
                      <xdr:cNvGrpSpPr/>
                    </xdr:nvGrpSpPr>
                    <xdr:grpSpPr>
                      <a:xfrm>
                        <a:off x="365760" y="4411980"/>
                        <a:ext cx="2438400" cy="457200"/>
                        <a:chOff x="365760" y="3535680"/>
                        <a:chExt cx="1584960" cy="457200"/>
                      </a:xfrm>
                    </xdr:grpSpPr>
                    <xdr:sp macro="" textlink="">
                      <xdr:nvSpPr>
                        <xdr:cNvPr id="37" name="Rectangle 36">
                          <a:extLst>
                            <a:ext uri="{FF2B5EF4-FFF2-40B4-BE49-F238E27FC236}">
                              <a16:creationId xmlns:a16="http://schemas.microsoft.com/office/drawing/2014/main" id="{6F4FCA8C-A8D5-92C7-52B5-53C4516F3DF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38" name="Rectangle 37">
                          <a:extLst>
                            <a:ext uri="{FF2B5EF4-FFF2-40B4-BE49-F238E27FC236}">
                              <a16:creationId xmlns:a16="http://schemas.microsoft.com/office/drawing/2014/main" id="{20E78444-883F-DF57-D30E-97BBFA778BA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2" name="Rectangle 31">
                      <a:extLst>
                        <a:ext uri="{FF2B5EF4-FFF2-40B4-BE49-F238E27FC236}">
                          <a16:creationId xmlns:a16="http://schemas.microsoft.com/office/drawing/2014/main" id="{B50093ED-AB9A-1841-E657-6674E2E787C1}"/>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18" name="Group 17">
                    <a:extLst>
                      <a:ext uri="{FF2B5EF4-FFF2-40B4-BE49-F238E27FC236}">
                        <a16:creationId xmlns:a16="http://schemas.microsoft.com/office/drawing/2014/main" id="{22C4BD77-3B4B-2814-1B23-516A83D72645}"/>
                      </a:ext>
                    </a:extLst>
                  </xdr:cNvPr>
                  <xdr:cNvGrpSpPr/>
                </xdr:nvGrpSpPr>
                <xdr:grpSpPr>
                  <a:xfrm>
                    <a:off x="11170920" y="3208020"/>
                    <a:ext cx="2743200" cy="1935480"/>
                    <a:chOff x="2948940" y="3200400"/>
                    <a:chExt cx="2743200" cy="1935480"/>
                  </a:xfrm>
                </xdr:grpSpPr>
                <xdr:grpSp>
                  <xdr:nvGrpSpPr>
                    <xdr:cNvPr id="19" name="Group 18">
                      <a:extLst>
                        <a:ext uri="{FF2B5EF4-FFF2-40B4-BE49-F238E27FC236}">
                          <a16:creationId xmlns:a16="http://schemas.microsoft.com/office/drawing/2014/main" id="{CDC60CD4-DA52-C36F-8271-79E61D23FE50}"/>
                        </a:ext>
                      </a:extLst>
                    </xdr:cNvPr>
                    <xdr:cNvGrpSpPr/>
                  </xdr:nvGrpSpPr>
                  <xdr:grpSpPr>
                    <a:xfrm>
                      <a:off x="2948940" y="3200400"/>
                      <a:ext cx="2743200" cy="1714500"/>
                      <a:chOff x="60960" y="3154680"/>
                      <a:chExt cx="2743200" cy="1714500"/>
                    </a:xfrm>
                  </xdr:grpSpPr>
                  <xdr:sp macro="" textlink="">
                    <xdr:nvSpPr>
                      <xdr:cNvPr id="21" name="Rectangle 20">
                        <a:extLst>
                          <a:ext uri="{FF2B5EF4-FFF2-40B4-BE49-F238E27FC236}">
                            <a16:creationId xmlns:a16="http://schemas.microsoft.com/office/drawing/2014/main" id="{408B5B64-43C8-12CC-5108-D055FB1BA60C}"/>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2" name="Group 21">
                        <a:extLst>
                          <a:ext uri="{FF2B5EF4-FFF2-40B4-BE49-F238E27FC236}">
                            <a16:creationId xmlns:a16="http://schemas.microsoft.com/office/drawing/2014/main" id="{2C657E12-8117-3528-C2BE-60C350410460}"/>
                          </a:ext>
                        </a:extLst>
                      </xdr:cNvPr>
                      <xdr:cNvGrpSpPr/>
                    </xdr:nvGrpSpPr>
                    <xdr:grpSpPr>
                      <a:xfrm>
                        <a:off x="365760" y="3535680"/>
                        <a:ext cx="2438400" cy="457200"/>
                        <a:chOff x="365760" y="3535680"/>
                        <a:chExt cx="1584960" cy="457200"/>
                      </a:xfrm>
                    </xdr:grpSpPr>
                    <xdr:sp macro="" textlink="">
                      <xdr:nvSpPr>
                        <xdr:cNvPr id="29" name="Rectangle 28">
                          <a:hlinkClick xmlns:r="http://schemas.openxmlformats.org/officeDocument/2006/relationships" r:id="rId12"/>
                          <a:extLst>
                            <a:ext uri="{FF2B5EF4-FFF2-40B4-BE49-F238E27FC236}">
                              <a16:creationId xmlns:a16="http://schemas.microsoft.com/office/drawing/2014/main" id="{9628B6B2-4F9D-C7EA-5871-A250B1E8EAC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0" name="Rectangle 29">
                          <a:hlinkClick xmlns:r="http://schemas.openxmlformats.org/officeDocument/2006/relationships" r:id="rId13"/>
                          <a:extLst>
                            <a:ext uri="{FF2B5EF4-FFF2-40B4-BE49-F238E27FC236}">
                              <a16:creationId xmlns:a16="http://schemas.microsoft.com/office/drawing/2014/main" id="{C804241E-AAEB-9F8C-90A6-6C72F93998D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3" name="Group 22">
                        <a:extLst>
                          <a:ext uri="{FF2B5EF4-FFF2-40B4-BE49-F238E27FC236}">
                            <a16:creationId xmlns:a16="http://schemas.microsoft.com/office/drawing/2014/main" id="{62405D89-BC28-700D-8295-972CC5347397}"/>
                          </a:ext>
                        </a:extLst>
                      </xdr:cNvPr>
                      <xdr:cNvGrpSpPr/>
                    </xdr:nvGrpSpPr>
                    <xdr:grpSpPr>
                      <a:xfrm>
                        <a:off x="365760" y="3977640"/>
                        <a:ext cx="2438400" cy="457200"/>
                        <a:chOff x="365760" y="3535680"/>
                        <a:chExt cx="1584960" cy="457200"/>
                      </a:xfrm>
                    </xdr:grpSpPr>
                    <xdr:sp macro="" textlink="">
                      <xdr:nvSpPr>
                        <xdr:cNvPr id="27" name="Rectangle 26">
                          <a:hlinkClick xmlns:r="http://schemas.openxmlformats.org/officeDocument/2006/relationships" r:id="rId14"/>
                          <a:extLst>
                            <a:ext uri="{FF2B5EF4-FFF2-40B4-BE49-F238E27FC236}">
                              <a16:creationId xmlns:a16="http://schemas.microsoft.com/office/drawing/2014/main" id="{5246B3CE-3691-790D-3270-0D2CFFCCD56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28" name="Rectangle 27">
                          <a:extLst>
                            <a:ext uri="{FF2B5EF4-FFF2-40B4-BE49-F238E27FC236}">
                              <a16:creationId xmlns:a16="http://schemas.microsoft.com/office/drawing/2014/main" id="{F161833B-4DB4-DF26-806F-F17C751ABB2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4" name="Group 23">
                        <a:extLst>
                          <a:ext uri="{FF2B5EF4-FFF2-40B4-BE49-F238E27FC236}">
                            <a16:creationId xmlns:a16="http://schemas.microsoft.com/office/drawing/2014/main" id="{9F4B40BF-9E07-5AE4-0F87-A14BE0E8254F}"/>
                          </a:ext>
                        </a:extLst>
                      </xdr:cNvPr>
                      <xdr:cNvGrpSpPr/>
                    </xdr:nvGrpSpPr>
                    <xdr:grpSpPr>
                      <a:xfrm>
                        <a:off x="365760" y="4411980"/>
                        <a:ext cx="2438400" cy="457200"/>
                        <a:chOff x="365760" y="3535680"/>
                        <a:chExt cx="1584960" cy="457200"/>
                      </a:xfrm>
                    </xdr:grpSpPr>
                    <xdr:sp macro="" textlink="">
                      <xdr:nvSpPr>
                        <xdr:cNvPr id="25" name="Rectangle 24">
                          <a:extLst>
                            <a:ext uri="{FF2B5EF4-FFF2-40B4-BE49-F238E27FC236}">
                              <a16:creationId xmlns:a16="http://schemas.microsoft.com/office/drawing/2014/main" id="{612DCED1-5BD5-2D5A-0AEB-09C080F3A98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6" name="Rectangle 25">
                          <a:extLst>
                            <a:ext uri="{FF2B5EF4-FFF2-40B4-BE49-F238E27FC236}">
                              <a16:creationId xmlns:a16="http://schemas.microsoft.com/office/drawing/2014/main" id="{882BB80C-8FC5-4080-4FB4-576B904966B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0" name="Rectangle 19">
                      <a:extLst>
                        <a:ext uri="{FF2B5EF4-FFF2-40B4-BE49-F238E27FC236}">
                          <a16:creationId xmlns:a16="http://schemas.microsoft.com/office/drawing/2014/main" id="{60F4FA9A-7E89-68EC-4648-8916B579D690}"/>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3" name="Rectangle 12">
                  <a:extLst>
                    <a:ext uri="{FF2B5EF4-FFF2-40B4-BE49-F238E27FC236}">
                      <a16:creationId xmlns:a16="http://schemas.microsoft.com/office/drawing/2014/main" id="{E8E5C188-32B3-2100-9FE7-016CFC508383}"/>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7" name="Rectangle: Rounded Corners 6">
              <a:extLst>
                <a:ext uri="{FF2B5EF4-FFF2-40B4-BE49-F238E27FC236}">
                  <a16:creationId xmlns:a16="http://schemas.microsoft.com/office/drawing/2014/main" id="{5274221D-6073-99F9-82CA-F414FFD08C48}"/>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8" name="Rectangle: Rounded Corners 7">
              <a:extLst>
                <a:ext uri="{FF2B5EF4-FFF2-40B4-BE49-F238E27FC236}">
                  <a16:creationId xmlns:a16="http://schemas.microsoft.com/office/drawing/2014/main" id="{60D509A7-A207-AECC-825A-92D75FF54D01}"/>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9" name="Rectangle: Rounded Corners 8">
              <a:extLst>
                <a:ext uri="{FF2B5EF4-FFF2-40B4-BE49-F238E27FC236}">
                  <a16:creationId xmlns:a16="http://schemas.microsoft.com/office/drawing/2014/main" id="{46C82EFA-D946-446F-EB0B-805C2B7EBA81}"/>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4" name="Picture 3">
            <a:hlinkClick xmlns:r="http://schemas.openxmlformats.org/officeDocument/2006/relationships" r:id="rId15"/>
            <a:extLst>
              <a:ext uri="{FF2B5EF4-FFF2-40B4-BE49-F238E27FC236}">
                <a16:creationId xmlns:a16="http://schemas.microsoft.com/office/drawing/2014/main" id="{F94E4E88-5823-687A-C4A9-C6145A357479}"/>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xdr:from>
      <xdr:col>6</xdr:col>
      <xdr:colOff>196758</xdr:colOff>
      <xdr:row>21</xdr:row>
      <xdr:rowOff>411389</xdr:rowOff>
    </xdr:from>
    <xdr:to>
      <xdr:col>10</xdr:col>
      <xdr:colOff>598715</xdr:colOff>
      <xdr:row>29</xdr:row>
      <xdr:rowOff>217714</xdr:rowOff>
    </xdr:to>
    <xdr:graphicFrame macro="">
      <xdr:nvGraphicFramePr>
        <xdr:cNvPr id="3" name="Chart 2">
          <a:extLst>
            <a:ext uri="{FF2B5EF4-FFF2-40B4-BE49-F238E27FC236}">
              <a16:creationId xmlns:a16="http://schemas.microsoft.com/office/drawing/2014/main" id="{F355965F-C9CB-2C46-2EE4-5088552606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957943</xdr:colOff>
      <xdr:row>22</xdr:row>
      <xdr:rowOff>0</xdr:rowOff>
    </xdr:from>
    <xdr:to>
      <xdr:col>10</xdr:col>
      <xdr:colOff>1077686</xdr:colOff>
      <xdr:row>30</xdr:row>
      <xdr:rowOff>0</xdr:rowOff>
    </xdr:to>
    <xdr:sp macro="" textlink="">
      <xdr:nvSpPr>
        <xdr:cNvPr id="9" name="Rectangle 8">
          <a:extLst>
            <a:ext uri="{FF2B5EF4-FFF2-40B4-BE49-F238E27FC236}">
              <a16:creationId xmlns:a16="http://schemas.microsoft.com/office/drawing/2014/main" id="{A293CD94-922F-3807-C65E-CF336459251A}"/>
            </a:ext>
          </a:extLst>
        </xdr:cNvPr>
        <xdr:cNvSpPr/>
      </xdr:nvSpPr>
      <xdr:spPr>
        <a:xfrm>
          <a:off x="13607143" y="2296886"/>
          <a:ext cx="119743" cy="209005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0</xdr:colOff>
      <xdr:row>0</xdr:row>
      <xdr:rowOff>95250</xdr:rowOff>
    </xdr:from>
    <xdr:to>
      <xdr:col>20</xdr:col>
      <xdr:colOff>555638</xdr:colOff>
      <xdr:row>14</xdr:row>
      <xdr:rowOff>0</xdr:rowOff>
    </xdr:to>
    <xdr:grpSp>
      <xdr:nvGrpSpPr>
        <xdr:cNvPr id="10" name="Group 9">
          <a:extLst>
            <a:ext uri="{FF2B5EF4-FFF2-40B4-BE49-F238E27FC236}">
              <a16:creationId xmlns:a16="http://schemas.microsoft.com/office/drawing/2014/main" id="{08C99238-FEA4-4F9D-A13C-B1FD8412738C}"/>
            </a:ext>
          </a:extLst>
        </xdr:cNvPr>
        <xdr:cNvGrpSpPr/>
      </xdr:nvGrpSpPr>
      <xdr:grpSpPr>
        <a:xfrm>
          <a:off x="0" y="95250"/>
          <a:ext cx="20558138" cy="2575485"/>
          <a:chOff x="0" y="25400"/>
          <a:chExt cx="18808713" cy="2465554"/>
        </a:xfrm>
      </xdr:grpSpPr>
      <xdr:grpSp>
        <xdr:nvGrpSpPr>
          <xdr:cNvPr id="11" name="Group 10">
            <a:extLst>
              <a:ext uri="{FF2B5EF4-FFF2-40B4-BE49-F238E27FC236}">
                <a16:creationId xmlns:a16="http://schemas.microsoft.com/office/drawing/2014/main" id="{0C05CA60-23CA-0B07-D24A-1FB2F246C030}"/>
              </a:ext>
            </a:extLst>
          </xdr:cNvPr>
          <xdr:cNvGrpSpPr/>
        </xdr:nvGrpSpPr>
        <xdr:grpSpPr>
          <a:xfrm>
            <a:off x="0" y="268648"/>
            <a:ext cx="18808713" cy="2222306"/>
            <a:chOff x="-2" y="774501"/>
            <a:chExt cx="14238616" cy="2312445"/>
          </a:xfrm>
        </xdr:grpSpPr>
        <xdr:sp macro="" textlink="">
          <xdr:nvSpPr>
            <xdr:cNvPr id="13" name="Rectangle: Rounded Corners 12">
              <a:extLst>
                <a:ext uri="{FF2B5EF4-FFF2-40B4-BE49-F238E27FC236}">
                  <a16:creationId xmlns:a16="http://schemas.microsoft.com/office/drawing/2014/main" id="{89482B0C-22DC-131E-996E-185C41AE0009}"/>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14" name="Group 13">
              <a:extLst>
                <a:ext uri="{FF2B5EF4-FFF2-40B4-BE49-F238E27FC236}">
                  <a16:creationId xmlns:a16="http://schemas.microsoft.com/office/drawing/2014/main" id="{600C4856-173D-9104-773B-9CB621DDF7B6}"/>
                </a:ext>
              </a:extLst>
            </xdr:cNvPr>
            <xdr:cNvGrpSpPr/>
          </xdr:nvGrpSpPr>
          <xdr:grpSpPr>
            <a:xfrm>
              <a:off x="-2" y="977052"/>
              <a:ext cx="14238606" cy="2109894"/>
              <a:chOff x="15238" y="3223260"/>
              <a:chExt cx="14214009" cy="2072640"/>
            </a:xfrm>
          </xdr:grpSpPr>
          <xdr:sp macro="" textlink="">
            <xdr:nvSpPr>
              <xdr:cNvPr id="18" name="Rectangle 17">
                <a:extLst>
                  <a:ext uri="{FF2B5EF4-FFF2-40B4-BE49-F238E27FC236}">
                    <a16:creationId xmlns:a16="http://schemas.microsoft.com/office/drawing/2014/main" id="{89F26410-FBD9-6991-7B66-AC30FFC86222}"/>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9" name="Group 18">
                <a:extLst>
                  <a:ext uri="{FF2B5EF4-FFF2-40B4-BE49-F238E27FC236}">
                    <a16:creationId xmlns:a16="http://schemas.microsoft.com/office/drawing/2014/main" id="{2184C049-F91F-A960-348A-929BC0D2B0C8}"/>
                  </a:ext>
                </a:extLst>
              </xdr:cNvPr>
              <xdr:cNvGrpSpPr/>
            </xdr:nvGrpSpPr>
            <xdr:grpSpPr>
              <a:xfrm>
                <a:off x="121920" y="3291840"/>
                <a:ext cx="13708380" cy="1950720"/>
                <a:chOff x="205740" y="2491740"/>
                <a:chExt cx="13708380" cy="1950720"/>
              </a:xfrm>
            </xdr:grpSpPr>
            <xdr:grpSp>
              <xdr:nvGrpSpPr>
                <xdr:cNvPr id="20" name="Group 19">
                  <a:extLst>
                    <a:ext uri="{FF2B5EF4-FFF2-40B4-BE49-F238E27FC236}">
                      <a16:creationId xmlns:a16="http://schemas.microsoft.com/office/drawing/2014/main" id="{CCEB5CA7-1AD9-3601-F2C9-AE4524D7476B}"/>
                    </a:ext>
                  </a:extLst>
                </xdr:cNvPr>
                <xdr:cNvGrpSpPr/>
              </xdr:nvGrpSpPr>
              <xdr:grpSpPr>
                <a:xfrm>
                  <a:off x="205740" y="2491740"/>
                  <a:ext cx="13708380" cy="1950720"/>
                  <a:chOff x="205740" y="3192780"/>
                  <a:chExt cx="13708380" cy="1950720"/>
                </a:xfrm>
              </xdr:grpSpPr>
              <xdr:grpSp>
                <xdr:nvGrpSpPr>
                  <xdr:cNvPr id="22" name="Group 21">
                    <a:extLst>
                      <a:ext uri="{FF2B5EF4-FFF2-40B4-BE49-F238E27FC236}">
                        <a16:creationId xmlns:a16="http://schemas.microsoft.com/office/drawing/2014/main" id="{AEEE0458-6ACB-8C94-496A-1A510F4A6EE2}"/>
                      </a:ext>
                    </a:extLst>
                  </xdr:cNvPr>
                  <xdr:cNvGrpSpPr/>
                </xdr:nvGrpSpPr>
                <xdr:grpSpPr>
                  <a:xfrm>
                    <a:off x="2948940" y="3200400"/>
                    <a:ext cx="2743200" cy="1935480"/>
                    <a:chOff x="2948940" y="3200400"/>
                    <a:chExt cx="2743200" cy="1935480"/>
                  </a:xfrm>
                </xdr:grpSpPr>
                <xdr:grpSp>
                  <xdr:nvGrpSpPr>
                    <xdr:cNvPr id="75" name="Group 74">
                      <a:extLst>
                        <a:ext uri="{FF2B5EF4-FFF2-40B4-BE49-F238E27FC236}">
                          <a16:creationId xmlns:a16="http://schemas.microsoft.com/office/drawing/2014/main" id="{FC693BCC-AF2E-9A5B-8817-4E5A8C378A48}"/>
                        </a:ext>
                      </a:extLst>
                    </xdr:cNvPr>
                    <xdr:cNvGrpSpPr/>
                  </xdr:nvGrpSpPr>
                  <xdr:grpSpPr>
                    <a:xfrm>
                      <a:off x="2948940" y="3200400"/>
                      <a:ext cx="2743200" cy="1714500"/>
                      <a:chOff x="60960" y="3154680"/>
                      <a:chExt cx="2743200" cy="1714500"/>
                    </a:xfrm>
                  </xdr:grpSpPr>
                  <xdr:sp macro="" textlink="">
                    <xdr:nvSpPr>
                      <xdr:cNvPr id="77" name="Rectangle 76">
                        <a:extLst>
                          <a:ext uri="{FF2B5EF4-FFF2-40B4-BE49-F238E27FC236}">
                            <a16:creationId xmlns:a16="http://schemas.microsoft.com/office/drawing/2014/main" id="{363F39A0-FE9D-8E7F-3B4A-32D4D8D48BBD}"/>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8" name="Group 77">
                        <a:extLst>
                          <a:ext uri="{FF2B5EF4-FFF2-40B4-BE49-F238E27FC236}">
                            <a16:creationId xmlns:a16="http://schemas.microsoft.com/office/drawing/2014/main" id="{3904E1C6-8F82-7891-2FD7-2781CE4F667A}"/>
                          </a:ext>
                        </a:extLst>
                      </xdr:cNvPr>
                      <xdr:cNvGrpSpPr/>
                    </xdr:nvGrpSpPr>
                    <xdr:grpSpPr>
                      <a:xfrm>
                        <a:off x="365760" y="3535680"/>
                        <a:ext cx="2438400" cy="457200"/>
                        <a:chOff x="365760" y="3535680"/>
                        <a:chExt cx="1584960" cy="457200"/>
                      </a:xfrm>
                    </xdr:grpSpPr>
                    <xdr:sp macro="" textlink="">
                      <xdr:nvSpPr>
                        <xdr:cNvPr id="85" name="Rectangle 84">
                          <a:hlinkClick xmlns:r="http://schemas.openxmlformats.org/officeDocument/2006/relationships" r:id="rId2"/>
                          <a:extLst>
                            <a:ext uri="{FF2B5EF4-FFF2-40B4-BE49-F238E27FC236}">
                              <a16:creationId xmlns:a16="http://schemas.microsoft.com/office/drawing/2014/main" id="{FA3ED222-C7AC-CF3B-AFD3-840AA8E67BB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86" name="Rectangle 85">
                          <a:hlinkClick xmlns:r="http://schemas.openxmlformats.org/officeDocument/2006/relationships" r:id="rId2"/>
                          <a:extLst>
                            <a:ext uri="{FF2B5EF4-FFF2-40B4-BE49-F238E27FC236}">
                              <a16:creationId xmlns:a16="http://schemas.microsoft.com/office/drawing/2014/main" id="{2E378637-B20C-1704-8B4D-59FC60A9A38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9" name="Group 78">
                        <a:extLst>
                          <a:ext uri="{FF2B5EF4-FFF2-40B4-BE49-F238E27FC236}">
                            <a16:creationId xmlns:a16="http://schemas.microsoft.com/office/drawing/2014/main" id="{FE81E174-D995-D6D3-CDA7-9D25B7E1D455}"/>
                          </a:ext>
                        </a:extLst>
                      </xdr:cNvPr>
                      <xdr:cNvGrpSpPr/>
                    </xdr:nvGrpSpPr>
                    <xdr:grpSpPr>
                      <a:xfrm>
                        <a:off x="365760" y="3977640"/>
                        <a:ext cx="2438400" cy="457200"/>
                        <a:chOff x="365760" y="3535680"/>
                        <a:chExt cx="1584960" cy="457200"/>
                      </a:xfrm>
                    </xdr:grpSpPr>
                    <xdr:sp macro="" textlink="">
                      <xdr:nvSpPr>
                        <xdr:cNvPr id="83" name="Rectangle 82">
                          <a:extLst>
                            <a:ext uri="{FF2B5EF4-FFF2-40B4-BE49-F238E27FC236}">
                              <a16:creationId xmlns:a16="http://schemas.microsoft.com/office/drawing/2014/main" id="{0F2AF7AA-494A-8965-E03C-CB8D99110F8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84" name="Rectangle 83">
                          <a:hlinkClick xmlns:r="http://schemas.openxmlformats.org/officeDocument/2006/relationships" r:id="rId3"/>
                          <a:extLst>
                            <a:ext uri="{FF2B5EF4-FFF2-40B4-BE49-F238E27FC236}">
                              <a16:creationId xmlns:a16="http://schemas.microsoft.com/office/drawing/2014/main" id="{C7AFB1EA-CA2C-1E79-AD7E-B306139AFF3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80" name="Group 79">
                        <a:extLst>
                          <a:ext uri="{FF2B5EF4-FFF2-40B4-BE49-F238E27FC236}">
                            <a16:creationId xmlns:a16="http://schemas.microsoft.com/office/drawing/2014/main" id="{E25DA8BB-D08F-924F-CC1D-134CBBC109C1}"/>
                          </a:ext>
                        </a:extLst>
                      </xdr:cNvPr>
                      <xdr:cNvGrpSpPr/>
                    </xdr:nvGrpSpPr>
                    <xdr:grpSpPr>
                      <a:xfrm>
                        <a:off x="365760" y="4411980"/>
                        <a:ext cx="2438400" cy="457200"/>
                        <a:chOff x="365760" y="3535680"/>
                        <a:chExt cx="1584960" cy="457200"/>
                      </a:xfrm>
                    </xdr:grpSpPr>
                    <xdr:sp macro="" textlink="">
                      <xdr:nvSpPr>
                        <xdr:cNvPr id="81" name="Rectangle 80">
                          <a:hlinkClick xmlns:r="http://schemas.openxmlformats.org/officeDocument/2006/relationships" r:id="rId4"/>
                          <a:extLst>
                            <a:ext uri="{FF2B5EF4-FFF2-40B4-BE49-F238E27FC236}">
                              <a16:creationId xmlns:a16="http://schemas.microsoft.com/office/drawing/2014/main" id="{6AF062A6-85BD-24FE-F76E-4DE3F3B99D1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82" name="Rectangle 81">
                          <a:extLst>
                            <a:ext uri="{FF2B5EF4-FFF2-40B4-BE49-F238E27FC236}">
                              <a16:creationId xmlns:a16="http://schemas.microsoft.com/office/drawing/2014/main" id="{685365EC-F905-30FE-F82B-0C28ED42C51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76" name="Rectangle 75">
                      <a:extLst>
                        <a:ext uri="{FF2B5EF4-FFF2-40B4-BE49-F238E27FC236}">
                          <a16:creationId xmlns:a16="http://schemas.microsoft.com/office/drawing/2014/main" id="{C3E49EC5-A13F-1BEF-C916-C5F2D0565F33}"/>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23" name="Group 22">
                    <a:extLst>
                      <a:ext uri="{FF2B5EF4-FFF2-40B4-BE49-F238E27FC236}">
                        <a16:creationId xmlns:a16="http://schemas.microsoft.com/office/drawing/2014/main" id="{39F8188C-7C85-DDF3-FD9A-72B1EDB39068}"/>
                      </a:ext>
                    </a:extLst>
                  </xdr:cNvPr>
                  <xdr:cNvGrpSpPr/>
                </xdr:nvGrpSpPr>
                <xdr:grpSpPr>
                  <a:xfrm>
                    <a:off x="205740" y="3192780"/>
                    <a:ext cx="2743200" cy="1943100"/>
                    <a:chOff x="205740" y="3192780"/>
                    <a:chExt cx="2743200" cy="1943100"/>
                  </a:xfrm>
                </xdr:grpSpPr>
                <xdr:grpSp>
                  <xdr:nvGrpSpPr>
                    <xdr:cNvPr id="63" name="Group 62">
                      <a:extLst>
                        <a:ext uri="{FF2B5EF4-FFF2-40B4-BE49-F238E27FC236}">
                          <a16:creationId xmlns:a16="http://schemas.microsoft.com/office/drawing/2014/main" id="{7A0C804B-8EE1-3C0B-8C0C-20A81A126379}"/>
                        </a:ext>
                      </a:extLst>
                    </xdr:cNvPr>
                    <xdr:cNvGrpSpPr/>
                  </xdr:nvGrpSpPr>
                  <xdr:grpSpPr>
                    <a:xfrm>
                      <a:off x="205740" y="3192780"/>
                      <a:ext cx="2743200" cy="1714500"/>
                      <a:chOff x="60960" y="3154680"/>
                      <a:chExt cx="2743200" cy="1714500"/>
                    </a:xfrm>
                  </xdr:grpSpPr>
                  <xdr:sp macro="" textlink="">
                    <xdr:nvSpPr>
                      <xdr:cNvPr id="65" name="Rectangle 64">
                        <a:extLst>
                          <a:ext uri="{FF2B5EF4-FFF2-40B4-BE49-F238E27FC236}">
                            <a16:creationId xmlns:a16="http://schemas.microsoft.com/office/drawing/2014/main" id="{053CB166-9686-E61E-893F-86C3C61163C7}"/>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66" name="Group 65">
                        <a:extLst>
                          <a:ext uri="{FF2B5EF4-FFF2-40B4-BE49-F238E27FC236}">
                            <a16:creationId xmlns:a16="http://schemas.microsoft.com/office/drawing/2014/main" id="{C22DB0BE-602A-276E-63DD-4F43416C7F3B}"/>
                          </a:ext>
                        </a:extLst>
                      </xdr:cNvPr>
                      <xdr:cNvGrpSpPr/>
                    </xdr:nvGrpSpPr>
                    <xdr:grpSpPr>
                      <a:xfrm>
                        <a:off x="365760" y="3535680"/>
                        <a:ext cx="2438400" cy="457200"/>
                        <a:chOff x="365760" y="3535680"/>
                        <a:chExt cx="1584960" cy="457200"/>
                      </a:xfrm>
                    </xdr:grpSpPr>
                    <xdr:sp macro="" textlink="">
                      <xdr:nvSpPr>
                        <xdr:cNvPr id="73" name="Rectangle 72">
                          <a:hlinkClick xmlns:r="http://schemas.openxmlformats.org/officeDocument/2006/relationships" r:id="rId5"/>
                          <a:extLst>
                            <a:ext uri="{FF2B5EF4-FFF2-40B4-BE49-F238E27FC236}">
                              <a16:creationId xmlns:a16="http://schemas.microsoft.com/office/drawing/2014/main" id="{60B95AA8-F6B9-5A1A-C71B-EACE5A248A6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74" name="Rectangle 73">
                          <a:hlinkClick xmlns:r="http://schemas.openxmlformats.org/officeDocument/2006/relationships" r:id="rId6"/>
                          <a:extLst>
                            <a:ext uri="{FF2B5EF4-FFF2-40B4-BE49-F238E27FC236}">
                              <a16:creationId xmlns:a16="http://schemas.microsoft.com/office/drawing/2014/main" id="{B012B1D8-E944-3FB6-D48F-99BFF9AF1CB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67" name="Group 66">
                        <a:extLst>
                          <a:ext uri="{FF2B5EF4-FFF2-40B4-BE49-F238E27FC236}">
                            <a16:creationId xmlns:a16="http://schemas.microsoft.com/office/drawing/2014/main" id="{9397FEF0-192B-B1D7-6647-105047FF965E}"/>
                          </a:ext>
                        </a:extLst>
                      </xdr:cNvPr>
                      <xdr:cNvGrpSpPr/>
                    </xdr:nvGrpSpPr>
                    <xdr:grpSpPr>
                      <a:xfrm>
                        <a:off x="365760" y="3977640"/>
                        <a:ext cx="2438400" cy="457200"/>
                        <a:chOff x="365760" y="3535680"/>
                        <a:chExt cx="1584960" cy="457200"/>
                      </a:xfrm>
                    </xdr:grpSpPr>
                    <xdr:sp macro="" textlink="">
                      <xdr:nvSpPr>
                        <xdr:cNvPr id="71" name="Rectangle 70">
                          <a:hlinkClick xmlns:r="http://schemas.openxmlformats.org/officeDocument/2006/relationships" r:id="rId7"/>
                          <a:extLst>
                            <a:ext uri="{FF2B5EF4-FFF2-40B4-BE49-F238E27FC236}">
                              <a16:creationId xmlns:a16="http://schemas.microsoft.com/office/drawing/2014/main" id="{D1E5F0F8-DC26-BE12-B253-451FEC61B76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72" name="Rectangle 71">
                          <a:hlinkClick xmlns:r="http://schemas.openxmlformats.org/officeDocument/2006/relationships" r:id="rId8"/>
                          <a:extLst>
                            <a:ext uri="{FF2B5EF4-FFF2-40B4-BE49-F238E27FC236}">
                              <a16:creationId xmlns:a16="http://schemas.microsoft.com/office/drawing/2014/main" id="{ACAC99C9-27CC-41A3-0975-A36D4FF369F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8" name="Group 67">
                        <a:extLst>
                          <a:ext uri="{FF2B5EF4-FFF2-40B4-BE49-F238E27FC236}">
                            <a16:creationId xmlns:a16="http://schemas.microsoft.com/office/drawing/2014/main" id="{9B1C0CB3-B818-7F5B-C8C2-6F372CC794CF}"/>
                          </a:ext>
                        </a:extLst>
                      </xdr:cNvPr>
                      <xdr:cNvGrpSpPr/>
                    </xdr:nvGrpSpPr>
                    <xdr:grpSpPr>
                      <a:xfrm>
                        <a:off x="365760" y="4411980"/>
                        <a:ext cx="2438400" cy="457200"/>
                        <a:chOff x="365760" y="3535680"/>
                        <a:chExt cx="1584960" cy="457200"/>
                      </a:xfrm>
                    </xdr:grpSpPr>
                    <xdr:sp macro="" textlink="">
                      <xdr:nvSpPr>
                        <xdr:cNvPr id="69" name="Rectangle 68">
                          <a:hlinkClick xmlns:r="http://schemas.openxmlformats.org/officeDocument/2006/relationships" r:id="rId9"/>
                          <a:extLst>
                            <a:ext uri="{FF2B5EF4-FFF2-40B4-BE49-F238E27FC236}">
                              <a16:creationId xmlns:a16="http://schemas.microsoft.com/office/drawing/2014/main" id="{6700AF34-51B8-6945-546E-674A118CCA0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70" name="Rectangle 69">
                          <a:hlinkClick xmlns:r="http://schemas.openxmlformats.org/officeDocument/2006/relationships" r:id="rId10"/>
                          <a:extLst>
                            <a:ext uri="{FF2B5EF4-FFF2-40B4-BE49-F238E27FC236}">
                              <a16:creationId xmlns:a16="http://schemas.microsoft.com/office/drawing/2014/main" id="{66C2FEA2-E791-CC8F-5DF2-159A0CBAAC0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64" name="Rectangle 63">
                      <a:hlinkClick xmlns:r="http://schemas.openxmlformats.org/officeDocument/2006/relationships" r:id="rId5"/>
                      <a:extLst>
                        <a:ext uri="{FF2B5EF4-FFF2-40B4-BE49-F238E27FC236}">
                          <a16:creationId xmlns:a16="http://schemas.microsoft.com/office/drawing/2014/main" id="{40B3CF96-5E5F-6BEF-78A0-FE3EB7685038}"/>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24" name="Group 23">
                    <a:extLst>
                      <a:ext uri="{FF2B5EF4-FFF2-40B4-BE49-F238E27FC236}">
                        <a16:creationId xmlns:a16="http://schemas.microsoft.com/office/drawing/2014/main" id="{1C09AF91-E5DC-9178-1872-0C1B6188C44C}"/>
                      </a:ext>
                    </a:extLst>
                  </xdr:cNvPr>
                  <xdr:cNvGrpSpPr/>
                </xdr:nvGrpSpPr>
                <xdr:grpSpPr>
                  <a:xfrm>
                    <a:off x="5692140" y="3208020"/>
                    <a:ext cx="2743200" cy="1935480"/>
                    <a:chOff x="2948940" y="3200400"/>
                    <a:chExt cx="2743200" cy="1935480"/>
                  </a:xfrm>
                </xdr:grpSpPr>
                <xdr:grpSp>
                  <xdr:nvGrpSpPr>
                    <xdr:cNvPr id="51" name="Group 50">
                      <a:extLst>
                        <a:ext uri="{FF2B5EF4-FFF2-40B4-BE49-F238E27FC236}">
                          <a16:creationId xmlns:a16="http://schemas.microsoft.com/office/drawing/2014/main" id="{A59962BC-EC36-782B-4AC5-031B28A67076}"/>
                        </a:ext>
                      </a:extLst>
                    </xdr:cNvPr>
                    <xdr:cNvGrpSpPr/>
                  </xdr:nvGrpSpPr>
                  <xdr:grpSpPr>
                    <a:xfrm>
                      <a:off x="2948940" y="3200400"/>
                      <a:ext cx="2743200" cy="1714500"/>
                      <a:chOff x="60960" y="3154680"/>
                      <a:chExt cx="2743200" cy="1714500"/>
                    </a:xfrm>
                  </xdr:grpSpPr>
                  <xdr:sp macro="" textlink="">
                    <xdr:nvSpPr>
                      <xdr:cNvPr id="53" name="Rectangle 52">
                        <a:extLst>
                          <a:ext uri="{FF2B5EF4-FFF2-40B4-BE49-F238E27FC236}">
                            <a16:creationId xmlns:a16="http://schemas.microsoft.com/office/drawing/2014/main" id="{91471BD6-3403-4467-24FE-411A40425026}"/>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54" name="Group 53">
                        <a:extLst>
                          <a:ext uri="{FF2B5EF4-FFF2-40B4-BE49-F238E27FC236}">
                            <a16:creationId xmlns:a16="http://schemas.microsoft.com/office/drawing/2014/main" id="{A2955BCF-C7DA-4A8B-9F87-ECA49992E773}"/>
                          </a:ext>
                        </a:extLst>
                      </xdr:cNvPr>
                      <xdr:cNvGrpSpPr/>
                    </xdr:nvGrpSpPr>
                    <xdr:grpSpPr>
                      <a:xfrm>
                        <a:off x="365760" y="3535680"/>
                        <a:ext cx="2438400" cy="457200"/>
                        <a:chOff x="365760" y="3535680"/>
                        <a:chExt cx="1584960" cy="457200"/>
                      </a:xfrm>
                    </xdr:grpSpPr>
                    <xdr:sp macro="" textlink="">
                      <xdr:nvSpPr>
                        <xdr:cNvPr id="61" name="Rectangle 60">
                          <a:hlinkClick xmlns:r="http://schemas.openxmlformats.org/officeDocument/2006/relationships" r:id="rId11"/>
                          <a:extLst>
                            <a:ext uri="{FF2B5EF4-FFF2-40B4-BE49-F238E27FC236}">
                              <a16:creationId xmlns:a16="http://schemas.microsoft.com/office/drawing/2014/main" id="{5A7F5E67-6379-A74A-8B47-26A76C4F3AD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62" name="Rectangle 61">
                          <a:hlinkClick xmlns:r="http://schemas.openxmlformats.org/officeDocument/2006/relationships" r:id="rId12"/>
                          <a:extLst>
                            <a:ext uri="{FF2B5EF4-FFF2-40B4-BE49-F238E27FC236}">
                              <a16:creationId xmlns:a16="http://schemas.microsoft.com/office/drawing/2014/main" id="{68B648FF-9422-C118-1EEE-E28E4102313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55" name="Group 54">
                        <a:extLst>
                          <a:ext uri="{FF2B5EF4-FFF2-40B4-BE49-F238E27FC236}">
                            <a16:creationId xmlns:a16="http://schemas.microsoft.com/office/drawing/2014/main" id="{884612C5-F026-2140-4D7B-B1855433DE81}"/>
                          </a:ext>
                        </a:extLst>
                      </xdr:cNvPr>
                      <xdr:cNvGrpSpPr/>
                    </xdr:nvGrpSpPr>
                    <xdr:grpSpPr>
                      <a:xfrm>
                        <a:off x="365760" y="3977640"/>
                        <a:ext cx="2438400" cy="457200"/>
                        <a:chOff x="365760" y="3535680"/>
                        <a:chExt cx="1584960" cy="457200"/>
                      </a:xfrm>
                    </xdr:grpSpPr>
                    <xdr:sp macro="" textlink="">
                      <xdr:nvSpPr>
                        <xdr:cNvPr id="59" name="Rectangle 58">
                          <a:extLst>
                            <a:ext uri="{FF2B5EF4-FFF2-40B4-BE49-F238E27FC236}">
                              <a16:creationId xmlns:a16="http://schemas.microsoft.com/office/drawing/2014/main" id="{821048E1-B093-3747-05A7-7A352FDC214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60" name="Rectangle 59">
                          <a:extLst>
                            <a:ext uri="{FF2B5EF4-FFF2-40B4-BE49-F238E27FC236}">
                              <a16:creationId xmlns:a16="http://schemas.microsoft.com/office/drawing/2014/main" id="{BD73887F-E9F1-5247-1639-4966B63EE31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56" name="Group 55">
                        <a:extLst>
                          <a:ext uri="{FF2B5EF4-FFF2-40B4-BE49-F238E27FC236}">
                            <a16:creationId xmlns:a16="http://schemas.microsoft.com/office/drawing/2014/main" id="{B0094D04-15F4-5641-6E07-67093E8E5C6A}"/>
                          </a:ext>
                        </a:extLst>
                      </xdr:cNvPr>
                      <xdr:cNvGrpSpPr/>
                    </xdr:nvGrpSpPr>
                    <xdr:grpSpPr>
                      <a:xfrm>
                        <a:off x="365760" y="4411980"/>
                        <a:ext cx="2438400" cy="457200"/>
                        <a:chOff x="365760" y="3535680"/>
                        <a:chExt cx="1584960" cy="457200"/>
                      </a:xfrm>
                    </xdr:grpSpPr>
                    <xdr:sp macro="" textlink="">
                      <xdr:nvSpPr>
                        <xdr:cNvPr id="57" name="Rectangle 56">
                          <a:extLst>
                            <a:ext uri="{FF2B5EF4-FFF2-40B4-BE49-F238E27FC236}">
                              <a16:creationId xmlns:a16="http://schemas.microsoft.com/office/drawing/2014/main" id="{7B635DF5-354F-8A4D-FF22-A81572FD7BF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8" name="Rectangle 57">
                          <a:extLst>
                            <a:ext uri="{FF2B5EF4-FFF2-40B4-BE49-F238E27FC236}">
                              <a16:creationId xmlns:a16="http://schemas.microsoft.com/office/drawing/2014/main" id="{2B988FB3-22C9-06C8-297E-F6B00C87542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52" name="Rectangle 51">
                      <a:extLst>
                        <a:ext uri="{FF2B5EF4-FFF2-40B4-BE49-F238E27FC236}">
                          <a16:creationId xmlns:a16="http://schemas.microsoft.com/office/drawing/2014/main" id="{15A6E811-FA27-7232-892B-06927901BB71}"/>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25" name="Group 24">
                    <a:extLst>
                      <a:ext uri="{FF2B5EF4-FFF2-40B4-BE49-F238E27FC236}">
                        <a16:creationId xmlns:a16="http://schemas.microsoft.com/office/drawing/2014/main" id="{72472B64-3E0A-34D1-CF95-7912F3AF55EE}"/>
                      </a:ext>
                    </a:extLst>
                  </xdr:cNvPr>
                  <xdr:cNvGrpSpPr/>
                </xdr:nvGrpSpPr>
                <xdr:grpSpPr>
                  <a:xfrm>
                    <a:off x="8435340" y="3208020"/>
                    <a:ext cx="2743200" cy="1935480"/>
                    <a:chOff x="2948940" y="3200400"/>
                    <a:chExt cx="2743200" cy="1935480"/>
                  </a:xfrm>
                </xdr:grpSpPr>
                <xdr:grpSp>
                  <xdr:nvGrpSpPr>
                    <xdr:cNvPr id="39" name="Group 38">
                      <a:extLst>
                        <a:ext uri="{FF2B5EF4-FFF2-40B4-BE49-F238E27FC236}">
                          <a16:creationId xmlns:a16="http://schemas.microsoft.com/office/drawing/2014/main" id="{CB0CE36F-9EB9-D07C-CEAB-108184AE1433}"/>
                        </a:ext>
                      </a:extLst>
                    </xdr:cNvPr>
                    <xdr:cNvGrpSpPr/>
                  </xdr:nvGrpSpPr>
                  <xdr:grpSpPr>
                    <a:xfrm>
                      <a:off x="2948940" y="3200400"/>
                      <a:ext cx="2743200" cy="1714500"/>
                      <a:chOff x="60960" y="3154680"/>
                      <a:chExt cx="2743200" cy="1714500"/>
                    </a:xfrm>
                  </xdr:grpSpPr>
                  <xdr:sp macro="" textlink="">
                    <xdr:nvSpPr>
                      <xdr:cNvPr id="41" name="Rectangle 40">
                        <a:extLst>
                          <a:ext uri="{FF2B5EF4-FFF2-40B4-BE49-F238E27FC236}">
                            <a16:creationId xmlns:a16="http://schemas.microsoft.com/office/drawing/2014/main" id="{93AC22D8-7769-CD80-C216-E8490384EAE3}"/>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42" name="Group 41">
                        <a:extLst>
                          <a:ext uri="{FF2B5EF4-FFF2-40B4-BE49-F238E27FC236}">
                            <a16:creationId xmlns:a16="http://schemas.microsoft.com/office/drawing/2014/main" id="{D05045C4-E2A8-3DB5-FAAC-3D878AF7EDB8}"/>
                          </a:ext>
                        </a:extLst>
                      </xdr:cNvPr>
                      <xdr:cNvGrpSpPr/>
                    </xdr:nvGrpSpPr>
                    <xdr:grpSpPr>
                      <a:xfrm>
                        <a:off x="365760" y="3535680"/>
                        <a:ext cx="2438400" cy="457200"/>
                        <a:chOff x="365760" y="3535680"/>
                        <a:chExt cx="1584960" cy="457200"/>
                      </a:xfrm>
                    </xdr:grpSpPr>
                    <xdr:sp macro="" textlink="">
                      <xdr:nvSpPr>
                        <xdr:cNvPr id="49" name="Rectangle 48">
                          <a:extLst>
                            <a:ext uri="{FF2B5EF4-FFF2-40B4-BE49-F238E27FC236}">
                              <a16:creationId xmlns:a16="http://schemas.microsoft.com/office/drawing/2014/main" id="{E8A11973-A4CE-262D-60A8-374F35F3B85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50" name="Rectangle 49">
                          <a:extLst>
                            <a:ext uri="{FF2B5EF4-FFF2-40B4-BE49-F238E27FC236}">
                              <a16:creationId xmlns:a16="http://schemas.microsoft.com/office/drawing/2014/main" id="{D6C54D9C-1566-0034-5C78-6F6DA8C6F8B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43" name="Group 42">
                        <a:extLst>
                          <a:ext uri="{FF2B5EF4-FFF2-40B4-BE49-F238E27FC236}">
                            <a16:creationId xmlns:a16="http://schemas.microsoft.com/office/drawing/2014/main" id="{88A47938-4681-5F3D-C243-2326D8C4F91B}"/>
                          </a:ext>
                        </a:extLst>
                      </xdr:cNvPr>
                      <xdr:cNvGrpSpPr/>
                    </xdr:nvGrpSpPr>
                    <xdr:grpSpPr>
                      <a:xfrm>
                        <a:off x="365760" y="3977640"/>
                        <a:ext cx="2438400" cy="457200"/>
                        <a:chOff x="365760" y="3535680"/>
                        <a:chExt cx="1584960" cy="457200"/>
                      </a:xfrm>
                    </xdr:grpSpPr>
                    <xdr:sp macro="" textlink="">
                      <xdr:nvSpPr>
                        <xdr:cNvPr id="47" name="Rectangle 46">
                          <a:extLst>
                            <a:ext uri="{FF2B5EF4-FFF2-40B4-BE49-F238E27FC236}">
                              <a16:creationId xmlns:a16="http://schemas.microsoft.com/office/drawing/2014/main" id="{AB8903EC-BD9C-2643-47D5-089317D7C77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8" name="Rectangle 47">
                          <a:extLst>
                            <a:ext uri="{FF2B5EF4-FFF2-40B4-BE49-F238E27FC236}">
                              <a16:creationId xmlns:a16="http://schemas.microsoft.com/office/drawing/2014/main" id="{8ADEE0BE-781E-80E4-9801-CD5E8265EB2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44" name="Group 43">
                        <a:extLst>
                          <a:ext uri="{FF2B5EF4-FFF2-40B4-BE49-F238E27FC236}">
                            <a16:creationId xmlns:a16="http://schemas.microsoft.com/office/drawing/2014/main" id="{8D3AA1A2-ACD0-FB10-B96B-05E02CBEA9CA}"/>
                          </a:ext>
                        </a:extLst>
                      </xdr:cNvPr>
                      <xdr:cNvGrpSpPr/>
                    </xdr:nvGrpSpPr>
                    <xdr:grpSpPr>
                      <a:xfrm>
                        <a:off x="365760" y="4411980"/>
                        <a:ext cx="2438400" cy="457200"/>
                        <a:chOff x="365760" y="3535680"/>
                        <a:chExt cx="1584960" cy="457200"/>
                      </a:xfrm>
                    </xdr:grpSpPr>
                    <xdr:sp macro="" textlink="">
                      <xdr:nvSpPr>
                        <xdr:cNvPr id="45" name="Rectangle 44">
                          <a:extLst>
                            <a:ext uri="{FF2B5EF4-FFF2-40B4-BE49-F238E27FC236}">
                              <a16:creationId xmlns:a16="http://schemas.microsoft.com/office/drawing/2014/main" id="{235B1531-A515-55F9-4FE8-CDFA1C6D41E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46" name="Rectangle 45">
                          <a:extLst>
                            <a:ext uri="{FF2B5EF4-FFF2-40B4-BE49-F238E27FC236}">
                              <a16:creationId xmlns:a16="http://schemas.microsoft.com/office/drawing/2014/main" id="{D0DE9822-78B7-AECF-498F-047E43F8DDA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40" name="Rectangle 39">
                      <a:extLst>
                        <a:ext uri="{FF2B5EF4-FFF2-40B4-BE49-F238E27FC236}">
                          <a16:creationId xmlns:a16="http://schemas.microsoft.com/office/drawing/2014/main" id="{4A69E74B-2757-C5C0-13C2-73F210675CAD}"/>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26" name="Group 25">
                    <a:extLst>
                      <a:ext uri="{FF2B5EF4-FFF2-40B4-BE49-F238E27FC236}">
                        <a16:creationId xmlns:a16="http://schemas.microsoft.com/office/drawing/2014/main" id="{35DF6A41-2F38-9E7B-6867-3FC2B9ABBCF0}"/>
                      </a:ext>
                    </a:extLst>
                  </xdr:cNvPr>
                  <xdr:cNvGrpSpPr/>
                </xdr:nvGrpSpPr>
                <xdr:grpSpPr>
                  <a:xfrm>
                    <a:off x="11170920" y="3208020"/>
                    <a:ext cx="2743200" cy="1935480"/>
                    <a:chOff x="2948940" y="3200400"/>
                    <a:chExt cx="2743200" cy="1935480"/>
                  </a:xfrm>
                </xdr:grpSpPr>
                <xdr:grpSp>
                  <xdr:nvGrpSpPr>
                    <xdr:cNvPr id="27" name="Group 26">
                      <a:extLst>
                        <a:ext uri="{FF2B5EF4-FFF2-40B4-BE49-F238E27FC236}">
                          <a16:creationId xmlns:a16="http://schemas.microsoft.com/office/drawing/2014/main" id="{56AA6D31-9E89-7746-A347-1E207F27070C}"/>
                        </a:ext>
                      </a:extLst>
                    </xdr:cNvPr>
                    <xdr:cNvGrpSpPr/>
                  </xdr:nvGrpSpPr>
                  <xdr:grpSpPr>
                    <a:xfrm>
                      <a:off x="2948940" y="3200400"/>
                      <a:ext cx="2743200" cy="1714500"/>
                      <a:chOff x="60960" y="3154680"/>
                      <a:chExt cx="2743200" cy="1714500"/>
                    </a:xfrm>
                  </xdr:grpSpPr>
                  <xdr:sp macro="" textlink="">
                    <xdr:nvSpPr>
                      <xdr:cNvPr id="29" name="Rectangle 28">
                        <a:extLst>
                          <a:ext uri="{FF2B5EF4-FFF2-40B4-BE49-F238E27FC236}">
                            <a16:creationId xmlns:a16="http://schemas.microsoft.com/office/drawing/2014/main" id="{71798160-A9BA-AE6B-4B2A-71C850027D5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30" name="Group 29">
                        <a:extLst>
                          <a:ext uri="{FF2B5EF4-FFF2-40B4-BE49-F238E27FC236}">
                            <a16:creationId xmlns:a16="http://schemas.microsoft.com/office/drawing/2014/main" id="{B8D7D37A-6D1A-85D3-E951-74BE1F1526F0}"/>
                          </a:ext>
                        </a:extLst>
                      </xdr:cNvPr>
                      <xdr:cNvGrpSpPr/>
                    </xdr:nvGrpSpPr>
                    <xdr:grpSpPr>
                      <a:xfrm>
                        <a:off x="365760" y="3535680"/>
                        <a:ext cx="2438400" cy="457200"/>
                        <a:chOff x="365760" y="3535680"/>
                        <a:chExt cx="1584960" cy="457200"/>
                      </a:xfrm>
                    </xdr:grpSpPr>
                    <xdr:sp macro="" textlink="">
                      <xdr:nvSpPr>
                        <xdr:cNvPr id="37" name="Rectangle 36">
                          <a:hlinkClick xmlns:r="http://schemas.openxmlformats.org/officeDocument/2006/relationships" r:id="rId13"/>
                          <a:extLst>
                            <a:ext uri="{FF2B5EF4-FFF2-40B4-BE49-F238E27FC236}">
                              <a16:creationId xmlns:a16="http://schemas.microsoft.com/office/drawing/2014/main" id="{74201B44-0B77-7EC1-813A-1A27AAB0C44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8" name="Rectangle 37">
                          <a:hlinkClick xmlns:r="http://schemas.openxmlformats.org/officeDocument/2006/relationships" r:id="rId14"/>
                          <a:extLst>
                            <a:ext uri="{FF2B5EF4-FFF2-40B4-BE49-F238E27FC236}">
                              <a16:creationId xmlns:a16="http://schemas.microsoft.com/office/drawing/2014/main" id="{A430F7C8-F1C2-78CA-8CC3-49773200B69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31" name="Group 30">
                        <a:extLst>
                          <a:ext uri="{FF2B5EF4-FFF2-40B4-BE49-F238E27FC236}">
                            <a16:creationId xmlns:a16="http://schemas.microsoft.com/office/drawing/2014/main" id="{B26A02A5-8728-6670-00B0-D9C4D78460D8}"/>
                          </a:ext>
                        </a:extLst>
                      </xdr:cNvPr>
                      <xdr:cNvGrpSpPr/>
                    </xdr:nvGrpSpPr>
                    <xdr:grpSpPr>
                      <a:xfrm>
                        <a:off x="365760" y="3977640"/>
                        <a:ext cx="2438400" cy="457200"/>
                        <a:chOff x="365760" y="3535680"/>
                        <a:chExt cx="1584960" cy="457200"/>
                      </a:xfrm>
                    </xdr:grpSpPr>
                    <xdr:sp macro="" textlink="">
                      <xdr:nvSpPr>
                        <xdr:cNvPr id="35" name="Rectangle 34">
                          <a:hlinkClick xmlns:r="http://schemas.openxmlformats.org/officeDocument/2006/relationships" r:id="rId15"/>
                          <a:extLst>
                            <a:ext uri="{FF2B5EF4-FFF2-40B4-BE49-F238E27FC236}">
                              <a16:creationId xmlns:a16="http://schemas.microsoft.com/office/drawing/2014/main" id="{26FAC5B0-7A87-D9C0-3351-E366C784A0F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36" name="Rectangle 35">
                          <a:extLst>
                            <a:ext uri="{FF2B5EF4-FFF2-40B4-BE49-F238E27FC236}">
                              <a16:creationId xmlns:a16="http://schemas.microsoft.com/office/drawing/2014/main" id="{2957D72F-3179-9DB5-B050-FA6397C2197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32" name="Group 31">
                        <a:extLst>
                          <a:ext uri="{FF2B5EF4-FFF2-40B4-BE49-F238E27FC236}">
                            <a16:creationId xmlns:a16="http://schemas.microsoft.com/office/drawing/2014/main" id="{B88378C1-9B7D-9F40-530C-0DC354DE84EF}"/>
                          </a:ext>
                        </a:extLst>
                      </xdr:cNvPr>
                      <xdr:cNvGrpSpPr/>
                    </xdr:nvGrpSpPr>
                    <xdr:grpSpPr>
                      <a:xfrm>
                        <a:off x="365760" y="4411980"/>
                        <a:ext cx="2438400" cy="457200"/>
                        <a:chOff x="365760" y="3535680"/>
                        <a:chExt cx="1584960" cy="457200"/>
                      </a:xfrm>
                    </xdr:grpSpPr>
                    <xdr:sp macro="" textlink="">
                      <xdr:nvSpPr>
                        <xdr:cNvPr id="33" name="Rectangle 32">
                          <a:extLst>
                            <a:ext uri="{FF2B5EF4-FFF2-40B4-BE49-F238E27FC236}">
                              <a16:creationId xmlns:a16="http://schemas.microsoft.com/office/drawing/2014/main" id="{B3D45EC6-0E5C-F3AA-85C6-FD0148B7C90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34" name="Rectangle 33">
                          <a:extLst>
                            <a:ext uri="{FF2B5EF4-FFF2-40B4-BE49-F238E27FC236}">
                              <a16:creationId xmlns:a16="http://schemas.microsoft.com/office/drawing/2014/main" id="{5FA2498A-D3A8-D9F7-09A2-D8CD102AF78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8" name="Rectangle 27">
                      <a:extLst>
                        <a:ext uri="{FF2B5EF4-FFF2-40B4-BE49-F238E27FC236}">
                          <a16:creationId xmlns:a16="http://schemas.microsoft.com/office/drawing/2014/main" id="{7BDE9F90-A40E-5409-986B-FA5FD6251EF7}"/>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1" name="Rectangle 20">
                  <a:extLst>
                    <a:ext uri="{FF2B5EF4-FFF2-40B4-BE49-F238E27FC236}">
                      <a16:creationId xmlns:a16="http://schemas.microsoft.com/office/drawing/2014/main" id="{CA941C40-EF47-F4FB-AC38-E8B8DADB061C}"/>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15" name="Rectangle: Rounded Corners 14">
              <a:extLst>
                <a:ext uri="{FF2B5EF4-FFF2-40B4-BE49-F238E27FC236}">
                  <a16:creationId xmlns:a16="http://schemas.microsoft.com/office/drawing/2014/main" id="{6C691269-645B-5937-9F42-DD23FE12E2E2}"/>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16" name="Rectangle: Rounded Corners 15">
              <a:extLst>
                <a:ext uri="{FF2B5EF4-FFF2-40B4-BE49-F238E27FC236}">
                  <a16:creationId xmlns:a16="http://schemas.microsoft.com/office/drawing/2014/main" id="{EEE155B7-59F7-0522-C747-63F7992196F1}"/>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17" name="Rectangle: Rounded Corners 16">
              <a:extLst>
                <a:ext uri="{FF2B5EF4-FFF2-40B4-BE49-F238E27FC236}">
                  <a16:creationId xmlns:a16="http://schemas.microsoft.com/office/drawing/2014/main" id="{8DE52E92-D40B-A29C-C9FD-19E060153024}"/>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12" name="Picture 11">
            <a:hlinkClick xmlns:r="http://schemas.openxmlformats.org/officeDocument/2006/relationships" r:id="rId16"/>
            <a:extLst>
              <a:ext uri="{FF2B5EF4-FFF2-40B4-BE49-F238E27FC236}">
                <a16:creationId xmlns:a16="http://schemas.microsoft.com/office/drawing/2014/main" id="{7D5F2155-F392-5DAD-13B5-616C0CE7E524}"/>
              </a:ext>
            </a:extLst>
          </xdr:cNvPr>
          <xdr:cNvPicPr>
            <a:picLocks noChangeAspect="1"/>
          </xdr:cNvPicPr>
        </xdr:nvPicPr>
        <xdr:blipFill rotWithShape="1">
          <a:blip xmlns:r="http://schemas.openxmlformats.org/officeDocument/2006/relationships" r:embed="rId17">
            <a:extLst>
              <a:ext uri="{BEBA8EAE-BF5A-486C-A8C5-ECC9F3942E4B}">
                <a14:imgProps xmlns:a14="http://schemas.microsoft.com/office/drawing/2010/main">
                  <a14:imgLayer r:embed="rId18">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25.xml><?xml version="1.0" encoding="utf-8"?>
<xdr:wsDr xmlns:xdr="http://schemas.openxmlformats.org/drawingml/2006/spreadsheetDrawing" xmlns:a="http://schemas.openxmlformats.org/drawingml/2006/main">
  <xdr:twoCellAnchor>
    <xdr:from>
      <xdr:col>6</xdr:col>
      <xdr:colOff>466725</xdr:colOff>
      <xdr:row>22</xdr:row>
      <xdr:rowOff>376238</xdr:rowOff>
    </xdr:from>
    <xdr:to>
      <xdr:col>10</xdr:col>
      <xdr:colOff>657225</xdr:colOff>
      <xdr:row>33</xdr:row>
      <xdr:rowOff>214313</xdr:rowOff>
    </xdr:to>
    <xdr:graphicFrame macro="">
      <xdr:nvGraphicFramePr>
        <xdr:cNvPr id="3" name="Chart 2">
          <a:extLst>
            <a:ext uri="{FF2B5EF4-FFF2-40B4-BE49-F238E27FC236}">
              <a16:creationId xmlns:a16="http://schemas.microsoft.com/office/drawing/2014/main" id="{59A10B00-E9F2-51EA-301F-FA7F0654B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885825</xdr:colOff>
      <xdr:row>22</xdr:row>
      <xdr:rowOff>376238</xdr:rowOff>
    </xdr:from>
    <xdr:to>
      <xdr:col>14</xdr:col>
      <xdr:colOff>1076325</xdr:colOff>
      <xdr:row>33</xdr:row>
      <xdr:rowOff>214313</xdr:rowOff>
    </xdr:to>
    <xdr:graphicFrame macro="">
      <xdr:nvGraphicFramePr>
        <xdr:cNvPr id="4" name="Chart 3">
          <a:extLst>
            <a:ext uri="{FF2B5EF4-FFF2-40B4-BE49-F238E27FC236}">
              <a16:creationId xmlns:a16="http://schemas.microsoft.com/office/drawing/2014/main" id="{70AABDA0-D536-ED9D-8619-CBC219357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95250</xdr:rowOff>
    </xdr:from>
    <xdr:to>
      <xdr:col>25</xdr:col>
      <xdr:colOff>146063</xdr:colOff>
      <xdr:row>14</xdr:row>
      <xdr:rowOff>0</xdr:rowOff>
    </xdr:to>
    <xdr:grpSp>
      <xdr:nvGrpSpPr>
        <xdr:cNvPr id="2" name="Group 1">
          <a:extLst>
            <a:ext uri="{FF2B5EF4-FFF2-40B4-BE49-F238E27FC236}">
              <a16:creationId xmlns:a16="http://schemas.microsoft.com/office/drawing/2014/main" id="{8C58E816-EB81-4FAA-A7AF-766247A7E81E}"/>
            </a:ext>
          </a:extLst>
        </xdr:cNvPr>
        <xdr:cNvGrpSpPr/>
      </xdr:nvGrpSpPr>
      <xdr:grpSpPr>
        <a:xfrm>
          <a:off x="0" y="95250"/>
          <a:ext cx="23545813" cy="2635250"/>
          <a:chOff x="0" y="25400"/>
          <a:chExt cx="18808713" cy="2465554"/>
        </a:xfrm>
      </xdr:grpSpPr>
      <xdr:grpSp>
        <xdr:nvGrpSpPr>
          <xdr:cNvPr id="5" name="Group 4">
            <a:extLst>
              <a:ext uri="{FF2B5EF4-FFF2-40B4-BE49-F238E27FC236}">
                <a16:creationId xmlns:a16="http://schemas.microsoft.com/office/drawing/2014/main" id="{E3C38A92-2CFD-5179-B95A-B5C4D9D11576}"/>
              </a:ext>
            </a:extLst>
          </xdr:cNvPr>
          <xdr:cNvGrpSpPr/>
        </xdr:nvGrpSpPr>
        <xdr:grpSpPr>
          <a:xfrm>
            <a:off x="0" y="268648"/>
            <a:ext cx="18808713" cy="2222306"/>
            <a:chOff x="-2" y="774501"/>
            <a:chExt cx="14238616" cy="2312445"/>
          </a:xfrm>
        </xdr:grpSpPr>
        <xdr:sp macro="" textlink="">
          <xdr:nvSpPr>
            <xdr:cNvPr id="7" name="Rectangle: Rounded Corners 6">
              <a:extLst>
                <a:ext uri="{FF2B5EF4-FFF2-40B4-BE49-F238E27FC236}">
                  <a16:creationId xmlns:a16="http://schemas.microsoft.com/office/drawing/2014/main" id="{4C722733-FAEC-014C-8F44-7E90BC851F68}"/>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8" name="Group 7">
              <a:extLst>
                <a:ext uri="{FF2B5EF4-FFF2-40B4-BE49-F238E27FC236}">
                  <a16:creationId xmlns:a16="http://schemas.microsoft.com/office/drawing/2014/main" id="{D350021F-70F4-63B9-B7A7-9FF548FAF0D7}"/>
                </a:ext>
              </a:extLst>
            </xdr:cNvPr>
            <xdr:cNvGrpSpPr/>
          </xdr:nvGrpSpPr>
          <xdr:grpSpPr>
            <a:xfrm>
              <a:off x="-2" y="977052"/>
              <a:ext cx="14238606" cy="2109894"/>
              <a:chOff x="15238" y="3223260"/>
              <a:chExt cx="14214009" cy="2072640"/>
            </a:xfrm>
          </xdr:grpSpPr>
          <xdr:sp macro="" textlink="">
            <xdr:nvSpPr>
              <xdr:cNvPr id="12" name="Rectangle 11">
                <a:extLst>
                  <a:ext uri="{FF2B5EF4-FFF2-40B4-BE49-F238E27FC236}">
                    <a16:creationId xmlns:a16="http://schemas.microsoft.com/office/drawing/2014/main" id="{7DD19B8E-C6D8-155E-693A-0DDFA15BFFA1}"/>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3" name="Group 12">
                <a:extLst>
                  <a:ext uri="{FF2B5EF4-FFF2-40B4-BE49-F238E27FC236}">
                    <a16:creationId xmlns:a16="http://schemas.microsoft.com/office/drawing/2014/main" id="{62938AF1-4502-EE39-7ACB-2752B74BFD47}"/>
                  </a:ext>
                </a:extLst>
              </xdr:cNvPr>
              <xdr:cNvGrpSpPr/>
            </xdr:nvGrpSpPr>
            <xdr:grpSpPr>
              <a:xfrm>
                <a:off x="121920" y="3291840"/>
                <a:ext cx="13708380" cy="1950720"/>
                <a:chOff x="205740" y="2491740"/>
                <a:chExt cx="13708380" cy="1950720"/>
              </a:xfrm>
            </xdr:grpSpPr>
            <xdr:grpSp>
              <xdr:nvGrpSpPr>
                <xdr:cNvPr id="14" name="Group 13">
                  <a:extLst>
                    <a:ext uri="{FF2B5EF4-FFF2-40B4-BE49-F238E27FC236}">
                      <a16:creationId xmlns:a16="http://schemas.microsoft.com/office/drawing/2014/main" id="{B6784CE3-440D-173A-6F74-27E8A1637F60}"/>
                    </a:ext>
                  </a:extLst>
                </xdr:cNvPr>
                <xdr:cNvGrpSpPr/>
              </xdr:nvGrpSpPr>
              <xdr:grpSpPr>
                <a:xfrm>
                  <a:off x="205740" y="2491740"/>
                  <a:ext cx="13708380" cy="1950720"/>
                  <a:chOff x="205740" y="3192780"/>
                  <a:chExt cx="13708380" cy="1950720"/>
                </a:xfrm>
              </xdr:grpSpPr>
              <xdr:grpSp>
                <xdr:nvGrpSpPr>
                  <xdr:cNvPr id="16" name="Group 15">
                    <a:extLst>
                      <a:ext uri="{FF2B5EF4-FFF2-40B4-BE49-F238E27FC236}">
                        <a16:creationId xmlns:a16="http://schemas.microsoft.com/office/drawing/2014/main" id="{B7A99144-9943-5CF6-9BA6-58B748EBCA8D}"/>
                      </a:ext>
                    </a:extLst>
                  </xdr:cNvPr>
                  <xdr:cNvGrpSpPr/>
                </xdr:nvGrpSpPr>
                <xdr:grpSpPr>
                  <a:xfrm>
                    <a:off x="2948940" y="3200400"/>
                    <a:ext cx="2743200" cy="1935480"/>
                    <a:chOff x="2948940" y="3200400"/>
                    <a:chExt cx="2743200" cy="1935480"/>
                  </a:xfrm>
                </xdr:grpSpPr>
                <xdr:grpSp>
                  <xdr:nvGrpSpPr>
                    <xdr:cNvPr id="69" name="Group 68">
                      <a:extLst>
                        <a:ext uri="{FF2B5EF4-FFF2-40B4-BE49-F238E27FC236}">
                          <a16:creationId xmlns:a16="http://schemas.microsoft.com/office/drawing/2014/main" id="{4DAC5DAC-CAAD-C3D0-83A8-7965369E12CA}"/>
                        </a:ext>
                      </a:extLst>
                    </xdr:cNvPr>
                    <xdr:cNvGrpSpPr/>
                  </xdr:nvGrpSpPr>
                  <xdr:grpSpPr>
                    <a:xfrm>
                      <a:off x="2948940" y="3200400"/>
                      <a:ext cx="2743200" cy="1714500"/>
                      <a:chOff x="60960" y="3154680"/>
                      <a:chExt cx="2743200" cy="1714500"/>
                    </a:xfrm>
                  </xdr:grpSpPr>
                  <xdr:sp macro="" textlink="">
                    <xdr:nvSpPr>
                      <xdr:cNvPr id="71" name="Rectangle 70">
                        <a:extLst>
                          <a:ext uri="{FF2B5EF4-FFF2-40B4-BE49-F238E27FC236}">
                            <a16:creationId xmlns:a16="http://schemas.microsoft.com/office/drawing/2014/main" id="{BB89873B-B1C4-17FB-318C-1B928ED36410}"/>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2" name="Group 71">
                        <a:extLst>
                          <a:ext uri="{FF2B5EF4-FFF2-40B4-BE49-F238E27FC236}">
                            <a16:creationId xmlns:a16="http://schemas.microsoft.com/office/drawing/2014/main" id="{67011871-97EA-9D2E-FADA-457F44AC8304}"/>
                          </a:ext>
                        </a:extLst>
                      </xdr:cNvPr>
                      <xdr:cNvGrpSpPr/>
                    </xdr:nvGrpSpPr>
                    <xdr:grpSpPr>
                      <a:xfrm>
                        <a:off x="365760" y="3535680"/>
                        <a:ext cx="2438400" cy="457200"/>
                        <a:chOff x="365760" y="3535680"/>
                        <a:chExt cx="1584960" cy="457200"/>
                      </a:xfrm>
                    </xdr:grpSpPr>
                    <xdr:sp macro="" textlink="">
                      <xdr:nvSpPr>
                        <xdr:cNvPr id="79" name="Rectangle 78">
                          <a:hlinkClick xmlns:r="http://schemas.openxmlformats.org/officeDocument/2006/relationships" r:id="rId3"/>
                          <a:extLst>
                            <a:ext uri="{FF2B5EF4-FFF2-40B4-BE49-F238E27FC236}">
                              <a16:creationId xmlns:a16="http://schemas.microsoft.com/office/drawing/2014/main" id="{FB981667-A6E9-1EFA-C8D8-E70E2C6EA0C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80" name="Rectangle 79">
                          <a:hlinkClick xmlns:r="http://schemas.openxmlformats.org/officeDocument/2006/relationships" r:id="rId3"/>
                          <a:extLst>
                            <a:ext uri="{FF2B5EF4-FFF2-40B4-BE49-F238E27FC236}">
                              <a16:creationId xmlns:a16="http://schemas.microsoft.com/office/drawing/2014/main" id="{D94DCFFA-DE45-D69D-541A-B49AB9EAF05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3" name="Group 72">
                        <a:extLst>
                          <a:ext uri="{FF2B5EF4-FFF2-40B4-BE49-F238E27FC236}">
                            <a16:creationId xmlns:a16="http://schemas.microsoft.com/office/drawing/2014/main" id="{69AD216C-E39C-E3B5-4DD9-23012E4B263A}"/>
                          </a:ext>
                        </a:extLst>
                      </xdr:cNvPr>
                      <xdr:cNvGrpSpPr/>
                    </xdr:nvGrpSpPr>
                    <xdr:grpSpPr>
                      <a:xfrm>
                        <a:off x="365760" y="3977640"/>
                        <a:ext cx="2438400" cy="457200"/>
                        <a:chOff x="365760" y="3535680"/>
                        <a:chExt cx="1584960" cy="457200"/>
                      </a:xfrm>
                    </xdr:grpSpPr>
                    <xdr:sp macro="" textlink="">
                      <xdr:nvSpPr>
                        <xdr:cNvPr id="77" name="Rectangle 76">
                          <a:extLst>
                            <a:ext uri="{FF2B5EF4-FFF2-40B4-BE49-F238E27FC236}">
                              <a16:creationId xmlns:a16="http://schemas.microsoft.com/office/drawing/2014/main" id="{23875762-71D8-7BC9-F802-9E05110B70E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8" name="Rectangle 77">
                          <a:hlinkClick xmlns:r="http://schemas.openxmlformats.org/officeDocument/2006/relationships" r:id="rId4"/>
                          <a:extLst>
                            <a:ext uri="{FF2B5EF4-FFF2-40B4-BE49-F238E27FC236}">
                              <a16:creationId xmlns:a16="http://schemas.microsoft.com/office/drawing/2014/main" id="{41740E02-AD27-8FF5-0AEF-ACB6D3C6218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4" name="Group 73">
                        <a:extLst>
                          <a:ext uri="{FF2B5EF4-FFF2-40B4-BE49-F238E27FC236}">
                            <a16:creationId xmlns:a16="http://schemas.microsoft.com/office/drawing/2014/main" id="{D813277D-CB57-5A3A-D40F-2906EA410A62}"/>
                          </a:ext>
                        </a:extLst>
                      </xdr:cNvPr>
                      <xdr:cNvGrpSpPr/>
                    </xdr:nvGrpSpPr>
                    <xdr:grpSpPr>
                      <a:xfrm>
                        <a:off x="365760" y="4411980"/>
                        <a:ext cx="2438400" cy="457200"/>
                        <a:chOff x="365760" y="3535680"/>
                        <a:chExt cx="1584960" cy="457200"/>
                      </a:xfrm>
                    </xdr:grpSpPr>
                    <xdr:sp macro="" textlink="">
                      <xdr:nvSpPr>
                        <xdr:cNvPr id="75" name="Rectangle 74">
                          <a:hlinkClick xmlns:r="http://schemas.openxmlformats.org/officeDocument/2006/relationships" r:id="rId5"/>
                          <a:extLst>
                            <a:ext uri="{FF2B5EF4-FFF2-40B4-BE49-F238E27FC236}">
                              <a16:creationId xmlns:a16="http://schemas.microsoft.com/office/drawing/2014/main" id="{8DFC2F2F-FC63-A4F0-C201-46B25F52C42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6" name="Rectangle 75">
                          <a:extLst>
                            <a:ext uri="{FF2B5EF4-FFF2-40B4-BE49-F238E27FC236}">
                              <a16:creationId xmlns:a16="http://schemas.microsoft.com/office/drawing/2014/main" id="{171AA58E-5703-8864-6052-87E43724FB4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70" name="Rectangle 69">
                      <a:extLst>
                        <a:ext uri="{FF2B5EF4-FFF2-40B4-BE49-F238E27FC236}">
                          <a16:creationId xmlns:a16="http://schemas.microsoft.com/office/drawing/2014/main" id="{582BCD33-AC44-30D1-8C4F-501D239AAE12}"/>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7" name="Group 16">
                    <a:extLst>
                      <a:ext uri="{FF2B5EF4-FFF2-40B4-BE49-F238E27FC236}">
                        <a16:creationId xmlns:a16="http://schemas.microsoft.com/office/drawing/2014/main" id="{55D1D290-07DE-907D-8CC7-C5CFA9940496}"/>
                      </a:ext>
                    </a:extLst>
                  </xdr:cNvPr>
                  <xdr:cNvGrpSpPr/>
                </xdr:nvGrpSpPr>
                <xdr:grpSpPr>
                  <a:xfrm>
                    <a:off x="205740" y="3192780"/>
                    <a:ext cx="2743200" cy="1943100"/>
                    <a:chOff x="205740" y="3192780"/>
                    <a:chExt cx="2743200" cy="1943100"/>
                  </a:xfrm>
                </xdr:grpSpPr>
                <xdr:grpSp>
                  <xdr:nvGrpSpPr>
                    <xdr:cNvPr id="57" name="Group 56">
                      <a:extLst>
                        <a:ext uri="{FF2B5EF4-FFF2-40B4-BE49-F238E27FC236}">
                          <a16:creationId xmlns:a16="http://schemas.microsoft.com/office/drawing/2014/main" id="{8926F718-6F4D-9D4D-EB61-398114CE0828}"/>
                        </a:ext>
                      </a:extLst>
                    </xdr:cNvPr>
                    <xdr:cNvGrpSpPr/>
                  </xdr:nvGrpSpPr>
                  <xdr:grpSpPr>
                    <a:xfrm>
                      <a:off x="205740" y="3192780"/>
                      <a:ext cx="2743200" cy="1714500"/>
                      <a:chOff x="60960" y="3154680"/>
                      <a:chExt cx="2743200" cy="1714500"/>
                    </a:xfrm>
                  </xdr:grpSpPr>
                  <xdr:sp macro="" textlink="">
                    <xdr:nvSpPr>
                      <xdr:cNvPr id="59" name="Rectangle 58">
                        <a:extLst>
                          <a:ext uri="{FF2B5EF4-FFF2-40B4-BE49-F238E27FC236}">
                            <a16:creationId xmlns:a16="http://schemas.microsoft.com/office/drawing/2014/main" id="{53E6CB2C-1154-9F2E-1AFF-7FB354F6D248}"/>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60" name="Group 59">
                        <a:extLst>
                          <a:ext uri="{FF2B5EF4-FFF2-40B4-BE49-F238E27FC236}">
                            <a16:creationId xmlns:a16="http://schemas.microsoft.com/office/drawing/2014/main" id="{D4923436-EDFF-C70A-E684-749AB9CB5A26}"/>
                          </a:ext>
                        </a:extLst>
                      </xdr:cNvPr>
                      <xdr:cNvGrpSpPr/>
                    </xdr:nvGrpSpPr>
                    <xdr:grpSpPr>
                      <a:xfrm>
                        <a:off x="365760" y="3535680"/>
                        <a:ext cx="2438400" cy="457200"/>
                        <a:chOff x="365760" y="3535680"/>
                        <a:chExt cx="1584960" cy="457200"/>
                      </a:xfrm>
                    </xdr:grpSpPr>
                    <xdr:sp macro="" textlink="">
                      <xdr:nvSpPr>
                        <xdr:cNvPr id="67" name="Rectangle 66">
                          <a:hlinkClick xmlns:r="http://schemas.openxmlformats.org/officeDocument/2006/relationships" r:id="rId6"/>
                          <a:extLst>
                            <a:ext uri="{FF2B5EF4-FFF2-40B4-BE49-F238E27FC236}">
                              <a16:creationId xmlns:a16="http://schemas.microsoft.com/office/drawing/2014/main" id="{4EAF9E6D-4E49-8135-CC42-A3D53938010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8" name="Rectangle 67">
                          <a:hlinkClick xmlns:r="http://schemas.openxmlformats.org/officeDocument/2006/relationships" r:id="rId7"/>
                          <a:extLst>
                            <a:ext uri="{FF2B5EF4-FFF2-40B4-BE49-F238E27FC236}">
                              <a16:creationId xmlns:a16="http://schemas.microsoft.com/office/drawing/2014/main" id="{83019601-D1AF-C9ED-4E45-072181D48F2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61" name="Group 60">
                        <a:extLst>
                          <a:ext uri="{FF2B5EF4-FFF2-40B4-BE49-F238E27FC236}">
                            <a16:creationId xmlns:a16="http://schemas.microsoft.com/office/drawing/2014/main" id="{98881701-7876-E6BF-028F-C97697DB8533}"/>
                          </a:ext>
                        </a:extLst>
                      </xdr:cNvPr>
                      <xdr:cNvGrpSpPr/>
                    </xdr:nvGrpSpPr>
                    <xdr:grpSpPr>
                      <a:xfrm>
                        <a:off x="365760" y="3977640"/>
                        <a:ext cx="2438400" cy="457200"/>
                        <a:chOff x="365760" y="3535680"/>
                        <a:chExt cx="1584960" cy="457200"/>
                      </a:xfrm>
                    </xdr:grpSpPr>
                    <xdr:sp macro="" textlink="">
                      <xdr:nvSpPr>
                        <xdr:cNvPr id="65" name="Rectangle 64">
                          <a:hlinkClick xmlns:r="http://schemas.openxmlformats.org/officeDocument/2006/relationships" r:id="rId8"/>
                          <a:extLst>
                            <a:ext uri="{FF2B5EF4-FFF2-40B4-BE49-F238E27FC236}">
                              <a16:creationId xmlns:a16="http://schemas.microsoft.com/office/drawing/2014/main" id="{E8E6413F-A888-E7BE-9C1B-27E047C5EE1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6" name="Rectangle 65">
                          <a:hlinkClick xmlns:r="http://schemas.openxmlformats.org/officeDocument/2006/relationships" r:id="rId9"/>
                          <a:extLst>
                            <a:ext uri="{FF2B5EF4-FFF2-40B4-BE49-F238E27FC236}">
                              <a16:creationId xmlns:a16="http://schemas.microsoft.com/office/drawing/2014/main" id="{0642EA8D-4E8D-2BC3-5C93-74A9B997B04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2" name="Group 61">
                        <a:extLst>
                          <a:ext uri="{FF2B5EF4-FFF2-40B4-BE49-F238E27FC236}">
                            <a16:creationId xmlns:a16="http://schemas.microsoft.com/office/drawing/2014/main" id="{AC324DF3-2F20-3F23-21B3-A24DC4AB5F58}"/>
                          </a:ext>
                        </a:extLst>
                      </xdr:cNvPr>
                      <xdr:cNvGrpSpPr/>
                    </xdr:nvGrpSpPr>
                    <xdr:grpSpPr>
                      <a:xfrm>
                        <a:off x="365760" y="4411980"/>
                        <a:ext cx="2438400" cy="457200"/>
                        <a:chOff x="365760" y="3535680"/>
                        <a:chExt cx="1584960" cy="457200"/>
                      </a:xfrm>
                    </xdr:grpSpPr>
                    <xdr:sp macro="" textlink="">
                      <xdr:nvSpPr>
                        <xdr:cNvPr id="63" name="Rectangle 62">
                          <a:hlinkClick xmlns:r="http://schemas.openxmlformats.org/officeDocument/2006/relationships" r:id="rId10"/>
                          <a:extLst>
                            <a:ext uri="{FF2B5EF4-FFF2-40B4-BE49-F238E27FC236}">
                              <a16:creationId xmlns:a16="http://schemas.microsoft.com/office/drawing/2014/main" id="{00C073D5-C18B-79B0-0967-2971870DAC3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4" name="Rectangle 63">
                          <a:hlinkClick xmlns:r="http://schemas.openxmlformats.org/officeDocument/2006/relationships" r:id="rId11"/>
                          <a:extLst>
                            <a:ext uri="{FF2B5EF4-FFF2-40B4-BE49-F238E27FC236}">
                              <a16:creationId xmlns:a16="http://schemas.microsoft.com/office/drawing/2014/main" id="{05439025-E645-540F-D70C-1CD2B9BFF67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8" name="Rectangle 57">
                      <a:hlinkClick xmlns:r="http://schemas.openxmlformats.org/officeDocument/2006/relationships" r:id="rId6"/>
                      <a:extLst>
                        <a:ext uri="{FF2B5EF4-FFF2-40B4-BE49-F238E27FC236}">
                          <a16:creationId xmlns:a16="http://schemas.microsoft.com/office/drawing/2014/main" id="{F514BDAF-251B-E900-2EDD-D0054AF571CB}"/>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8" name="Group 17">
                    <a:extLst>
                      <a:ext uri="{FF2B5EF4-FFF2-40B4-BE49-F238E27FC236}">
                        <a16:creationId xmlns:a16="http://schemas.microsoft.com/office/drawing/2014/main" id="{E47D86AB-7198-0E5A-44F9-BB1E99BFBF12}"/>
                      </a:ext>
                    </a:extLst>
                  </xdr:cNvPr>
                  <xdr:cNvGrpSpPr/>
                </xdr:nvGrpSpPr>
                <xdr:grpSpPr>
                  <a:xfrm>
                    <a:off x="5692140" y="3208020"/>
                    <a:ext cx="2743200" cy="1935480"/>
                    <a:chOff x="2948940" y="3200400"/>
                    <a:chExt cx="2743200" cy="1935480"/>
                  </a:xfrm>
                </xdr:grpSpPr>
                <xdr:grpSp>
                  <xdr:nvGrpSpPr>
                    <xdr:cNvPr id="45" name="Group 44">
                      <a:extLst>
                        <a:ext uri="{FF2B5EF4-FFF2-40B4-BE49-F238E27FC236}">
                          <a16:creationId xmlns:a16="http://schemas.microsoft.com/office/drawing/2014/main" id="{EECD64B5-E99F-C0F2-92C4-816CEC9E5D65}"/>
                        </a:ext>
                      </a:extLst>
                    </xdr:cNvPr>
                    <xdr:cNvGrpSpPr/>
                  </xdr:nvGrpSpPr>
                  <xdr:grpSpPr>
                    <a:xfrm>
                      <a:off x="2948940" y="3200400"/>
                      <a:ext cx="2743200" cy="1714500"/>
                      <a:chOff x="60960" y="3154680"/>
                      <a:chExt cx="2743200" cy="1714500"/>
                    </a:xfrm>
                  </xdr:grpSpPr>
                  <xdr:sp macro="" textlink="">
                    <xdr:nvSpPr>
                      <xdr:cNvPr id="47" name="Rectangle 46">
                        <a:extLst>
                          <a:ext uri="{FF2B5EF4-FFF2-40B4-BE49-F238E27FC236}">
                            <a16:creationId xmlns:a16="http://schemas.microsoft.com/office/drawing/2014/main" id="{BDD05640-5097-D8D3-BB75-A75C982B7C90}"/>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8" name="Group 47">
                        <a:extLst>
                          <a:ext uri="{FF2B5EF4-FFF2-40B4-BE49-F238E27FC236}">
                            <a16:creationId xmlns:a16="http://schemas.microsoft.com/office/drawing/2014/main" id="{FF1F055D-D11F-2C6F-C524-B9ED61C914BE}"/>
                          </a:ext>
                        </a:extLst>
                      </xdr:cNvPr>
                      <xdr:cNvGrpSpPr/>
                    </xdr:nvGrpSpPr>
                    <xdr:grpSpPr>
                      <a:xfrm>
                        <a:off x="365760" y="3535680"/>
                        <a:ext cx="2438400" cy="457200"/>
                        <a:chOff x="365760" y="3535680"/>
                        <a:chExt cx="1584960" cy="457200"/>
                      </a:xfrm>
                    </xdr:grpSpPr>
                    <xdr:sp macro="" textlink="">
                      <xdr:nvSpPr>
                        <xdr:cNvPr id="55" name="Rectangle 54">
                          <a:hlinkClick xmlns:r="http://schemas.openxmlformats.org/officeDocument/2006/relationships" r:id="rId12"/>
                          <a:extLst>
                            <a:ext uri="{FF2B5EF4-FFF2-40B4-BE49-F238E27FC236}">
                              <a16:creationId xmlns:a16="http://schemas.microsoft.com/office/drawing/2014/main" id="{F90C89B8-F24B-AF13-9A1D-226208496BB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6" name="Rectangle 55">
                          <a:hlinkClick xmlns:r="http://schemas.openxmlformats.org/officeDocument/2006/relationships" r:id="rId13"/>
                          <a:extLst>
                            <a:ext uri="{FF2B5EF4-FFF2-40B4-BE49-F238E27FC236}">
                              <a16:creationId xmlns:a16="http://schemas.microsoft.com/office/drawing/2014/main" id="{78655CCE-0986-D915-A86D-9F1A050C06C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9" name="Group 48">
                        <a:extLst>
                          <a:ext uri="{FF2B5EF4-FFF2-40B4-BE49-F238E27FC236}">
                            <a16:creationId xmlns:a16="http://schemas.microsoft.com/office/drawing/2014/main" id="{91D2D6F3-92FF-5CD1-758F-CFEBED646E51}"/>
                          </a:ext>
                        </a:extLst>
                      </xdr:cNvPr>
                      <xdr:cNvGrpSpPr/>
                    </xdr:nvGrpSpPr>
                    <xdr:grpSpPr>
                      <a:xfrm>
                        <a:off x="365760" y="3977640"/>
                        <a:ext cx="2438400" cy="457200"/>
                        <a:chOff x="365760" y="3535680"/>
                        <a:chExt cx="1584960" cy="457200"/>
                      </a:xfrm>
                    </xdr:grpSpPr>
                    <xdr:sp macro="" textlink="">
                      <xdr:nvSpPr>
                        <xdr:cNvPr id="53" name="Rectangle 52">
                          <a:extLst>
                            <a:ext uri="{FF2B5EF4-FFF2-40B4-BE49-F238E27FC236}">
                              <a16:creationId xmlns:a16="http://schemas.microsoft.com/office/drawing/2014/main" id="{8F6FE558-F2C8-7368-0F3B-53E4BC3D616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4" name="Rectangle 53">
                          <a:extLst>
                            <a:ext uri="{FF2B5EF4-FFF2-40B4-BE49-F238E27FC236}">
                              <a16:creationId xmlns:a16="http://schemas.microsoft.com/office/drawing/2014/main" id="{B6C4F0E5-537E-ACA3-E68A-C3E01A8CD92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50" name="Group 49">
                        <a:extLst>
                          <a:ext uri="{FF2B5EF4-FFF2-40B4-BE49-F238E27FC236}">
                            <a16:creationId xmlns:a16="http://schemas.microsoft.com/office/drawing/2014/main" id="{A8F0E2D1-C31B-4373-B4EE-FA2CF3314677}"/>
                          </a:ext>
                        </a:extLst>
                      </xdr:cNvPr>
                      <xdr:cNvGrpSpPr/>
                    </xdr:nvGrpSpPr>
                    <xdr:grpSpPr>
                      <a:xfrm>
                        <a:off x="365760" y="4411980"/>
                        <a:ext cx="2438400" cy="457200"/>
                        <a:chOff x="365760" y="3535680"/>
                        <a:chExt cx="1584960" cy="457200"/>
                      </a:xfrm>
                    </xdr:grpSpPr>
                    <xdr:sp macro="" textlink="">
                      <xdr:nvSpPr>
                        <xdr:cNvPr id="51" name="Rectangle 50">
                          <a:extLst>
                            <a:ext uri="{FF2B5EF4-FFF2-40B4-BE49-F238E27FC236}">
                              <a16:creationId xmlns:a16="http://schemas.microsoft.com/office/drawing/2014/main" id="{F0997B13-1758-E50E-F3EF-E3EE525A980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2" name="Rectangle 51">
                          <a:extLst>
                            <a:ext uri="{FF2B5EF4-FFF2-40B4-BE49-F238E27FC236}">
                              <a16:creationId xmlns:a16="http://schemas.microsoft.com/office/drawing/2014/main" id="{E8349A13-EB0C-463C-34D8-BE4257656FC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6" name="Rectangle 45">
                      <a:extLst>
                        <a:ext uri="{FF2B5EF4-FFF2-40B4-BE49-F238E27FC236}">
                          <a16:creationId xmlns:a16="http://schemas.microsoft.com/office/drawing/2014/main" id="{EDFC981C-ED74-56DA-4B82-F3552C621368}"/>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9" name="Group 18">
                    <a:extLst>
                      <a:ext uri="{FF2B5EF4-FFF2-40B4-BE49-F238E27FC236}">
                        <a16:creationId xmlns:a16="http://schemas.microsoft.com/office/drawing/2014/main" id="{B34C52D7-62B4-32FC-3082-648D89AAF6A7}"/>
                      </a:ext>
                    </a:extLst>
                  </xdr:cNvPr>
                  <xdr:cNvGrpSpPr/>
                </xdr:nvGrpSpPr>
                <xdr:grpSpPr>
                  <a:xfrm>
                    <a:off x="8435340" y="3208020"/>
                    <a:ext cx="2743200" cy="1935480"/>
                    <a:chOff x="2948940" y="3200400"/>
                    <a:chExt cx="2743200" cy="1935480"/>
                  </a:xfrm>
                </xdr:grpSpPr>
                <xdr:grpSp>
                  <xdr:nvGrpSpPr>
                    <xdr:cNvPr id="33" name="Group 32">
                      <a:extLst>
                        <a:ext uri="{FF2B5EF4-FFF2-40B4-BE49-F238E27FC236}">
                          <a16:creationId xmlns:a16="http://schemas.microsoft.com/office/drawing/2014/main" id="{54418023-58F0-9BE1-3DA8-7E0E9534BE65}"/>
                        </a:ext>
                      </a:extLst>
                    </xdr:cNvPr>
                    <xdr:cNvGrpSpPr/>
                  </xdr:nvGrpSpPr>
                  <xdr:grpSpPr>
                    <a:xfrm>
                      <a:off x="2948940" y="3200400"/>
                      <a:ext cx="2743200" cy="1714500"/>
                      <a:chOff x="60960" y="3154680"/>
                      <a:chExt cx="2743200" cy="1714500"/>
                    </a:xfrm>
                  </xdr:grpSpPr>
                  <xdr:sp macro="" textlink="">
                    <xdr:nvSpPr>
                      <xdr:cNvPr id="35" name="Rectangle 34">
                        <a:extLst>
                          <a:ext uri="{FF2B5EF4-FFF2-40B4-BE49-F238E27FC236}">
                            <a16:creationId xmlns:a16="http://schemas.microsoft.com/office/drawing/2014/main" id="{C58E6DEF-8DDD-967D-67D1-1B0D653F5711}"/>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6" name="Group 35">
                        <a:extLst>
                          <a:ext uri="{FF2B5EF4-FFF2-40B4-BE49-F238E27FC236}">
                            <a16:creationId xmlns:a16="http://schemas.microsoft.com/office/drawing/2014/main" id="{17F0EC6A-ABFD-30E7-4F7F-68011C42501C}"/>
                          </a:ext>
                        </a:extLst>
                      </xdr:cNvPr>
                      <xdr:cNvGrpSpPr/>
                    </xdr:nvGrpSpPr>
                    <xdr:grpSpPr>
                      <a:xfrm>
                        <a:off x="365760" y="3535680"/>
                        <a:ext cx="2438400" cy="457200"/>
                        <a:chOff x="365760" y="3535680"/>
                        <a:chExt cx="1584960" cy="457200"/>
                      </a:xfrm>
                    </xdr:grpSpPr>
                    <xdr:sp macro="" textlink="">
                      <xdr:nvSpPr>
                        <xdr:cNvPr id="43" name="Rectangle 42">
                          <a:extLst>
                            <a:ext uri="{FF2B5EF4-FFF2-40B4-BE49-F238E27FC236}">
                              <a16:creationId xmlns:a16="http://schemas.microsoft.com/office/drawing/2014/main" id="{FA5DA5A2-F980-E1CF-6BE4-37B1EF808B39}"/>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4" name="Rectangle 43">
                          <a:extLst>
                            <a:ext uri="{FF2B5EF4-FFF2-40B4-BE49-F238E27FC236}">
                              <a16:creationId xmlns:a16="http://schemas.microsoft.com/office/drawing/2014/main" id="{A5CF4D93-2418-474F-32AD-CD3C7479BC7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7" name="Group 36">
                        <a:extLst>
                          <a:ext uri="{FF2B5EF4-FFF2-40B4-BE49-F238E27FC236}">
                            <a16:creationId xmlns:a16="http://schemas.microsoft.com/office/drawing/2014/main" id="{510E787E-6B67-9BDD-440D-ED2DA0527368}"/>
                          </a:ext>
                        </a:extLst>
                      </xdr:cNvPr>
                      <xdr:cNvGrpSpPr/>
                    </xdr:nvGrpSpPr>
                    <xdr:grpSpPr>
                      <a:xfrm>
                        <a:off x="365760" y="3977640"/>
                        <a:ext cx="2438400" cy="457200"/>
                        <a:chOff x="365760" y="3535680"/>
                        <a:chExt cx="1584960" cy="457200"/>
                      </a:xfrm>
                    </xdr:grpSpPr>
                    <xdr:sp macro="" textlink="">
                      <xdr:nvSpPr>
                        <xdr:cNvPr id="41" name="Rectangle 40">
                          <a:extLst>
                            <a:ext uri="{FF2B5EF4-FFF2-40B4-BE49-F238E27FC236}">
                              <a16:creationId xmlns:a16="http://schemas.microsoft.com/office/drawing/2014/main" id="{79CD1F6C-DFBD-0C0F-C1EE-A6DA7A85D14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2" name="Rectangle 41">
                          <a:extLst>
                            <a:ext uri="{FF2B5EF4-FFF2-40B4-BE49-F238E27FC236}">
                              <a16:creationId xmlns:a16="http://schemas.microsoft.com/office/drawing/2014/main" id="{4F3F24DF-3015-A087-93D3-1941553F8C8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8" name="Group 37">
                        <a:extLst>
                          <a:ext uri="{FF2B5EF4-FFF2-40B4-BE49-F238E27FC236}">
                            <a16:creationId xmlns:a16="http://schemas.microsoft.com/office/drawing/2014/main" id="{A680CEF8-3087-C087-CE1C-EF5D0C8877CA}"/>
                          </a:ext>
                        </a:extLst>
                      </xdr:cNvPr>
                      <xdr:cNvGrpSpPr/>
                    </xdr:nvGrpSpPr>
                    <xdr:grpSpPr>
                      <a:xfrm>
                        <a:off x="365760" y="4411980"/>
                        <a:ext cx="2438400" cy="457200"/>
                        <a:chOff x="365760" y="3535680"/>
                        <a:chExt cx="1584960" cy="457200"/>
                      </a:xfrm>
                    </xdr:grpSpPr>
                    <xdr:sp macro="" textlink="">
                      <xdr:nvSpPr>
                        <xdr:cNvPr id="39" name="Rectangle 38">
                          <a:extLst>
                            <a:ext uri="{FF2B5EF4-FFF2-40B4-BE49-F238E27FC236}">
                              <a16:creationId xmlns:a16="http://schemas.microsoft.com/office/drawing/2014/main" id="{A382DADB-0475-9CA1-74A8-0FD01369044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40" name="Rectangle 39">
                          <a:extLst>
                            <a:ext uri="{FF2B5EF4-FFF2-40B4-BE49-F238E27FC236}">
                              <a16:creationId xmlns:a16="http://schemas.microsoft.com/office/drawing/2014/main" id="{5D2388DB-3EAA-3A0E-8E9B-905F43D3CE4A}"/>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4" name="Rectangle 33">
                      <a:extLst>
                        <a:ext uri="{FF2B5EF4-FFF2-40B4-BE49-F238E27FC236}">
                          <a16:creationId xmlns:a16="http://schemas.microsoft.com/office/drawing/2014/main" id="{8ECDEDF1-F632-AC9B-1BD7-AAA5F47D69D9}"/>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20" name="Group 19">
                    <a:extLst>
                      <a:ext uri="{FF2B5EF4-FFF2-40B4-BE49-F238E27FC236}">
                        <a16:creationId xmlns:a16="http://schemas.microsoft.com/office/drawing/2014/main" id="{7050E33A-DFB7-A264-4E1F-519B85EE4BB7}"/>
                      </a:ext>
                    </a:extLst>
                  </xdr:cNvPr>
                  <xdr:cNvGrpSpPr/>
                </xdr:nvGrpSpPr>
                <xdr:grpSpPr>
                  <a:xfrm>
                    <a:off x="11170920" y="3208020"/>
                    <a:ext cx="2743200" cy="1935480"/>
                    <a:chOff x="2948940" y="3200400"/>
                    <a:chExt cx="2743200" cy="1935480"/>
                  </a:xfrm>
                </xdr:grpSpPr>
                <xdr:grpSp>
                  <xdr:nvGrpSpPr>
                    <xdr:cNvPr id="21" name="Group 20">
                      <a:extLst>
                        <a:ext uri="{FF2B5EF4-FFF2-40B4-BE49-F238E27FC236}">
                          <a16:creationId xmlns:a16="http://schemas.microsoft.com/office/drawing/2014/main" id="{E495D27D-E608-330D-055B-5858A11CC567}"/>
                        </a:ext>
                      </a:extLst>
                    </xdr:cNvPr>
                    <xdr:cNvGrpSpPr/>
                  </xdr:nvGrpSpPr>
                  <xdr:grpSpPr>
                    <a:xfrm>
                      <a:off x="2948940" y="3200400"/>
                      <a:ext cx="2743200" cy="1714500"/>
                      <a:chOff x="60960" y="3154680"/>
                      <a:chExt cx="2743200" cy="1714500"/>
                    </a:xfrm>
                  </xdr:grpSpPr>
                  <xdr:sp macro="" textlink="">
                    <xdr:nvSpPr>
                      <xdr:cNvPr id="23" name="Rectangle 22">
                        <a:extLst>
                          <a:ext uri="{FF2B5EF4-FFF2-40B4-BE49-F238E27FC236}">
                            <a16:creationId xmlns:a16="http://schemas.microsoft.com/office/drawing/2014/main" id="{12B7400E-8DD8-0EBB-8D01-D73868E4E5C5}"/>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4" name="Group 23">
                        <a:extLst>
                          <a:ext uri="{FF2B5EF4-FFF2-40B4-BE49-F238E27FC236}">
                            <a16:creationId xmlns:a16="http://schemas.microsoft.com/office/drawing/2014/main" id="{88ADC12D-6F82-9365-7163-9777D1535634}"/>
                          </a:ext>
                        </a:extLst>
                      </xdr:cNvPr>
                      <xdr:cNvGrpSpPr/>
                    </xdr:nvGrpSpPr>
                    <xdr:grpSpPr>
                      <a:xfrm>
                        <a:off x="365760" y="3535680"/>
                        <a:ext cx="2438400" cy="457200"/>
                        <a:chOff x="365760" y="3535680"/>
                        <a:chExt cx="1584960" cy="457200"/>
                      </a:xfrm>
                    </xdr:grpSpPr>
                    <xdr:sp macro="" textlink="">
                      <xdr:nvSpPr>
                        <xdr:cNvPr id="31" name="Rectangle 30">
                          <a:hlinkClick xmlns:r="http://schemas.openxmlformats.org/officeDocument/2006/relationships" r:id="rId14"/>
                          <a:extLst>
                            <a:ext uri="{FF2B5EF4-FFF2-40B4-BE49-F238E27FC236}">
                              <a16:creationId xmlns:a16="http://schemas.microsoft.com/office/drawing/2014/main" id="{98AEB9CD-A447-4AC8-6582-1821ADF5B62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2" name="Rectangle 31">
                          <a:hlinkClick xmlns:r="http://schemas.openxmlformats.org/officeDocument/2006/relationships" r:id="rId15"/>
                          <a:extLst>
                            <a:ext uri="{FF2B5EF4-FFF2-40B4-BE49-F238E27FC236}">
                              <a16:creationId xmlns:a16="http://schemas.microsoft.com/office/drawing/2014/main" id="{1C970056-9FAB-89FC-95F2-F2F1AEA4413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5" name="Group 24">
                        <a:extLst>
                          <a:ext uri="{FF2B5EF4-FFF2-40B4-BE49-F238E27FC236}">
                            <a16:creationId xmlns:a16="http://schemas.microsoft.com/office/drawing/2014/main" id="{02AE544C-22AD-F3FF-E6EA-C276B15FE7F6}"/>
                          </a:ext>
                        </a:extLst>
                      </xdr:cNvPr>
                      <xdr:cNvGrpSpPr/>
                    </xdr:nvGrpSpPr>
                    <xdr:grpSpPr>
                      <a:xfrm>
                        <a:off x="365760" y="3977640"/>
                        <a:ext cx="2438400" cy="457200"/>
                        <a:chOff x="365760" y="3535680"/>
                        <a:chExt cx="1584960" cy="457200"/>
                      </a:xfrm>
                    </xdr:grpSpPr>
                    <xdr:sp macro="" textlink="">
                      <xdr:nvSpPr>
                        <xdr:cNvPr id="29" name="Rectangle 28">
                          <a:hlinkClick xmlns:r="http://schemas.openxmlformats.org/officeDocument/2006/relationships" r:id="rId16"/>
                          <a:extLst>
                            <a:ext uri="{FF2B5EF4-FFF2-40B4-BE49-F238E27FC236}">
                              <a16:creationId xmlns:a16="http://schemas.microsoft.com/office/drawing/2014/main" id="{563C1B7D-14EA-E1C4-0EA5-9F1A7A5736B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30" name="Rectangle 29">
                          <a:extLst>
                            <a:ext uri="{FF2B5EF4-FFF2-40B4-BE49-F238E27FC236}">
                              <a16:creationId xmlns:a16="http://schemas.microsoft.com/office/drawing/2014/main" id="{BE9ADB1D-D229-BBA8-D100-D2B87623511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6" name="Group 25">
                        <a:extLst>
                          <a:ext uri="{FF2B5EF4-FFF2-40B4-BE49-F238E27FC236}">
                            <a16:creationId xmlns:a16="http://schemas.microsoft.com/office/drawing/2014/main" id="{66DF7AD0-19E4-432C-FAC5-E225A2F661A4}"/>
                          </a:ext>
                        </a:extLst>
                      </xdr:cNvPr>
                      <xdr:cNvGrpSpPr/>
                    </xdr:nvGrpSpPr>
                    <xdr:grpSpPr>
                      <a:xfrm>
                        <a:off x="365760" y="4411980"/>
                        <a:ext cx="2438400" cy="457200"/>
                        <a:chOff x="365760" y="3535680"/>
                        <a:chExt cx="1584960" cy="457200"/>
                      </a:xfrm>
                    </xdr:grpSpPr>
                    <xdr:sp macro="" textlink="">
                      <xdr:nvSpPr>
                        <xdr:cNvPr id="27" name="Rectangle 26">
                          <a:extLst>
                            <a:ext uri="{FF2B5EF4-FFF2-40B4-BE49-F238E27FC236}">
                              <a16:creationId xmlns:a16="http://schemas.microsoft.com/office/drawing/2014/main" id="{6AB47755-6EC3-92A5-BB50-4F538CAE912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8" name="Rectangle 27">
                          <a:extLst>
                            <a:ext uri="{FF2B5EF4-FFF2-40B4-BE49-F238E27FC236}">
                              <a16:creationId xmlns:a16="http://schemas.microsoft.com/office/drawing/2014/main" id="{AC6B17C0-E2FF-2B86-E3F9-EF165FD34D3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2" name="Rectangle 21">
                      <a:extLst>
                        <a:ext uri="{FF2B5EF4-FFF2-40B4-BE49-F238E27FC236}">
                          <a16:creationId xmlns:a16="http://schemas.microsoft.com/office/drawing/2014/main" id="{7B3CD0CC-2FB5-3907-A754-0E22B7D869DA}"/>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5" name="Rectangle 14">
                  <a:extLst>
                    <a:ext uri="{FF2B5EF4-FFF2-40B4-BE49-F238E27FC236}">
                      <a16:creationId xmlns:a16="http://schemas.microsoft.com/office/drawing/2014/main" id="{3E2577B4-CFBA-2872-18B7-16087BBAEF75}"/>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9" name="Rectangle: Rounded Corners 8">
              <a:extLst>
                <a:ext uri="{FF2B5EF4-FFF2-40B4-BE49-F238E27FC236}">
                  <a16:creationId xmlns:a16="http://schemas.microsoft.com/office/drawing/2014/main" id="{EE100258-9543-82E4-5CED-16A6B1F38012}"/>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10" name="Rectangle: Rounded Corners 9">
              <a:extLst>
                <a:ext uri="{FF2B5EF4-FFF2-40B4-BE49-F238E27FC236}">
                  <a16:creationId xmlns:a16="http://schemas.microsoft.com/office/drawing/2014/main" id="{C4EEAB22-60C8-A09C-3683-4B7735D982BA}"/>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11" name="Rectangle: Rounded Corners 10">
              <a:extLst>
                <a:ext uri="{FF2B5EF4-FFF2-40B4-BE49-F238E27FC236}">
                  <a16:creationId xmlns:a16="http://schemas.microsoft.com/office/drawing/2014/main" id="{6714C72F-CA90-94B4-3870-F594756D8787}"/>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6" name="Picture 5">
            <a:hlinkClick xmlns:r="http://schemas.openxmlformats.org/officeDocument/2006/relationships" r:id="rId17"/>
            <a:extLst>
              <a:ext uri="{FF2B5EF4-FFF2-40B4-BE49-F238E27FC236}">
                <a16:creationId xmlns:a16="http://schemas.microsoft.com/office/drawing/2014/main" id="{D85A47BF-2808-4987-281A-1CCD0EA87E9E}"/>
              </a:ext>
            </a:extLst>
          </xdr:cNvPr>
          <xdr:cNvPicPr>
            <a:picLocks noChangeAspect="1"/>
          </xdr:cNvPicPr>
        </xdr:nvPicPr>
        <xdr:blipFill rotWithShape="1">
          <a:blip xmlns:r="http://schemas.openxmlformats.org/officeDocument/2006/relationships" r:embed="rId18">
            <a:extLst>
              <a:ext uri="{BEBA8EAE-BF5A-486C-A8C5-ECC9F3942E4B}">
                <a14:imgProps xmlns:a14="http://schemas.microsoft.com/office/drawing/2010/main">
                  <a14:imgLayer r:embed="rId19">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26.xml><?xml version="1.0" encoding="utf-8"?>
<xdr:wsDr xmlns:xdr="http://schemas.openxmlformats.org/drawingml/2006/spreadsheetDrawing" xmlns:a="http://schemas.openxmlformats.org/drawingml/2006/main">
  <xdr:twoCellAnchor>
    <xdr:from>
      <xdr:col>6</xdr:col>
      <xdr:colOff>466725</xdr:colOff>
      <xdr:row>22</xdr:row>
      <xdr:rowOff>376238</xdr:rowOff>
    </xdr:from>
    <xdr:to>
      <xdr:col>10</xdr:col>
      <xdr:colOff>657225</xdr:colOff>
      <xdr:row>33</xdr:row>
      <xdr:rowOff>214313</xdr:rowOff>
    </xdr:to>
    <xdr:graphicFrame macro="">
      <xdr:nvGraphicFramePr>
        <xdr:cNvPr id="2" name="Chart 1">
          <a:extLst>
            <a:ext uri="{FF2B5EF4-FFF2-40B4-BE49-F238E27FC236}">
              <a16:creationId xmlns:a16="http://schemas.microsoft.com/office/drawing/2014/main" id="{BC006F2F-043C-42F6-B846-FDFE43E0FB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885825</xdr:colOff>
      <xdr:row>22</xdr:row>
      <xdr:rowOff>376238</xdr:rowOff>
    </xdr:from>
    <xdr:to>
      <xdr:col>14</xdr:col>
      <xdr:colOff>1076325</xdr:colOff>
      <xdr:row>33</xdr:row>
      <xdr:rowOff>214313</xdr:rowOff>
    </xdr:to>
    <xdr:graphicFrame macro="">
      <xdr:nvGraphicFramePr>
        <xdr:cNvPr id="3" name="Chart 2">
          <a:extLst>
            <a:ext uri="{FF2B5EF4-FFF2-40B4-BE49-F238E27FC236}">
              <a16:creationId xmlns:a16="http://schemas.microsoft.com/office/drawing/2014/main" id="{1F055DB3-C78E-4AE6-B104-8F07DE86E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95250</xdr:rowOff>
    </xdr:from>
    <xdr:to>
      <xdr:col>22</xdr:col>
      <xdr:colOff>146063</xdr:colOff>
      <xdr:row>14</xdr:row>
      <xdr:rowOff>0</xdr:rowOff>
    </xdr:to>
    <xdr:grpSp>
      <xdr:nvGrpSpPr>
        <xdr:cNvPr id="4" name="Group 3">
          <a:extLst>
            <a:ext uri="{FF2B5EF4-FFF2-40B4-BE49-F238E27FC236}">
              <a16:creationId xmlns:a16="http://schemas.microsoft.com/office/drawing/2014/main" id="{DA527747-9588-4395-9CA7-38B155D17FA2}"/>
            </a:ext>
          </a:extLst>
        </xdr:cNvPr>
        <xdr:cNvGrpSpPr/>
      </xdr:nvGrpSpPr>
      <xdr:grpSpPr>
        <a:xfrm>
          <a:off x="0" y="95250"/>
          <a:ext cx="21545563" cy="2619375"/>
          <a:chOff x="0" y="25400"/>
          <a:chExt cx="18808713" cy="2465554"/>
        </a:xfrm>
      </xdr:grpSpPr>
      <xdr:grpSp>
        <xdr:nvGrpSpPr>
          <xdr:cNvPr id="5" name="Group 4">
            <a:extLst>
              <a:ext uri="{FF2B5EF4-FFF2-40B4-BE49-F238E27FC236}">
                <a16:creationId xmlns:a16="http://schemas.microsoft.com/office/drawing/2014/main" id="{A137822C-E6C1-44A6-8A0F-F5FE16BCAC80}"/>
              </a:ext>
            </a:extLst>
          </xdr:cNvPr>
          <xdr:cNvGrpSpPr/>
        </xdr:nvGrpSpPr>
        <xdr:grpSpPr>
          <a:xfrm>
            <a:off x="0" y="268648"/>
            <a:ext cx="18808713" cy="2222306"/>
            <a:chOff x="-2" y="774501"/>
            <a:chExt cx="14238616" cy="2312445"/>
          </a:xfrm>
        </xdr:grpSpPr>
        <xdr:sp macro="" textlink="">
          <xdr:nvSpPr>
            <xdr:cNvPr id="7" name="Rectangle: Rounded Corners 6">
              <a:extLst>
                <a:ext uri="{FF2B5EF4-FFF2-40B4-BE49-F238E27FC236}">
                  <a16:creationId xmlns:a16="http://schemas.microsoft.com/office/drawing/2014/main" id="{01B593D3-5979-771E-ED72-961A7D85DF3C}"/>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8" name="Group 7">
              <a:extLst>
                <a:ext uri="{FF2B5EF4-FFF2-40B4-BE49-F238E27FC236}">
                  <a16:creationId xmlns:a16="http://schemas.microsoft.com/office/drawing/2014/main" id="{0441A018-C85B-6FD8-B6FD-B2CCEF3F0F2B}"/>
                </a:ext>
              </a:extLst>
            </xdr:cNvPr>
            <xdr:cNvGrpSpPr/>
          </xdr:nvGrpSpPr>
          <xdr:grpSpPr>
            <a:xfrm>
              <a:off x="-2" y="977052"/>
              <a:ext cx="14238606" cy="2109894"/>
              <a:chOff x="15238" y="3223260"/>
              <a:chExt cx="14214009" cy="2072640"/>
            </a:xfrm>
          </xdr:grpSpPr>
          <xdr:sp macro="" textlink="">
            <xdr:nvSpPr>
              <xdr:cNvPr id="12" name="Rectangle 11">
                <a:extLst>
                  <a:ext uri="{FF2B5EF4-FFF2-40B4-BE49-F238E27FC236}">
                    <a16:creationId xmlns:a16="http://schemas.microsoft.com/office/drawing/2014/main" id="{0F4F3693-665D-16BB-D55B-F0C8D7E5508D}"/>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3" name="Group 12">
                <a:extLst>
                  <a:ext uri="{FF2B5EF4-FFF2-40B4-BE49-F238E27FC236}">
                    <a16:creationId xmlns:a16="http://schemas.microsoft.com/office/drawing/2014/main" id="{41802535-E102-789B-7D5D-0AEA7C229A7E}"/>
                  </a:ext>
                </a:extLst>
              </xdr:cNvPr>
              <xdr:cNvGrpSpPr/>
            </xdr:nvGrpSpPr>
            <xdr:grpSpPr>
              <a:xfrm>
                <a:off x="121920" y="3291840"/>
                <a:ext cx="13708380" cy="1950720"/>
                <a:chOff x="205740" y="2491740"/>
                <a:chExt cx="13708380" cy="1950720"/>
              </a:xfrm>
            </xdr:grpSpPr>
            <xdr:grpSp>
              <xdr:nvGrpSpPr>
                <xdr:cNvPr id="14" name="Group 13">
                  <a:extLst>
                    <a:ext uri="{FF2B5EF4-FFF2-40B4-BE49-F238E27FC236}">
                      <a16:creationId xmlns:a16="http://schemas.microsoft.com/office/drawing/2014/main" id="{93788D23-2F47-0AEF-4A74-50CA62CC6CC4}"/>
                    </a:ext>
                  </a:extLst>
                </xdr:cNvPr>
                <xdr:cNvGrpSpPr/>
              </xdr:nvGrpSpPr>
              <xdr:grpSpPr>
                <a:xfrm>
                  <a:off x="205740" y="2491740"/>
                  <a:ext cx="13708380" cy="1950720"/>
                  <a:chOff x="205740" y="3192780"/>
                  <a:chExt cx="13708380" cy="1950720"/>
                </a:xfrm>
              </xdr:grpSpPr>
              <xdr:grpSp>
                <xdr:nvGrpSpPr>
                  <xdr:cNvPr id="16" name="Group 15">
                    <a:extLst>
                      <a:ext uri="{FF2B5EF4-FFF2-40B4-BE49-F238E27FC236}">
                        <a16:creationId xmlns:a16="http://schemas.microsoft.com/office/drawing/2014/main" id="{B6085F27-115D-435B-7982-B10770F33B36}"/>
                      </a:ext>
                    </a:extLst>
                  </xdr:cNvPr>
                  <xdr:cNvGrpSpPr/>
                </xdr:nvGrpSpPr>
                <xdr:grpSpPr>
                  <a:xfrm>
                    <a:off x="2948940" y="3200400"/>
                    <a:ext cx="2743200" cy="1935480"/>
                    <a:chOff x="2948940" y="3200400"/>
                    <a:chExt cx="2743200" cy="1935480"/>
                  </a:xfrm>
                </xdr:grpSpPr>
                <xdr:grpSp>
                  <xdr:nvGrpSpPr>
                    <xdr:cNvPr id="69" name="Group 68">
                      <a:extLst>
                        <a:ext uri="{FF2B5EF4-FFF2-40B4-BE49-F238E27FC236}">
                          <a16:creationId xmlns:a16="http://schemas.microsoft.com/office/drawing/2014/main" id="{1CFF44DD-0253-D495-EE92-69034C86DCB6}"/>
                        </a:ext>
                      </a:extLst>
                    </xdr:cNvPr>
                    <xdr:cNvGrpSpPr/>
                  </xdr:nvGrpSpPr>
                  <xdr:grpSpPr>
                    <a:xfrm>
                      <a:off x="2948940" y="3200400"/>
                      <a:ext cx="2743200" cy="1714500"/>
                      <a:chOff x="60960" y="3154680"/>
                      <a:chExt cx="2743200" cy="1714500"/>
                    </a:xfrm>
                  </xdr:grpSpPr>
                  <xdr:sp macro="" textlink="">
                    <xdr:nvSpPr>
                      <xdr:cNvPr id="71" name="Rectangle 70">
                        <a:extLst>
                          <a:ext uri="{FF2B5EF4-FFF2-40B4-BE49-F238E27FC236}">
                            <a16:creationId xmlns:a16="http://schemas.microsoft.com/office/drawing/2014/main" id="{3242430E-2C7E-4DF8-72D8-76616C16EF81}"/>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2" name="Group 71">
                        <a:extLst>
                          <a:ext uri="{FF2B5EF4-FFF2-40B4-BE49-F238E27FC236}">
                            <a16:creationId xmlns:a16="http://schemas.microsoft.com/office/drawing/2014/main" id="{3964008F-A175-9161-C7D6-2FAEE6BE4F43}"/>
                          </a:ext>
                        </a:extLst>
                      </xdr:cNvPr>
                      <xdr:cNvGrpSpPr/>
                    </xdr:nvGrpSpPr>
                    <xdr:grpSpPr>
                      <a:xfrm>
                        <a:off x="365760" y="3535680"/>
                        <a:ext cx="2438400" cy="457200"/>
                        <a:chOff x="365760" y="3535680"/>
                        <a:chExt cx="1584960" cy="457200"/>
                      </a:xfrm>
                    </xdr:grpSpPr>
                    <xdr:sp macro="" textlink="">
                      <xdr:nvSpPr>
                        <xdr:cNvPr id="79" name="Rectangle 78">
                          <a:hlinkClick xmlns:r="http://schemas.openxmlformats.org/officeDocument/2006/relationships" r:id="rId3"/>
                          <a:extLst>
                            <a:ext uri="{FF2B5EF4-FFF2-40B4-BE49-F238E27FC236}">
                              <a16:creationId xmlns:a16="http://schemas.microsoft.com/office/drawing/2014/main" id="{1DEECD10-88DB-4745-0485-E5412724858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80" name="Rectangle 79">
                          <a:hlinkClick xmlns:r="http://schemas.openxmlformats.org/officeDocument/2006/relationships" r:id="rId3"/>
                          <a:extLst>
                            <a:ext uri="{FF2B5EF4-FFF2-40B4-BE49-F238E27FC236}">
                              <a16:creationId xmlns:a16="http://schemas.microsoft.com/office/drawing/2014/main" id="{34CE37D2-2624-9C67-6B32-EE327AAE777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3" name="Group 72">
                        <a:extLst>
                          <a:ext uri="{FF2B5EF4-FFF2-40B4-BE49-F238E27FC236}">
                            <a16:creationId xmlns:a16="http://schemas.microsoft.com/office/drawing/2014/main" id="{5B3CA2DC-6243-9405-1AA0-2AABDB371D59}"/>
                          </a:ext>
                        </a:extLst>
                      </xdr:cNvPr>
                      <xdr:cNvGrpSpPr/>
                    </xdr:nvGrpSpPr>
                    <xdr:grpSpPr>
                      <a:xfrm>
                        <a:off x="365760" y="3977640"/>
                        <a:ext cx="2438400" cy="457200"/>
                        <a:chOff x="365760" y="3535680"/>
                        <a:chExt cx="1584960" cy="457200"/>
                      </a:xfrm>
                    </xdr:grpSpPr>
                    <xdr:sp macro="" textlink="">
                      <xdr:nvSpPr>
                        <xdr:cNvPr id="77" name="Rectangle 76">
                          <a:extLst>
                            <a:ext uri="{FF2B5EF4-FFF2-40B4-BE49-F238E27FC236}">
                              <a16:creationId xmlns:a16="http://schemas.microsoft.com/office/drawing/2014/main" id="{17C3F6EB-4B99-84A6-8112-A5E871D2695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8" name="Rectangle 77">
                          <a:hlinkClick xmlns:r="http://schemas.openxmlformats.org/officeDocument/2006/relationships" r:id="rId4"/>
                          <a:extLst>
                            <a:ext uri="{FF2B5EF4-FFF2-40B4-BE49-F238E27FC236}">
                              <a16:creationId xmlns:a16="http://schemas.microsoft.com/office/drawing/2014/main" id="{D3003366-FA05-C796-52C9-DF8BE6B8223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4" name="Group 73">
                        <a:extLst>
                          <a:ext uri="{FF2B5EF4-FFF2-40B4-BE49-F238E27FC236}">
                            <a16:creationId xmlns:a16="http://schemas.microsoft.com/office/drawing/2014/main" id="{7781D09F-885F-E797-9C0D-A29034DA7479}"/>
                          </a:ext>
                        </a:extLst>
                      </xdr:cNvPr>
                      <xdr:cNvGrpSpPr/>
                    </xdr:nvGrpSpPr>
                    <xdr:grpSpPr>
                      <a:xfrm>
                        <a:off x="365760" y="4411980"/>
                        <a:ext cx="2438400" cy="457200"/>
                        <a:chOff x="365760" y="3535680"/>
                        <a:chExt cx="1584960" cy="457200"/>
                      </a:xfrm>
                    </xdr:grpSpPr>
                    <xdr:sp macro="" textlink="">
                      <xdr:nvSpPr>
                        <xdr:cNvPr id="75" name="Rectangle 74">
                          <a:hlinkClick xmlns:r="http://schemas.openxmlformats.org/officeDocument/2006/relationships" r:id="rId5"/>
                          <a:extLst>
                            <a:ext uri="{FF2B5EF4-FFF2-40B4-BE49-F238E27FC236}">
                              <a16:creationId xmlns:a16="http://schemas.microsoft.com/office/drawing/2014/main" id="{1A0AC6C9-DCFA-9AFA-5D23-20F62F378B6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6" name="Rectangle 75">
                          <a:extLst>
                            <a:ext uri="{FF2B5EF4-FFF2-40B4-BE49-F238E27FC236}">
                              <a16:creationId xmlns:a16="http://schemas.microsoft.com/office/drawing/2014/main" id="{0610B1AB-C922-BEF8-462E-71069447A32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70" name="Rectangle 69">
                      <a:extLst>
                        <a:ext uri="{FF2B5EF4-FFF2-40B4-BE49-F238E27FC236}">
                          <a16:creationId xmlns:a16="http://schemas.microsoft.com/office/drawing/2014/main" id="{CF7F4C96-C508-500F-4633-D2EBDF3CAB68}"/>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7" name="Group 16">
                    <a:extLst>
                      <a:ext uri="{FF2B5EF4-FFF2-40B4-BE49-F238E27FC236}">
                        <a16:creationId xmlns:a16="http://schemas.microsoft.com/office/drawing/2014/main" id="{882009FD-4C76-BADD-D378-72BF38897453}"/>
                      </a:ext>
                    </a:extLst>
                  </xdr:cNvPr>
                  <xdr:cNvGrpSpPr/>
                </xdr:nvGrpSpPr>
                <xdr:grpSpPr>
                  <a:xfrm>
                    <a:off x="205740" y="3192780"/>
                    <a:ext cx="2743200" cy="1943100"/>
                    <a:chOff x="205740" y="3192780"/>
                    <a:chExt cx="2743200" cy="1943100"/>
                  </a:xfrm>
                </xdr:grpSpPr>
                <xdr:grpSp>
                  <xdr:nvGrpSpPr>
                    <xdr:cNvPr id="57" name="Group 56">
                      <a:extLst>
                        <a:ext uri="{FF2B5EF4-FFF2-40B4-BE49-F238E27FC236}">
                          <a16:creationId xmlns:a16="http://schemas.microsoft.com/office/drawing/2014/main" id="{A3ACD95F-4EBE-60D7-0786-02E57408EECB}"/>
                        </a:ext>
                      </a:extLst>
                    </xdr:cNvPr>
                    <xdr:cNvGrpSpPr/>
                  </xdr:nvGrpSpPr>
                  <xdr:grpSpPr>
                    <a:xfrm>
                      <a:off x="205740" y="3192780"/>
                      <a:ext cx="2743200" cy="1714500"/>
                      <a:chOff x="60960" y="3154680"/>
                      <a:chExt cx="2743200" cy="1714500"/>
                    </a:xfrm>
                  </xdr:grpSpPr>
                  <xdr:sp macro="" textlink="">
                    <xdr:nvSpPr>
                      <xdr:cNvPr id="59" name="Rectangle 58">
                        <a:extLst>
                          <a:ext uri="{FF2B5EF4-FFF2-40B4-BE49-F238E27FC236}">
                            <a16:creationId xmlns:a16="http://schemas.microsoft.com/office/drawing/2014/main" id="{64F28C46-F3D5-8FC4-F038-576A45E20D35}"/>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60" name="Group 59">
                        <a:extLst>
                          <a:ext uri="{FF2B5EF4-FFF2-40B4-BE49-F238E27FC236}">
                            <a16:creationId xmlns:a16="http://schemas.microsoft.com/office/drawing/2014/main" id="{668192AF-6AEC-BB97-03E1-0D2C7A860E36}"/>
                          </a:ext>
                        </a:extLst>
                      </xdr:cNvPr>
                      <xdr:cNvGrpSpPr/>
                    </xdr:nvGrpSpPr>
                    <xdr:grpSpPr>
                      <a:xfrm>
                        <a:off x="365760" y="3535680"/>
                        <a:ext cx="2438400" cy="457200"/>
                        <a:chOff x="365760" y="3535680"/>
                        <a:chExt cx="1584960" cy="457200"/>
                      </a:xfrm>
                    </xdr:grpSpPr>
                    <xdr:sp macro="" textlink="">
                      <xdr:nvSpPr>
                        <xdr:cNvPr id="67" name="Rectangle 66">
                          <a:hlinkClick xmlns:r="http://schemas.openxmlformats.org/officeDocument/2006/relationships" r:id="rId6"/>
                          <a:extLst>
                            <a:ext uri="{FF2B5EF4-FFF2-40B4-BE49-F238E27FC236}">
                              <a16:creationId xmlns:a16="http://schemas.microsoft.com/office/drawing/2014/main" id="{2CB76B72-4751-DF2B-9C24-C84184514A9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8" name="Rectangle 67">
                          <a:hlinkClick xmlns:r="http://schemas.openxmlformats.org/officeDocument/2006/relationships" r:id="rId7"/>
                          <a:extLst>
                            <a:ext uri="{FF2B5EF4-FFF2-40B4-BE49-F238E27FC236}">
                              <a16:creationId xmlns:a16="http://schemas.microsoft.com/office/drawing/2014/main" id="{008E05DC-4FBB-2192-A1F9-8AA83C82798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61" name="Group 60">
                        <a:extLst>
                          <a:ext uri="{FF2B5EF4-FFF2-40B4-BE49-F238E27FC236}">
                            <a16:creationId xmlns:a16="http://schemas.microsoft.com/office/drawing/2014/main" id="{DA73AF73-B84F-FE70-F5C4-FEAB5C99EFFC}"/>
                          </a:ext>
                        </a:extLst>
                      </xdr:cNvPr>
                      <xdr:cNvGrpSpPr/>
                    </xdr:nvGrpSpPr>
                    <xdr:grpSpPr>
                      <a:xfrm>
                        <a:off x="365760" y="3977640"/>
                        <a:ext cx="2438400" cy="457200"/>
                        <a:chOff x="365760" y="3535680"/>
                        <a:chExt cx="1584960" cy="457200"/>
                      </a:xfrm>
                    </xdr:grpSpPr>
                    <xdr:sp macro="" textlink="">
                      <xdr:nvSpPr>
                        <xdr:cNvPr id="65" name="Rectangle 64">
                          <a:hlinkClick xmlns:r="http://schemas.openxmlformats.org/officeDocument/2006/relationships" r:id="rId8"/>
                          <a:extLst>
                            <a:ext uri="{FF2B5EF4-FFF2-40B4-BE49-F238E27FC236}">
                              <a16:creationId xmlns:a16="http://schemas.microsoft.com/office/drawing/2014/main" id="{2D416832-53EA-11CE-B2BB-7F02FB025D7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6" name="Rectangle 65">
                          <a:hlinkClick xmlns:r="http://schemas.openxmlformats.org/officeDocument/2006/relationships" r:id="rId9"/>
                          <a:extLst>
                            <a:ext uri="{FF2B5EF4-FFF2-40B4-BE49-F238E27FC236}">
                              <a16:creationId xmlns:a16="http://schemas.microsoft.com/office/drawing/2014/main" id="{02B4D011-DDDE-3B46-A042-ECC2AF19198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2" name="Group 61">
                        <a:extLst>
                          <a:ext uri="{FF2B5EF4-FFF2-40B4-BE49-F238E27FC236}">
                            <a16:creationId xmlns:a16="http://schemas.microsoft.com/office/drawing/2014/main" id="{6D3596A8-BEA2-76F5-6EA3-0BBFC0DF1833}"/>
                          </a:ext>
                        </a:extLst>
                      </xdr:cNvPr>
                      <xdr:cNvGrpSpPr/>
                    </xdr:nvGrpSpPr>
                    <xdr:grpSpPr>
                      <a:xfrm>
                        <a:off x="365760" y="4411980"/>
                        <a:ext cx="2438400" cy="457200"/>
                        <a:chOff x="365760" y="3535680"/>
                        <a:chExt cx="1584960" cy="457200"/>
                      </a:xfrm>
                    </xdr:grpSpPr>
                    <xdr:sp macro="" textlink="">
                      <xdr:nvSpPr>
                        <xdr:cNvPr id="63" name="Rectangle 62">
                          <a:hlinkClick xmlns:r="http://schemas.openxmlformats.org/officeDocument/2006/relationships" r:id="rId10"/>
                          <a:extLst>
                            <a:ext uri="{FF2B5EF4-FFF2-40B4-BE49-F238E27FC236}">
                              <a16:creationId xmlns:a16="http://schemas.microsoft.com/office/drawing/2014/main" id="{BC9C3D7C-374C-D306-2E1D-288BD01D0FF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4" name="Rectangle 63">
                          <a:hlinkClick xmlns:r="http://schemas.openxmlformats.org/officeDocument/2006/relationships" r:id="rId11"/>
                          <a:extLst>
                            <a:ext uri="{FF2B5EF4-FFF2-40B4-BE49-F238E27FC236}">
                              <a16:creationId xmlns:a16="http://schemas.microsoft.com/office/drawing/2014/main" id="{35B2F9B5-1339-5E8F-766E-2A70978604F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8" name="Rectangle 57">
                      <a:hlinkClick xmlns:r="http://schemas.openxmlformats.org/officeDocument/2006/relationships" r:id="rId6"/>
                      <a:extLst>
                        <a:ext uri="{FF2B5EF4-FFF2-40B4-BE49-F238E27FC236}">
                          <a16:creationId xmlns:a16="http://schemas.microsoft.com/office/drawing/2014/main" id="{71954728-BC40-F473-814F-6A84915ABD07}"/>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8" name="Group 17">
                    <a:extLst>
                      <a:ext uri="{FF2B5EF4-FFF2-40B4-BE49-F238E27FC236}">
                        <a16:creationId xmlns:a16="http://schemas.microsoft.com/office/drawing/2014/main" id="{D09B364E-20A7-04C3-21AE-90467D34BA20}"/>
                      </a:ext>
                    </a:extLst>
                  </xdr:cNvPr>
                  <xdr:cNvGrpSpPr/>
                </xdr:nvGrpSpPr>
                <xdr:grpSpPr>
                  <a:xfrm>
                    <a:off x="5692140" y="3208020"/>
                    <a:ext cx="2743200" cy="1935480"/>
                    <a:chOff x="2948940" y="3200400"/>
                    <a:chExt cx="2743200" cy="1935480"/>
                  </a:xfrm>
                </xdr:grpSpPr>
                <xdr:grpSp>
                  <xdr:nvGrpSpPr>
                    <xdr:cNvPr id="45" name="Group 44">
                      <a:extLst>
                        <a:ext uri="{FF2B5EF4-FFF2-40B4-BE49-F238E27FC236}">
                          <a16:creationId xmlns:a16="http://schemas.microsoft.com/office/drawing/2014/main" id="{E73067B5-791E-492D-731C-15B3280E230F}"/>
                        </a:ext>
                      </a:extLst>
                    </xdr:cNvPr>
                    <xdr:cNvGrpSpPr/>
                  </xdr:nvGrpSpPr>
                  <xdr:grpSpPr>
                    <a:xfrm>
                      <a:off x="2948940" y="3200400"/>
                      <a:ext cx="2743200" cy="1714500"/>
                      <a:chOff x="60960" y="3154680"/>
                      <a:chExt cx="2743200" cy="1714500"/>
                    </a:xfrm>
                  </xdr:grpSpPr>
                  <xdr:sp macro="" textlink="">
                    <xdr:nvSpPr>
                      <xdr:cNvPr id="47" name="Rectangle 46">
                        <a:extLst>
                          <a:ext uri="{FF2B5EF4-FFF2-40B4-BE49-F238E27FC236}">
                            <a16:creationId xmlns:a16="http://schemas.microsoft.com/office/drawing/2014/main" id="{BAD34125-6187-8171-18AF-F34243CE0047}"/>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8" name="Group 47">
                        <a:extLst>
                          <a:ext uri="{FF2B5EF4-FFF2-40B4-BE49-F238E27FC236}">
                            <a16:creationId xmlns:a16="http://schemas.microsoft.com/office/drawing/2014/main" id="{06D6F1BD-6E8B-5C2C-1428-AA451B0E5B42}"/>
                          </a:ext>
                        </a:extLst>
                      </xdr:cNvPr>
                      <xdr:cNvGrpSpPr/>
                    </xdr:nvGrpSpPr>
                    <xdr:grpSpPr>
                      <a:xfrm>
                        <a:off x="365760" y="3535680"/>
                        <a:ext cx="2438400" cy="457200"/>
                        <a:chOff x="365760" y="3535680"/>
                        <a:chExt cx="1584960" cy="457200"/>
                      </a:xfrm>
                    </xdr:grpSpPr>
                    <xdr:sp macro="" textlink="">
                      <xdr:nvSpPr>
                        <xdr:cNvPr id="55" name="Rectangle 54">
                          <a:hlinkClick xmlns:r="http://schemas.openxmlformats.org/officeDocument/2006/relationships" r:id="rId12"/>
                          <a:extLst>
                            <a:ext uri="{FF2B5EF4-FFF2-40B4-BE49-F238E27FC236}">
                              <a16:creationId xmlns:a16="http://schemas.microsoft.com/office/drawing/2014/main" id="{A6158CBB-C21B-30A0-3F4D-5F1A32C35E0C}"/>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6" name="Rectangle 55">
                          <a:hlinkClick xmlns:r="http://schemas.openxmlformats.org/officeDocument/2006/relationships" r:id="rId13"/>
                          <a:extLst>
                            <a:ext uri="{FF2B5EF4-FFF2-40B4-BE49-F238E27FC236}">
                              <a16:creationId xmlns:a16="http://schemas.microsoft.com/office/drawing/2014/main" id="{CB41AC9A-5AA6-F453-9CF0-B18D6AE19AE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9" name="Group 48">
                        <a:extLst>
                          <a:ext uri="{FF2B5EF4-FFF2-40B4-BE49-F238E27FC236}">
                            <a16:creationId xmlns:a16="http://schemas.microsoft.com/office/drawing/2014/main" id="{70B0C9A1-8FFC-B229-BBD3-809AA21F744C}"/>
                          </a:ext>
                        </a:extLst>
                      </xdr:cNvPr>
                      <xdr:cNvGrpSpPr/>
                    </xdr:nvGrpSpPr>
                    <xdr:grpSpPr>
                      <a:xfrm>
                        <a:off x="365760" y="3977640"/>
                        <a:ext cx="2438400" cy="457200"/>
                        <a:chOff x="365760" y="3535680"/>
                        <a:chExt cx="1584960" cy="457200"/>
                      </a:xfrm>
                    </xdr:grpSpPr>
                    <xdr:sp macro="" textlink="">
                      <xdr:nvSpPr>
                        <xdr:cNvPr id="53" name="Rectangle 52">
                          <a:extLst>
                            <a:ext uri="{FF2B5EF4-FFF2-40B4-BE49-F238E27FC236}">
                              <a16:creationId xmlns:a16="http://schemas.microsoft.com/office/drawing/2014/main" id="{31AEA581-8051-4035-CB80-52971339D1B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4" name="Rectangle 53">
                          <a:extLst>
                            <a:ext uri="{FF2B5EF4-FFF2-40B4-BE49-F238E27FC236}">
                              <a16:creationId xmlns:a16="http://schemas.microsoft.com/office/drawing/2014/main" id="{E6B27797-D306-1E69-E450-A92D73C002B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50" name="Group 49">
                        <a:extLst>
                          <a:ext uri="{FF2B5EF4-FFF2-40B4-BE49-F238E27FC236}">
                            <a16:creationId xmlns:a16="http://schemas.microsoft.com/office/drawing/2014/main" id="{0EDCEFBD-F817-EA81-0773-D77CE8B97F4A}"/>
                          </a:ext>
                        </a:extLst>
                      </xdr:cNvPr>
                      <xdr:cNvGrpSpPr/>
                    </xdr:nvGrpSpPr>
                    <xdr:grpSpPr>
                      <a:xfrm>
                        <a:off x="365760" y="4411980"/>
                        <a:ext cx="2438400" cy="457200"/>
                        <a:chOff x="365760" y="3535680"/>
                        <a:chExt cx="1584960" cy="457200"/>
                      </a:xfrm>
                    </xdr:grpSpPr>
                    <xdr:sp macro="" textlink="">
                      <xdr:nvSpPr>
                        <xdr:cNvPr id="51" name="Rectangle 50">
                          <a:extLst>
                            <a:ext uri="{FF2B5EF4-FFF2-40B4-BE49-F238E27FC236}">
                              <a16:creationId xmlns:a16="http://schemas.microsoft.com/office/drawing/2014/main" id="{B2AC1228-6B56-F5B8-B398-75D387505A51}"/>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2" name="Rectangle 51">
                          <a:extLst>
                            <a:ext uri="{FF2B5EF4-FFF2-40B4-BE49-F238E27FC236}">
                              <a16:creationId xmlns:a16="http://schemas.microsoft.com/office/drawing/2014/main" id="{0929F9DC-56E6-31FC-3D3C-190A3687489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6" name="Rectangle 45">
                      <a:extLst>
                        <a:ext uri="{FF2B5EF4-FFF2-40B4-BE49-F238E27FC236}">
                          <a16:creationId xmlns:a16="http://schemas.microsoft.com/office/drawing/2014/main" id="{CFA9C703-7647-FE5A-89A7-0F1FAA01BF43}"/>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9" name="Group 18">
                    <a:extLst>
                      <a:ext uri="{FF2B5EF4-FFF2-40B4-BE49-F238E27FC236}">
                        <a16:creationId xmlns:a16="http://schemas.microsoft.com/office/drawing/2014/main" id="{6856B219-6014-5FDE-B48E-6CAC8C1D8071}"/>
                      </a:ext>
                    </a:extLst>
                  </xdr:cNvPr>
                  <xdr:cNvGrpSpPr/>
                </xdr:nvGrpSpPr>
                <xdr:grpSpPr>
                  <a:xfrm>
                    <a:off x="8435340" y="3208020"/>
                    <a:ext cx="2743200" cy="1935480"/>
                    <a:chOff x="2948940" y="3200400"/>
                    <a:chExt cx="2743200" cy="1935480"/>
                  </a:xfrm>
                </xdr:grpSpPr>
                <xdr:grpSp>
                  <xdr:nvGrpSpPr>
                    <xdr:cNvPr id="33" name="Group 32">
                      <a:extLst>
                        <a:ext uri="{FF2B5EF4-FFF2-40B4-BE49-F238E27FC236}">
                          <a16:creationId xmlns:a16="http://schemas.microsoft.com/office/drawing/2014/main" id="{30573808-57D5-25A4-2E13-840E48EB2466}"/>
                        </a:ext>
                      </a:extLst>
                    </xdr:cNvPr>
                    <xdr:cNvGrpSpPr/>
                  </xdr:nvGrpSpPr>
                  <xdr:grpSpPr>
                    <a:xfrm>
                      <a:off x="2948940" y="3200400"/>
                      <a:ext cx="2743200" cy="1714500"/>
                      <a:chOff x="60960" y="3154680"/>
                      <a:chExt cx="2743200" cy="1714500"/>
                    </a:xfrm>
                  </xdr:grpSpPr>
                  <xdr:sp macro="" textlink="">
                    <xdr:nvSpPr>
                      <xdr:cNvPr id="35" name="Rectangle 34">
                        <a:extLst>
                          <a:ext uri="{FF2B5EF4-FFF2-40B4-BE49-F238E27FC236}">
                            <a16:creationId xmlns:a16="http://schemas.microsoft.com/office/drawing/2014/main" id="{267FA01F-CE05-93E8-9764-E5367550E0E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6" name="Group 35">
                        <a:extLst>
                          <a:ext uri="{FF2B5EF4-FFF2-40B4-BE49-F238E27FC236}">
                            <a16:creationId xmlns:a16="http://schemas.microsoft.com/office/drawing/2014/main" id="{FFA28EE7-AA95-1D3C-97CD-CA6C10C2BE7C}"/>
                          </a:ext>
                        </a:extLst>
                      </xdr:cNvPr>
                      <xdr:cNvGrpSpPr/>
                    </xdr:nvGrpSpPr>
                    <xdr:grpSpPr>
                      <a:xfrm>
                        <a:off x="365760" y="3535680"/>
                        <a:ext cx="2438400" cy="457200"/>
                        <a:chOff x="365760" y="3535680"/>
                        <a:chExt cx="1584960" cy="457200"/>
                      </a:xfrm>
                    </xdr:grpSpPr>
                    <xdr:sp macro="" textlink="">
                      <xdr:nvSpPr>
                        <xdr:cNvPr id="43" name="Rectangle 42">
                          <a:extLst>
                            <a:ext uri="{FF2B5EF4-FFF2-40B4-BE49-F238E27FC236}">
                              <a16:creationId xmlns:a16="http://schemas.microsoft.com/office/drawing/2014/main" id="{C53AE23D-0E92-8C59-F0B9-D268DB2C35B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4" name="Rectangle 43">
                          <a:extLst>
                            <a:ext uri="{FF2B5EF4-FFF2-40B4-BE49-F238E27FC236}">
                              <a16:creationId xmlns:a16="http://schemas.microsoft.com/office/drawing/2014/main" id="{86014FE2-5D6B-D596-1641-552828B81DA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7" name="Group 36">
                        <a:extLst>
                          <a:ext uri="{FF2B5EF4-FFF2-40B4-BE49-F238E27FC236}">
                            <a16:creationId xmlns:a16="http://schemas.microsoft.com/office/drawing/2014/main" id="{216B0AF7-44EC-80D8-B468-17C4077AE076}"/>
                          </a:ext>
                        </a:extLst>
                      </xdr:cNvPr>
                      <xdr:cNvGrpSpPr/>
                    </xdr:nvGrpSpPr>
                    <xdr:grpSpPr>
                      <a:xfrm>
                        <a:off x="365760" y="3977640"/>
                        <a:ext cx="2438400" cy="457200"/>
                        <a:chOff x="365760" y="3535680"/>
                        <a:chExt cx="1584960" cy="457200"/>
                      </a:xfrm>
                    </xdr:grpSpPr>
                    <xdr:sp macro="" textlink="">
                      <xdr:nvSpPr>
                        <xdr:cNvPr id="41" name="Rectangle 40">
                          <a:extLst>
                            <a:ext uri="{FF2B5EF4-FFF2-40B4-BE49-F238E27FC236}">
                              <a16:creationId xmlns:a16="http://schemas.microsoft.com/office/drawing/2014/main" id="{F575D988-07D7-088D-7454-71E98DA8AB5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2" name="Rectangle 41">
                          <a:extLst>
                            <a:ext uri="{FF2B5EF4-FFF2-40B4-BE49-F238E27FC236}">
                              <a16:creationId xmlns:a16="http://schemas.microsoft.com/office/drawing/2014/main" id="{FFE3B313-636F-7F5D-ADA3-77C6FED0189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8" name="Group 37">
                        <a:extLst>
                          <a:ext uri="{FF2B5EF4-FFF2-40B4-BE49-F238E27FC236}">
                            <a16:creationId xmlns:a16="http://schemas.microsoft.com/office/drawing/2014/main" id="{02B2C1D3-199C-9303-E822-DA51063F69AE}"/>
                          </a:ext>
                        </a:extLst>
                      </xdr:cNvPr>
                      <xdr:cNvGrpSpPr/>
                    </xdr:nvGrpSpPr>
                    <xdr:grpSpPr>
                      <a:xfrm>
                        <a:off x="365760" y="4411980"/>
                        <a:ext cx="2438400" cy="457200"/>
                        <a:chOff x="365760" y="3535680"/>
                        <a:chExt cx="1584960" cy="457200"/>
                      </a:xfrm>
                    </xdr:grpSpPr>
                    <xdr:sp macro="" textlink="">
                      <xdr:nvSpPr>
                        <xdr:cNvPr id="39" name="Rectangle 38">
                          <a:extLst>
                            <a:ext uri="{FF2B5EF4-FFF2-40B4-BE49-F238E27FC236}">
                              <a16:creationId xmlns:a16="http://schemas.microsoft.com/office/drawing/2014/main" id="{BCEFB7AA-02E3-E382-CEFD-B7A3A7B2AEA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40" name="Rectangle 39">
                          <a:extLst>
                            <a:ext uri="{FF2B5EF4-FFF2-40B4-BE49-F238E27FC236}">
                              <a16:creationId xmlns:a16="http://schemas.microsoft.com/office/drawing/2014/main" id="{DE72ECC6-A108-0F34-2813-BE193C28581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4" name="Rectangle 33">
                      <a:extLst>
                        <a:ext uri="{FF2B5EF4-FFF2-40B4-BE49-F238E27FC236}">
                          <a16:creationId xmlns:a16="http://schemas.microsoft.com/office/drawing/2014/main" id="{325AF4EB-DC74-95A3-BD06-2E581BDFC6A9}"/>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20" name="Group 19">
                    <a:extLst>
                      <a:ext uri="{FF2B5EF4-FFF2-40B4-BE49-F238E27FC236}">
                        <a16:creationId xmlns:a16="http://schemas.microsoft.com/office/drawing/2014/main" id="{FE08D0C7-5771-14D1-9279-426A997301C4}"/>
                      </a:ext>
                    </a:extLst>
                  </xdr:cNvPr>
                  <xdr:cNvGrpSpPr/>
                </xdr:nvGrpSpPr>
                <xdr:grpSpPr>
                  <a:xfrm>
                    <a:off x="11170920" y="3208020"/>
                    <a:ext cx="2743200" cy="1935480"/>
                    <a:chOff x="2948940" y="3200400"/>
                    <a:chExt cx="2743200" cy="1935480"/>
                  </a:xfrm>
                </xdr:grpSpPr>
                <xdr:grpSp>
                  <xdr:nvGrpSpPr>
                    <xdr:cNvPr id="21" name="Group 20">
                      <a:extLst>
                        <a:ext uri="{FF2B5EF4-FFF2-40B4-BE49-F238E27FC236}">
                          <a16:creationId xmlns:a16="http://schemas.microsoft.com/office/drawing/2014/main" id="{B0381B86-BB96-8831-40A5-950C5E4AAE6E}"/>
                        </a:ext>
                      </a:extLst>
                    </xdr:cNvPr>
                    <xdr:cNvGrpSpPr/>
                  </xdr:nvGrpSpPr>
                  <xdr:grpSpPr>
                    <a:xfrm>
                      <a:off x="2948940" y="3200400"/>
                      <a:ext cx="2743200" cy="1714500"/>
                      <a:chOff x="60960" y="3154680"/>
                      <a:chExt cx="2743200" cy="1714500"/>
                    </a:xfrm>
                  </xdr:grpSpPr>
                  <xdr:sp macro="" textlink="">
                    <xdr:nvSpPr>
                      <xdr:cNvPr id="23" name="Rectangle 22">
                        <a:extLst>
                          <a:ext uri="{FF2B5EF4-FFF2-40B4-BE49-F238E27FC236}">
                            <a16:creationId xmlns:a16="http://schemas.microsoft.com/office/drawing/2014/main" id="{8DFAB826-56D2-A663-FB48-17C865B5B06A}"/>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4" name="Group 23">
                        <a:extLst>
                          <a:ext uri="{FF2B5EF4-FFF2-40B4-BE49-F238E27FC236}">
                            <a16:creationId xmlns:a16="http://schemas.microsoft.com/office/drawing/2014/main" id="{5C0BED03-87D4-7566-BD88-3123C74EED7A}"/>
                          </a:ext>
                        </a:extLst>
                      </xdr:cNvPr>
                      <xdr:cNvGrpSpPr/>
                    </xdr:nvGrpSpPr>
                    <xdr:grpSpPr>
                      <a:xfrm>
                        <a:off x="365760" y="3535680"/>
                        <a:ext cx="2438400" cy="457200"/>
                        <a:chOff x="365760" y="3535680"/>
                        <a:chExt cx="1584960" cy="457200"/>
                      </a:xfrm>
                    </xdr:grpSpPr>
                    <xdr:sp macro="" textlink="">
                      <xdr:nvSpPr>
                        <xdr:cNvPr id="31" name="Rectangle 30">
                          <a:hlinkClick xmlns:r="http://schemas.openxmlformats.org/officeDocument/2006/relationships" r:id="rId14"/>
                          <a:extLst>
                            <a:ext uri="{FF2B5EF4-FFF2-40B4-BE49-F238E27FC236}">
                              <a16:creationId xmlns:a16="http://schemas.microsoft.com/office/drawing/2014/main" id="{DFE518BD-9FC5-5589-B941-AF2ABC0A494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2" name="Rectangle 31">
                          <a:hlinkClick xmlns:r="http://schemas.openxmlformats.org/officeDocument/2006/relationships" r:id="rId15"/>
                          <a:extLst>
                            <a:ext uri="{FF2B5EF4-FFF2-40B4-BE49-F238E27FC236}">
                              <a16:creationId xmlns:a16="http://schemas.microsoft.com/office/drawing/2014/main" id="{66063BE3-3A35-BC0B-351D-180DF7041C2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5" name="Group 24">
                        <a:extLst>
                          <a:ext uri="{FF2B5EF4-FFF2-40B4-BE49-F238E27FC236}">
                            <a16:creationId xmlns:a16="http://schemas.microsoft.com/office/drawing/2014/main" id="{A836C8B6-2561-A3A4-6B69-D3C5953183BC}"/>
                          </a:ext>
                        </a:extLst>
                      </xdr:cNvPr>
                      <xdr:cNvGrpSpPr/>
                    </xdr:nvGrpSpPr>
                    <xdr:grpSpPr>
                      <a:xfrm>
                        <a:off x="365760" y="3977640"/>
                        <a:ext cx="2438400" cy="457200"/>
                        <a:chOff x="365760" y="3535680"/>
                        <a:chExt cx="1584960" cy="457200"/>
                      </a:xfrm>
                    </xdr:grpSpPr>
                    <xdr:sp macro="" textlink="">
                      <xdr:nvSpPr>
                        <xdr:cNvPr id="29" name="Rectangle 28">
                          <a:hlinkClick xmlns:r="http://schemas.openxmlformats.org/officeDocument/2006/relationships" r:id="rId16"/>
                          <a:extLst>
                            <a:ext uri="{FF2B5EF4-FFF2-40B4-BE49-F238E27FC236}">
                              <a16:creationId xmlns:a16="http://schemas.microsoft.com/office/drawing/2014/main" id="{89DD7040-0DA9-B954-3D33-A74933500A5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30" name="Rectangle 29">
                          <a:extLst>
                            <a:ext uri="{FF2B5EF4-FFF2-40B4-BE49-F238E27FC236}">
                              <a16:creationId xmlns:a16="http://schemas.microsoft.com/office/drawing/2014/main" id="{BAABB626-00E5-D2DF-1E20-55B3AFBCFB74}"/>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6" name="Group 25">
                        <a:extLst>
                          <a:ext uri="{FF2B5EF4-FFF2-40B4-BE49-F238E27FC236}">
                            <a16:creationId xmlns:a16="http://schemas.microsoft.com/office/drawing/2014/main" id="{02C5B556-45CC-C874-266D-A6F49EC9ED8A}"/>
                          </a:ext>
                        </a:extLst>
                      </xdr:cNvPr>
                      <xdr:cNvGrpSpPr/>
                    </xdr:nvGrpSpPr>
                    <xdr:grpSpPr>
                      <a:xfrm>
                        <a:off x="365760" y="4411980"/>
                        <a:ext cx="2438400" cy="457200"/>
                        <a:chOff x="365760" y="3535680"/>
                        <a:chExt cx="1584960" cy="457200"/>
                      </a:xfrm>
                    </xdr:grpSpPr>
                    <xdr:sp macro="" textlink="">
                      <xdr:nvSpPr>
                        <xdr:cNvPr id="27" name="Rectangle 26">
                          <a:extLst>
                            <a:ext uri="{FF2B5EF4-FFF2-40B4-BE49-F238E27FC236}">
                              <a16:creationId xmlns:a16="http://schemas.microsoft.com/office/drawing/2014/main" id="{27B2BD67-895B-AE5C-9ACF-CD357E26997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8" name="Rectangle 27">
                          <a:extLst>
                            <a:ext uri="{FF2B5EF4-FFF2-40B4-BE49-F238E27FC236}">
                              <a16:creationId xmlns:a16="http://schemas.microsoft.com/office/drawing/2014/main" id="{2A8C20FE-AC99-CB46-0FB8-DB7F8D4A911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2" name="Rectangle 21">
                      <a:extLst>
                        <a:ext uri="{FF2B5EF4-FFF2-40B4-BE49-F238E27FC236}">
                          <a16:creationId xmlns:a16="http://schemas.microsoft.com/office/drawing/2014/main" id="{09B24C32-358D-AC77-6F0A-1312F71A519F}"/>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5" name="Rectangle 14">
                  <a:extLst>
                    <a:ext uri="{FF2B5EF4-FFF2-40B4-BE49-F238E27FC236}">
                      <a16:creationId xmlns:a16="http://schemas.microsoft.com/office/drawing/2014/main" id="{ADBB09A8-BF11-9E40-CE33-566AC35DB143}"/>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9" name="Rectangle: Rounded Corners 8">
              <a:extLst>
                <a:ext uri="{FF2B5EF4-FFF2-40B4-BE49-F238E27FC236}">
                  <a16:creationId xmlns:a16="http://schemas.microsoft.com/office/drawing/2014/main" id="{B4840C69-63E0-41DA-D25D-06674707DD9E}"/>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10" name="Rectangle: Rounded Corners 9">
              <a:extLst>
                <a:ext uri="{FF2B5EF4-FFF2-40B4-BE49-F238E27FC236}">
                  <a16:creationId xmlns:a16="http://schemas.microsoft.com/office/drawing/2014/main" id="{794387A6-D895-0041-39D1-453193F70FED}"/>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11" name="Rectangle: Rounded Corners 10">
              <a:extLst>
                <a:ext uri="{FF2B5EF4-FFF2-40B4-BE49-F238E27FC236}">
                  <a16:creationId xmlns:a16="http://schemas.microsoft.com/office/drawing/2014/main" id="{AB125565-50FF-CD25-8C8C-4564EB719420}"/>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6" name="Picture 5">
            <a:hlinkClick xmlns:r="http://schemas.openxmlformats.org/officeDocument/2006/relationships" r:id="rId17"/>
            <a:extLst>
              <a:ext uri="{FF2B5EF4-FFF2-40B4-BE49-F238E27FC236}">
                <a16:creationId xmlns:a16="http://schemas.microsoft.com/office/drawing/2014/main" id="{6ED69ACC-EF11-5576-A247-23D78634CA74}"/>
              </a:ext>
            </a:extLst>
          </xdr:cNvPr>
          <xdr:cNvPicPr>
            <a:picLocks noChangeAspect="1"/>
          </xdr:cNvPicPr>
        </xdr:nvPicPr>
        <xdr:blipFill rotWithShape="1">
          <a:blip xmlns:r="http://schemas.openxmlformats.org/officeDocument/2006/relationships" r:embed="rId18">
            <a:extLst>
              <a:ext uri="{BEBA8EAE-BF5A-486C-A8C5-ECC9F3942E4B}">
                <a14:imgProps xmlns:a14="http://schemas.microsoft.com/office/drawing/2010/main">
                  <a14:imgLayer r:embed="rId19">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6</xdr:col>
      <xdr:colOff>466725</xdr:colOff>
      <xdr:row>23</xdr:row>
      <xdr:rowOff>376238</xdr:rowOff>
    </xdr:from>
    <xdr:to>
      <xdr:col>10</xdr:col>
      <xdr:colOff>657225</xdr:colOff>
      <xdr:row>34</xdr:row>
      <xdr:rowOff>214313</xdr:rowOff>
    </xdr:to>
    <xdr:graphicFrame macro="">
      <xdr:nvGraphicFramePr>
        <xdr:cNvPr id="2" name="Chart 1">
          <a:extLst>
            <a:ext uri="{FF2B5EF4-FFF2-40B4-BE49-F238E27FC236}">
              <a16:creationId xmlns:a16="http://schemas.microsoft.com/office/drawing/2014/main" id="{1E7C26AD-F411-439E-8858-D410926EEB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885825</xdr:colOff>
      <xdr:row>23</xdr:row>
      <xdr:rowOff>376238</xdr:rowOff>
    </xdr:from>
    <xdr:to>
      <xdr:col>14</xdr:col>
      <xdr:colOff>1076325</xdr:colOff>
      <xdr:row>34</xdr:row>
      <xdr:rowOff>214313</xdr:rowOff>
    </xdr:to>
    <xdr:graphicFrame macro="">
      <xdr:nvGraphicFramePr>
        <xdr:cNvPr id="3" name="Chart 2">
          <a:extLst>
            <a:ext uri="{FF2B5EF4-FFF2-40B4-BE49-F238E27FC236}">
              <a16:creationId xmlns:a16="http://schemas.microsoft.com/office/drawing/2014/main" id="{6ADCC1D1-818D-4C67-B8C5-7948E268E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95250</xdr:rowOff>
    </xdr:from>
    <xdr:to>
      <xdr:col>22</xdr:col>
      <xdr:colOff>146063</xdr:colOff>
      <xdr:row>14</xdr:row>
      <xdr:rowOff>0</xdr:rowOff>
    </xdr:to>
    <xdr:grpSp>
      <xdr:nvGrpSpPr>
        <xdr:cNvPr id="4" name="Group 3">
          <a:extLst>
            <a:ext uri="{FF2B5EF4-FFF2-40B4-BE49-F238E27FC236}">
              <a16:creationId xmlns:a16="http://schemas.microsoft.com/office/drawing/2014/main" id="{E41C0974-C178-4DEE-B922-D8310E178012}"/>
            </a:ext>
          </a:extLst>
        </xdr:cNvPr>
        <xdr:cNvGrpSpPr/>
      </xdr:nvGrpSpPr>
      <xdr:grpSpPr>
        <a:xfrm>
          <a:off x="0" y="95250"/>
          <a:ext cx="21545563" cy="2619375"/>
          <a:chOff x="0" y="25400"/>
          <a:chExt cx="18808713" cy="2465554"/>
        </a:xfrm>
      </xdr:grpSpPr>
      <xdr:grpSp>
        <xdr:nvGrpSpPr>
          <xdr:cNvPr id="5" name="Group 4">
            <a:extLst>
              <a:ext uri="{FF2B5EF4-FFF2-40B4-BE49-F238E27FC236}">
                <a16:creationId xmlns:a16="http://schemas.microsoft.com/office/drawing/2014/main" id="{09C5A351-512C-34CF-3C95-2A6E06DB723C}"/>
              </a:ext>
            </a:extLst>
          </xdr:cNvPr>
          <xdr:cNvGrpSpPr/>
        </xdr:nvGrpSpPr>
        <xdr:grpSpPr>
          <a:xfrm>
            <a:off x="0" y="268648"/>
            <a:ext cx="18808713" cy="2222306"/>
            <a:chOff x="-2" y="774501"/>
            <a:chExt cx="14238616" cy="2312445"/>
          </a:xfrm>
        </xdr:grpSpPr>
        <xdr:sp macro="" textlink="">
          <xdr:nvSpPr>
            <xdr:cNvPr id="7" name="Rectangle: Rounded Corners 6">
              <a:extLst>
                <a:ext uri="{FF2B5EF4-FFF2-40B4-BE49-F238E27FC236}">
                  <a16:creationId xmlns:a16="http://schemas.microsoft.com/office/drawing/2014/main" id="{17023014-587D-0396-9FB8-19C70D9FC266}"/>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8" name="Group 7">
              <a:extLst>
                <a:ext uri="{FF2B5EF4-FFF2-40B4-BE49-F238E27FC236}">
                  <a16:creationId xmlns:a16="http://schemas.microsoft.com/office/drawing/2014/main" id="{F216CA72-EAA1-94FC-031D-4C7B586A7882}"/>
                </a:ext>
              </a:extLst>
            </xdr:cNvPr>
            <xdr:cNvGrpSpPr/>
          </xdr:nvGrpSpPr>
          <xdr:grpSpPr>
            <a:xfrm>
              <a:off x="-2" y="977052"/>
              <a:ext cx="14238606" cy="2109894"/>
              <a:chOff x="15238" y="3223260"/>
              <a:chExt cx="14214009" cy="2072640"/>
            </a:xfrm>
          </xdr:grpSpPr>
          <xdr:sp macro="" textlink="">
            <xdr:nvSpPr>
              <xdr:cNvPr id="12" name="Rectangle 11">
                <a:extLst>
                  <a:ext uri="{FF2B5EF4-FFF2-40B4-BE49-F238E27FC236}">
                    <a16:creationId xmlns:a16="http://schemas.microsoft.com/office/drawing/2014/main" id="{62C99EF7-373A-05FF-DE94-B55317623BC4}"/>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3" name="Group 12">
                <a:extLst>
                  <a:ext uri="{FF2B5EF4-FFF2-40B4-BE49-F238E27FC236}">
                    <a16:creationId xmlns:a16="http://schemas.microsoft.com/office/drawing/2014/main" id="{7125511B-499A-F986-D72C-4A6C48C44951}"/>
                  </a:ext>
                </a:extLst>
              </xdr:cNvPr>
              <xdr:cNvGrpSpPr/>
            </xdr:nvGrpSpPr>
            <xdr:grpSpPr>
              <a:xfrm>
                <a:off x="121920" y="3291840"/>
                <a:ext cx="13708380" cy="1950720"/>
                <a:chOff x="205740" y="2491740"/>
                <a:chExt cx="13708380" cy="1950720"/>
              </a:xfrm>
            </xdr:grpSpPr>
            <xdr:grpSp>
              <xdr:nvGrpSpPr>
                <xdr:cNvPr id="14" name="Group 13">
                  <a:extLst>
                    <a:ext uri="{FF2B5EF4-FFF2-40B4-BE49-F238E27FC236}">
                      <a16:creationId xmlns:a16="http://schemas.microsoft.com/office/drawing/2014/main" id="{572C43FB-DD58-5685-598E-B90162588F45}"/>
                    </a:ext>
                  </a:extLst>
                </xdr:cNvPr>
                <xdr:cNvGrpSpPr/>
              </xdr:nvGrpSpPr>
              <xdr:grpSpPr>
                <a:xfrm>
                  <a:off x="205740" y="2491740"/>
                  <a:ext cx="13708380" cy="1950720"/>
                  <a:chOff x="205740" y="3192780"/>
                  <a:chExt cx="13708380" cy="1950720"/>
                </a:xfrm>
              </xdr:grpSpPr>
              <xdr:grpSp>
                <xdr:nvGrpSpPr>
                  <xdr:cNvPr id="16" name="Group 15">
                    <a:extLst>
                      <a:ext uri="{FF2B5EF4-FFF2-40B4-BE49-F238E27FC236}">
                        <a16:creationId xmlns:a16="http://schemas.microsoft.com/office/drawing/2014/main" id="{F520700D-8326-F253-D73E-A8859DC4D79F}"/>
                      </a:ext>
                    </a:extLst>
                  </xdr:cNvPr>
                  <xdr:cNvGrpSpPr/>
                </xdr:nvGrpSpPr>
                <xdr:grpSpPr>
                  <a:xfrm>
                    <a:off x="2948940" y="3200400"/>
                    <a:ext cx="2743200" cy="1935480"/>
                    <a:chOff x="2948940" y="3200400"/>
                    <a:chExt cx="2743200" cy="1935480"/>
                  </a:xfrm>
                </xdr:grpSpPr>
                <xdr:grpSp>
                  <xdr:nvGrpSpPr>
                    <xdr:cNvPr id="69" name="Group 68">
                      <a:extLst>
                        <a:ext uri="{FF2B5EF4-FFF2-40B4-BE49-F238E27FC236}">
                          <a16:creationId xmlns:a16="http://schemas.microsoft.com/office/drawing/2014/main" id="{F18CC6E5-DA3E-6CB4-E77E-621D83A612C4}"/>
                        </a:ext>
                      </a:extLst>
                    </xdr:cNvPr>
                    <xdr:cNvGrpSpPr/>
                  </xdr:nvGrpSpPr>
                  <xdr:grpSpPr>
                    <a:xfrm>
                      <a:off x="2948940" y="3200400"/>
                      <a:ext cx="2743200" cy="1714500"/>
                      <a:chOff x="60960" y="3154680"/>
                      <a:chExt cx="2743200" cy="1714500"/>
                    </a:xfrm>
                  </xdr:grpSpPr>
                  <xdr:sp macro="" textlink="">
                    <xdr:nvSpPr>
                      <xdr:cNvPr id="71" name="Rectangle 70">
                        <a:extLst>
                          <a:ext uri="{FF2B5EF4-FFF2-40B4-BE49-F238E27FC236}">
                            <a16:creationId xmlns:a16="http://schemas.microsoft.com/office/drawing/2014/main" id="{F0646583-D9E2-B496-7987-7834C47DCC60}"/>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2" name="Group 71">
                        <a:extLst>
                          <a:ext uri="{FF2B5EF4-FFF2-40B4-BE49-F238E27FC236}">
                            <a16:creationId xmlns:a16="http://schemas.microsoft.com/office/drawing/2014/main" id="{1B44567E-AA78-2E31-9D54-4FDDA6306ABA}"/>
                          </a:ext>
                        </a:extLst>
                      </xdr:cNvPr>
                      <xdr:cNvGrpSpPr/>
                    </xdr:nvGrpSpPr>
                    <xdr:grpSpPr>
                      <a:xfrm>
                        <a:off x="365760" y="3535680"/>
                        <a:ext cx="2438400" cy="457200"/>
                        <a:chOff x="365760" y="3535680"/>
                        <a:chExt cx="1584960" cy="457200"/>
                      </a:xfrm>
                    </xdr:grpSpPr>
                    <xdr:sp macro="" textlink="">
                      <xdr:nvSpPr>
                        <xdr:cNvPr id="79" name="Rectangle 78">
                          <a:hlinkClick xmlns:r="http://schemas.openxmlformats.org/officeDocument/2006/relationships" r:id="rId3"/>
                          <a:extLst>
                            <a:ext uri="{FF2B5EF4-FFF2-40B4-BE49-F238E27FC236}">
                              <a16:creationId xmlns:a16="http://schemas.microsoft.com/office/drawing/2014/main" id="{7FFADB4F-8F98-9DAB-7EDF-CCD6073EB59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80" name="Rectangle 79">
                          <a:hlinkClick xmlns:r="http://schemas.openxmlformats.org/officeDocument/2006/relationships" r:id="rId3"/>
                          <a:extLst>
                            <a:ext uri="{FF2B5EF4-FFF2-40B4-BE49-F238E27FC236}">
                              <a16:creationId xmlns:a16="http://schemas.microsoft.com/office/drawing/2014/main" id="{9AD81246-3488-DFE5-01A9-31EA8D04EDC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3" name="Group 72">
                        <a:extLst>
                          <a:ext uri="{FF2B5EF4-FFF2-40B4-BE49-F238E27FC236}">
                            <a16:creationId xmlns:a16="http://schemas.microsoft.com/office/drawing/2014/main" id="{12189D5E-260A-FA55-DA4A-460C2B05ED8C}"/>
                          </a:ext>
                        </a:extLst>
                      </xdr:cNvPr>
                      <xdr:cNvGrpSpPr/>
                    </xdr:nvGrpSpPr>
                    <xdr:grpSpPr>
                      <a:xfrm>
                        <a:off x="365760" y="3977640"/>
                        <a:ext cx="2438400" cy="457200"/>
                        <a:chOff x="365760" y="3535680"/>
                        <a:chExt cx="1584960" cy="457200"/>
                      </a:xfrm>
                    </xdr:grpSpPr>
                    <xdr:sp macro="" textlink="">
                      <xdr:nvSpPr>
                        <xdr:cNvPr id="77" name="Rectangle 76">
                          <a:extLst>
                            <a:ext uri="{FF2B5EF4-FFF2-40B4-BE49-F238E27FC236}">
                              <a16:creationId xmlns:a16="http://schemas.microsoft.com/office/drawing/2014/main" id="{BB239306-AA56-9DDB-4353-A656F2F5C0D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78" name="Rectangle 77">
                          <a:hlinkClick xmlns:r="http://schemas.openxmlformats.org/officeDocument/2006/relationships" r:id="rId4"/>
                          <a:extLst>
                            <a:ext uri="{FF2B5EF4-FFF2-40B4-BE49-F238E27FC236}">
                              <a16:creationId xmlns:a16="http://schemas.microsoft.com/office/drawing/2014/main" id="{1333C109-B9F0-0FAD-E190-80DEA0179CB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4" name="Group 73">
                        <a:extLst>
                          <a:ext uri="{FF2B5EF4-FFF2-40B4-BE49-F238E27FC236}">
                            <a16:creationId xmlns:a16="http://schemas.microsoft.com/office/drawing/2014/main" id="{87BA3F4B-3E53-667E-7958-9CB68B32279D}"/>
                          </a:ext>
                        </a:extLst>
                      </xdr:cNvPr>
                      <xdr:cNvGrpSpPr/>
                    </xdr:nvGrpSpPr>
                    <xdr:grpSpPr>
                      <a:xfrm>
                        <a:off x="365760" y="4411980"/>
                        <a:ext cx="2438400" cy="457200"/>
                        <a:chOff x="365760" y="3535680"/>
                        <a:chExt cx="1584960" cy="457200"/>
                      </a:xfrm>
                    </xdr:grpSpPr>
                    <xdr:sp macro="" textlink="">
                      <xdr:nvSpPr>
                        <xdr:cNvPr id="75" name="Rectangle 74">
                          <a:hlinkClick xmlns:r="http://schemas.openxmlformats.org/officeDocument/2006/relationships" r:id="rId5"/>
                          <a:extLst>
                            <a:ext uri="{FF2B5EF4-FFF2-40B4-BE49-F238E27FC236}">
                              <a16:creationId xmlns:a16="http://schemas.microsoft.com/office/drawing/2014/main" id="{1502DF38-0CED-9377-CA28-A1AA4A2DC81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6" name="Rectangle 75">
                          <a:extLst>
                            <a:ext uri="{FF2B5EF4-FFF2-40B4-BE49-F238E27FC236}">
                              <a16:creationId xmlns:a16="http://schemas.microsoft.com/office/drawing/2014/main" id="{8941CE8C-EE6B-A5E8-D71C-1316103A747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70" name="Rectangle 69">
                      <a:extLst>
                        <a:ext uri="{FF2B5EF4-FFF2-40B4-BE49-F238E27FC236}">
                          <a16:creationId xmlns:a16="http://schemas.microsoft.com/office/drawing/2014/main" id="{BE5C1314-1E2A-948A-8DF5-A2E0A3A71032}"/>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7" name="Group 16">
                    <a:extLst>
                      <a:ext uri="{FF2B5EF4-FFF2-40B4-BE49-F238E27FC236}">
                        <a16:creationId xmlns:a16="http://schemas.microsoft.com/office/drawing/2014/main" id="{9ECB05C2-629D-B38D-301B-53820B0DBCBE}"/>
                      </a:ext>
                    </a:extLst>
                  </xdr:cNvPr>
                  <xdr:cNvGrpSpPr/>
                </xdr:nvGrpSpPr>
                <xdr:grpSpPr>
                  <a:xfrm>
                    <a:off x="205740" y="3192780"/>
                    <a:ext cx="2743200" cy="1943100"/>
                    <a:chOff x="205740" y="3192780"/>
                    <a:chExt cx="2743200" cy="1943100"/>
                  </a:xfrm>
                </xdr:grpSpPr>
                <xdr:grpSp>
                  <xdr:nvGrpSpPr>
                    <xdr:cNvPr id="57" name="Group 56">
                      <a:extLst>
                        <a:ext uri="{FF2B5EF4-FFF2-40B4-BE49-F238E27FC236}">
                          <a16:creationId xmlns:a16="http://schemas.microsoft.com/office/drawing/2014/main" id="{C3F99C82-15E6-BF8E-7D9B-8069219B2768}"/>
                        </a:ext>
                      </a:extLst>
                    </xdr:cNvPr>
                    <xdr:cNvGrpSpPr/>
                  </xdr:nvGrpSpPr>
                  <xdr:grpSpPr>
                    <a:xfrm>
                      <a:off x="205740" y="3192780"/>
                      <a:ext cx="2743200" cy="1714500"/>
                      <a:chOff x="60960" y="3154680"/>
                      <a:chExt cx="2743200" cy="1714500"/>
                    </a:xfrm>
                  </xdr:grpSpPr>
                  <xdr:sp macro="" textlink="">
                    <xdr:nvSpPr>
                      <xdr:cNvPr id="59" name="Rectangle 58">
                        <a:extLst>
                          <a:ext uri="{FF2B5EF4-FFF2-40B4-BE49-F238E27FC236}">
                            <a16:creationId xmlns:a16="http://schemas.microsoft.com/office/drawing/2014/main" id="{8C7C8815-7E1C-83D5-F924-9AC1A5621109}"/>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60" name="Group 59">
                        <a:extLst>
                          <a:ext uri="{FF2B5EF4-FFF2-40B4-BE49-F238E27FC236}">
                            <a16:creationId xmlns:a16="http://schemas.microsoft.com/office/drawing/2014/main" id="{B35A619E-13A8-6B8C-5850-61664D7AD689}"/>
                          </a:ext>
                        </a:extLst>
                      </xdr:cNvPr>
                      <xdr:cNvGrpSpPr/>
                    </xdr:nvGrpSpPr>
                    <xdr:grpSpPr>
                      <a:xfrm>
                        <a:off x="365760" y="3535680"/>
                        <a:ext cx="2438400" cy="457200"/>
                        <a:chOff x="365760" y="3535680"/>
                        <a:chExt cx="1584960" cy="457200"/>
                      </a:xfrm>
                    </xdr:grpSpPr>
                    <xdr:sp macro="" textlink="">
                      <xdr:nvSpPr>
                        <xdr:cNvPr id="67" name="Rectangle 66">
                          <a:hlinkClick xmlns:r="http://schemas.openxmlformats.org/officeDocument/2006/relationships" r:id="rId6"/>
                          <a:extLst>
                            <a:ext uri="{FF2B5EF4-FFF2-40B4-BE49-F238E27FC236}">
                              <a16:creationId xmlns:a16="http://schemas.microsoft.com/office/drawing/2014/main" id="{0423AF34-C3D9-3534-8F81-422329CFA470}"/>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68" name="Rectangle 67">
                          <a:hlinkClick xmlns:r="http://schemas.openxmlformats.org/officeDocument/2006/relationships" r:id="rId7"/>
                          <a:extLst>
                            <a:ext uri="{FF2B5EF4-FFF2-40B4-BE49-F238E27FC236}">
                              <a16:creationId xmlns:a16="http://schemas.microsoft.com/office/drawing/2014/main" id="{8B00840D-3BD7-23D4-09A8-4E65A0CC9DA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61" name="Group 60">
                        <a:extLst>
                          <a:ext uri="{FF2B5EF4-FFF2-40B4-BE49-F238E27FC236}">
                            <a16:creationId xmlns:a16="http://schemas.microsoft.com/office/drawing/2014/main" id="{06DA74AA-9652-81BA-729C-239B49DB8128}"/>
                          </a:ext>
                        </a:extLst>
                      </xdr:cNvPr>
                      <xdr:cNvGrpSpPr/>
                    </xdr:nvGrpSpPr>
                    <xdr:grpSpPr>
                      <a:xfrm>
                        <a:off x="365760" y="3977640"/>
                        <a:ext cx="2438400" cy="457200"/>
                        <a:chOff x="365760" y="3535680"/>
                        <a:chExt cx="1584960" cy="457200"/>
                      </a:xfrm>
                    </xdr:grpSpPr>
                    <xdr:sp macro="" textlink="">
                      <xdr:nvSpPr>
                        <xdr:cNvPr id="65" name="Rectangle 64">
                          <a:hlinkClick xmlns:r="http://schemas.openxmlformats.org/officeDocument/2006/relationships" r:id="rId8"/>
                          <a:extLst>
                            <a:ext uri="{FF2B5EF4-FFF2-40B4-BE49-F238E27FC236}">
                              <a16:creationId xmlns:a16="http://schemas.microsoft.com/office/drawing/2014/main" id="{06B49B21-DEF9-2135-1CA3-531FC11B0B2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6" name="Rectangle 65">
                          <a:hlinkClick xmlns:r="http://schemas.openxmlformats.org/officeDocument/2006/relationships" r:id="rId9"/>
                          <a:extLst>
                            <a:ext uri="{FF2B5EF4-FFF2-40B4-BE49-F238E27FC236}">
                              <a16:creationId xmlns:a16="http://schemas.microsoft.com/office/drawing/2014/main" id="{F5961069-9802-2393-6470-E0F4DD806D5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2" name="Group 61">
                        <a:extLst>
                          <a:ext uri="{FF2B5EF4-FFF2-40B4-BE49-F238E27FC236}">
                            <a16:creationId xmlns:a16="http://schemas.microsoft.com/office/drawing/2014/main" id="{E0BA54C3-E9E8-3E25-A5EF-433C6A63DDB4}"/>
                          </a:ext>
                        </a:extLst>
                      </xdr:cNvPr>
                      <xdr:cNvGrpSpPr/>
                    </xdr:nvGrpSpPr>
                    <xdr:grpSpPr>
                      <a:xfrm>
                        <a:off x="365760" y="4411980"/>
                        <a:ext cx="2438400" cy="457200"/>
                        <a:chOff x="365760" y="3535680"/>
                        <a:chExt cx="1584960" cy="457200"/>
                      </a:xfrm>
                    </xdr:grpSpPr>
                    <xdr:sp macro="" textlink="">
                      <xdr:nvSpPr>
                        <xdr:cNvPr id="63" name="Rectangle 62">
                          <a:hlinkClick xmlns:r="http://schemas.openxmlformats.org/officeDocument/2006/relationships" r:id="rId10"/>
                          <a:extLst>
                            <a:ext uri="{FF2B5EF4-FFF2-40B4-BE49-F238E27FC236}">
                              <a16:creationId xmlns:a16="http://schemas.microsoft.com/office/drawing/2014/main" id="{6C186E31-5980-D783-DF1E-B076AAB6D72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4" name="Rectangle 63">
                          <a:hlinkClick xmlns:r="http://schemas.openxmlformats.org/officeDocument/2006/relationships" r:id="rId11"/>
                          <a:extLst>
                            <a:ext uri="{FF2B5EF4-FFF2-40B4-BE49-F238E27FC236}">
                              <a16:creationId xmlns:a16="http://schemas.microsoft.com/office/drawing/2014/main" id="{AE97105E-0737-83C7-32CE-7B8CB0303F8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58" name="Rectangle 57">
                      <a:hlinkClick xmlns:r="http://schemas.openxmlformats.org/officeDocument/2006/relationships" r:id="rId6"/>
                      <a:extLst>
                        <a:ext uri="{FF2B5EF4-FFF2-40B4-BE49-F238E27FC236}">
                          <a16:creationId xmlns:a16="http://schemas.microsoft.com/office/drawing/2014/main" id="{D328866A-4AB3-4242-2BF0-617A24027D6C}"/>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18" name="Group 17">
                    <a:extLst>
                      <a:ext uri="{FF2B5EF4-FFF2-40B4-BE49-F238E27FC236}">
                        <a16:creationId xmlns:a16="http://schemas.microsoft.com/office/drawing/2014/main" id="{EEB667DF-FEF9-A8F5-7BEE-E5D4EBA5C74C}"/>
                      </a:ext>
                    </a:extLst>
                  </xdr:cNvPr>
                  <xdr:cNvGrpSpPr/>
                </xdr:nvGrpSpPr>
                <xdr:grpSpPr>
                  <a:xfrm>
                    <a:off x="5692140" y="3208020"/>
                    <a:ext cx="2743200" cy="1935480"/>
                    <a:chOff x="2948940" y="3200400"/>
                    <a:chExt cx="2743200" cy="1935480"/>
                  </a:xfrm>
                </xdr:grpSpPr>
                <xdr:grpSp>
                  <xdr:nvGrpSpPr>
                    <xdr:cNvPr id="45" name="Group 44">
                      <a:extLst>
                        <a:ext uri="{FF2B5EF4-FFF2-40B4-BE49-F238E27FC236}">
                          <a16:creationId xmlns:a16="http://schemas.microsoft.com/office/drawing/2014/main" id="{2DC715C3-B81F-5DE4-FA83-57D9DEF2B888}"/>
                        </a:ext>
                      </a:extLst>
                    </xdr:cNvPr>
                    <xdr:cNvGrpSpPr/>
                  </xdr:nvGrpSpPr>
                  <xdr:grpSpPr>
                    <a:xfrm>
                      <a:off x="2948940" y="3200400"/>
                      <a:ext cx="2743200" cy="1714500"/>
                      <a:chOff x="60960" y="3154680"/>
                      <a:chExt cx="2743200" cy="1714500"/>
                    </a:xfrm>
                  </xdr:grpSpPr>
                  <xdr:sp macro="" textlink="">
                    <xdr:nvSpPr>
                      <xdr:cNvPr id="47" name="Rectangle 46">
                        <a:extLst>
                          <a:ext uri="{FF2B5EF4-FFF2-40B4-BE49-F238E27FC236}">
                            <a16:creationId xmlns:a16="http://schemas.microsoft.com/office/drawing/2014/main" id="{51B33641-3436-B401-141D-2030202DD632}"/>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48" name="Group 47">
                        <a:extLst>
                          <a:ext uri="{FF2B5EF4-FFF2-40B4-BE49-F238E27FC236}">
                            <a16:creationId xmlns:a16="http://schemas.microsoft.com/office/drawing/2014/main" id="{2788A888-9E6B-FC2B-F615-A27872D24507}"/>
                          </a:ext>
                        </a:extLst>
                      </xdr:cNvPr>
                      <xdr:cNvGrpSpPr/>
                    </xdr:nvGrpSpPr>
                    <xdr:grpSpPr>
                      <a:xfrm>
                        <a:off x="365760" y="3535680"/>
                        <a:ext cx="2438400" cy="457200"/>
                        <a:chOff x="365760" y="3535680"/>
                        <a:chExt cx="1584960" cy="457200"/>
                      </a:xfrm>
                    </xdr:grpSpPr>
                    <xdr:sp macro="" textlink="">
                      <xdr:nvSpPr>
                        <xdr:cNvPr id="55" name="Rectangle 54">
                          <a:hlinkClick xmlns:r="http://schemas.openxmlformats.org/officeDocument/2006/relationships" r:id="rId12"/>
                          <a:extLst>
                            <a:ext uri="{FF2B5EF4-FFF2-40B4-BE49-F238E27FC236}">
                              <a16:creationId xmlns:a16="http://schemas.microsoft.com/office/drawing/2014/main" id="{3F4E8814-6738-7617-4730-46FFF2E2FC2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6" name="Rectangle 55">
                          <a:hlinkClick xmlns:r="http://schemas.openxmlformats.org/officeDocument/2006/relationships" r:id="rId13"/>
                          <a:extLst>
                            <a:ext uri="{FF2B5EF4-FFF2-40B4-BE49-F238E27FC236}">
                              <a16:creationId xmlns:a16="http://schemas.microsoft.com/office/drawing/2014/main" id="{BD919A37-E71D-68FB-84E8-E348D85AA81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49" name="Group 48">
                        <a:extLst>
                          <a:ext uri="{FF2B5EF4-FFF2-40B4-BE49-F238E27FC236}">
                            <a16:creationId xmlns:a16="http://schemas.microsoft.com/office/drawing/2014/main" id="{6552968D-4588-4786-FE9C-56C49B0AFDEC}"/>
                          </a:ext>
                        </a:extLst>
                      </xdr:cNvPr>
                      <xdr:cNvGrpSpPr/>
                    </xdr:nvGrpSpPr>
                    <xdr:grpSpPr>
                      <a:xfrm>
                        <a:off x="365760" y="3977640"/>
                        <a:ext cx="2438400" cy="457200"/>
                        <a:chOff x="365760" y="3535680"/>
                        <a:chExt cx="1584960" cy="457200"/>
                      </a:xfrm>
                    </xdr:grpSpPr>
                    <xdr:sp macro="" textlink="">
                      <xdr:nvSpPr>
                        <xdr:cNvPr id="53" name="Rectangle 52">
                          <a:extLst>
                            <a:ext uri="{FF2B5EF4-FFF2-40B4-BE49-F238E27FC236}">
                              <a16:creationId xmlns:a16="http://schemas.microsoft.com/office/drawing/2014/main" id="{D9D374A3-B7D4-40A9-7D8C-151F9ACEFB1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4" name="Rectangle 53">
                          <a:extLst>
                            <a:ext uri="{FF2B5EF4-FFF2-40B4-BE49-F238E27FC236}">
                              <a16:creationId xmlns:a16="http://schemas.microsoft.com/office/drawing/2014/main" id="{3DEB1FA7-D0A2-F195-2419-254D7C476B7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50" name="Group 49">
                        <a:extLst>
                          <a:ext uri="{FF2B5EF4-FFF2-40B4-BE49-F238E27FC236}">
                            <a16:creationId xmlns:a16="http://schemas.microsoft.com/office/drawing/2014/main" id="{74485035-95F8-56BD-ABAE-80C4C64D63B8}"/>
                          </a:ext>
                        </a:extLst>
                      </xdr:cNvPr>
                      <xdr:cNvGrpSpPr/>
                    </xdr:nvGrpSpPr>
                    <xdr:grpSpPr>
                      <a:xfrm>
                        <a:off x="365760" y="4411980"/>
                        <a:ext cx="2438400" cy="457200"/>
                        <a:chOff x="365760" y="3535680"/>
                        <a:chExt cx="1584960" cy="457200"/>
                      </a:xfrm>
                    </xdr:grpSpPr>
                    <xdr:sp macro="" textlink="">
                      <xdr:nvSpPr>
                        <xdr:cNvPr id="51" name="Rectangle 50">
                          <a:extLst>
                            <a:ext uri="{FF2B5EF4-FFF2-40B4-BE49-F238E27FC236}">
                              <a16:creationId xmlns:a16="http://schemas.microsoft.com/office/drawing/2014/main" id="{C3F4C945-90F6-2A1A-D2A2-310EB5C3D62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2" name="Rectangle 51">
                          <a:extLst>
                            <a:ext uri="{FF2B5EF4-FFF2-40B4-BE49-F238E27FC236}">
                              <a16:creationId xmlns:a16="http://schemas.microsoft.com/office/drawing/2014/main" id="{1F248C47-FB19-683E-DBDA-920EC456049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6" name="Rectangle 45">
                      <a:extLst>
                        <a:ext uri="{FF2B5EF4-FFF2-40B4-BE49-F238E27FC236}">
                          <a16:creationId xmlns:a16="http://schemas.microsoft.com/office/drawing/2014/main" id="{A380DC2E-47C5-2149-B9ED-BF65E729ACD7}"/>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19" name="Group 18">
                    <a:extLst>
                      <a:ext uri="{FF2B5EF4-FFF2-40B4-BE49-F238E27FC236}">
                        <a16:creationId xmlns:a16="http://schemas.microsoft.com/office/drawing/2014/main" id="{1DDF7D5A-F05B-A15E-744E-A1853641C529}"/>
                      </a:ext>
                    </a:extLst>
                  </xdr:cNvPr>
                  <xdr:cNvGrpSpPr/>
                </xdr:nvGrpSpPr>
                <xdr:grpSpPr>
                  <a:xfrm>
                    <a:off x="8435340" y="3208020"/>
                    <a:ext cx="2743200" cy="1935480"/>
                    <a:chOff x="2948940" y="3200400"/>
                    <a:chExt cx="2743200" cy="1935480"/>
                  </a:xfrm>
                </xdr:grpSpPr>
                <xdr:grpSp>
                  <xdr:nvGrpSpPr>
                    <xdr:cNvPr id="33" name="Group 32">
                      <a:extLst>
                        <a:ext uri="{FF2B5EF4-FFF2-40B4-BE49-F238E27FC236}">
                          <a16:creationId xmlns:a16="http://schemas.microsoft.com/office/drawing/2014/main" id="{3500FC71-130E-3B85-7D21-080CD728545A}"/>
                        </a:ext>
                      </a:extLst>
                    </xdr:cNvPr>
                    <xdr:cNvGrpSpPr/>
                  </xdr:nvGrpSpPr>
                  <xdr:grpSpPr>
                    <a:xfrm>
                      <a:off x="2948940" y="3200400"/>
                      <a:ext cx="2743200" cy="1714500"/>
                      <a:chOff x="60960" y="3154680"/>
                      <a:chExt cx="2743200" cy="1714500"/>
                    </a:xfrm>
                  </xdr:grpSpPr>
                  <xdr:sp macro="" textlink="">
                    <xdr:nvSpPr>
                      <xdr:cNvPr id="35" name="Rectangle 34">
                        <a:extLst>
                          <a:ext uri="{FF2B5EF4-FFF2-40B4-BE49-F238E27FC236}">
                            <a16:creationId xmlns:a16="http://schemas.microsoft.com/office/drawing/2014/main" id="{A8D8F0E2-5C35-7DAC-C9F8-109E79C61704}"/>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6" name="Group 35">
                        <a:extLst>
                          <a:ext uri="{FF2B5EF4-FFF2-40B4-BE49-F238E27FC236}">
                            <a16:creationId xmlns:a16="http://schemas.microsoft.com/office/drawing/2014/main" id="{5F563806-DE58-D31F-353E-745DA403ED4E}"/>
                          </a:ext>
                        </a:extLst>
                      </xdr:cNvPr>
                      <xdr:cNvGrpSpPr/>
                    </xdr:nvGrpSpPr>
                    <xdr:grpSpPr>
                      <a:xfrm>
                        <a:off x="365760" y="3535680"/>
                        <a:ext cx="2438400" cy="457200"/>
                        <a:chOff x="365760" y="3535680"/>
                        <a:chExt cx="1584960" cy="457200"/>
                      </a:xfrm>
                    </xdr:grpSpPr>
                    <xdr:sp macro="" textlink="">
                      <xdr:nvSpPr>
                        <xdr:cNvPr id="43" name="Rectangle 42">
                          <a:extLst>
                            <a:ext uri="{FF2B5EF4-FFF2-40B4-BE49-F238E27FC236}">
                              <a16:creationId xmlns:a16="http://schemas.microsoft.com/office/drawing/2014/main" id="{FF6BE545-C4B6-2D7E-86A3-2EE18A7F839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4" name="Rectangle 43">
                          <a:extLst>
                            <a:ext uri="{FF2B5EF4-FFF2-40B4-BE49-F238E27FC236}">
                              <a16:creationId xmlns:a16="http://schemas.microsoft.com/office/drawing/2014/main" id="{B8101A3F-C04D-AF53-CE59-6015D38A29EC}"/>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7" name="Group 36">
                        <a:extLst>
                          <a:ext uri="{FF2B5EF4-FFF2-40B4-BE49-F238E27FC236}">
                            <a16:creationId xmlns:a16="http://schemas.microsoft.com/office/drawing/2014/main" id="{0AF554DB-BE89-ADF9-ED86-819EEED35920}"/>
                          </a:ext>
                        </a:extLst>
                      </xdr:cNvPr>
                      <xdr:cNvGrpSpPr/>
                    </xdr:nvGrpSpPr>
                    <xdr:grpSpPr>
                      <a:xfrm>
                        <a:off x="365760" y="3977640"/>
                        <a:ext cx="2438400" cy="457200"/>
                        <a:chOff x="365760" y="3535680"/>
                        <a:chExt cx="1584960" cy="457200"/>
                      </a:xfrm>
                    </xdr:grpSpPr>
                    <xdr:sp macro="" textlink="">
                      <xdr:nvSpPr>
                        <xdr:cNvPr id="41" name="Rectangle 40">
                          <a:extLst>
                            <a:ext uri="{FF2B5EF4-FFF2-40B4-BE49-F238E27FC236}">
                              <a16:creationId xmlns:a16="http://schemas.microsoft.com/office/drawing/2014/main" id="{02E568F9-CC85-F16C-49E0-F474AA77FF2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2" name="Rectangle 41">
                          <a:extLst>
                            <a:ext uri="{FF2B5EF4-FFF2-40B4-BE49-F238E27FC236}">
                              <a16:creationId xmlns:a16="http://schemas.microsoft.com/office/drawing/2014/main" id="{EE870291-14E5-8ADD-529B-2E34FABDCC6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38" name="Group 37">
                        <a:extLst>
                          <a:ext uri="{FF2B5EF4-FFF2-40B4-BE49-F238E27FC236}">
                            <a16:creationId xmlns:a16="http://schemas.microsoft.com/office/drawing/2014/main" id="{6B1C2C08-E36E-EBEB-7C6B-AEB34CBC84A8}"/>
                          </a:ext>
                        </a:extLst>
                      </xdr:cNvPr>
                      <xdr:cNvGrpSpPr/>
                    </xdr:nvGrpSpPr>
                    <xdr:grpSpPr>
                      <a:xfrm>
                        <a:off x="365760" y="4411980"/>
                        <a:ext cx="2438400" cy="457200"/>
                        <a:chOff x="365760" y="3535680"/>
                        <a:chExt cx="1584960" cy="457200"/>
                      </a:xfrm>
                    </xdr:grpSpPr>
                    <xdr:sp macro="" textlink="">
                      <xdr:nvSpPr>
                        <xdr:cNvPr id="39" name="Rectangle 38">
                          <a:extLst>
                            <a:ext uri="{FF2B5EF4-FFF2-40B4-BE49-F238E27FC236}">
                              <a16:creationId xmlns:a16="http://schemas.microsoft.com/office/drawing/2014/main" id="{FE6B3BFF-552C-7CCD-F40A-40878C946F7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40" name="Rectangle 39">
                          <a:extLst>
                            <a:ext uri="{FF2B5EF4-FFF2-40B4-BE49-F238E27FC236}">
                              <a16:creationId xmlns:a16="http://schemas.microsoft.com/office/drawing/2014/main" id="{51A4CB81-6879-E0A4-17BF-27808CD847FE}"/>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4" name="Rectangle 33">
                      <a:extLst>
                        <a:ext uri="{FF2B5EF4-FFF2-40B4-BE49-F238E27FC236}">
                          <a16:creationId xmlns:a16="http://schemas.microsoft.com/office/drawing/2014/main" id="{75DB4122-A31C-67FE-EE2D-D6D9D83452EB}"/>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20" name="Group 19">
                    <a:extLst>
                      <a:ext uri="{FF2B5EF4-FFF2-40B4-BE49-F238E27FC236}">
                        <a16:creationId xmlns:a16="http://schemas.microsoft.com/office/drawing/2014/main" id="{40F5B378-2AE3-D53D-3930-E5B8E8F5E06B}"/>
                      </a:ext>
                    </a:extLst>
                  </xdr:cNvPr>
                  <xdr:cNvGrpSpPr/>
                </xdr:nvGrpSpPr>
                <xdr:grpSpPr>
                  <a:xfrm>
                    <a:off x="11170920" y="3208020"/>
                    <a:ext cx="2743200" cy="1935480"/>
                    <a:chOff x="2948940" y="3200400"/>
                    <a:chExt cx="2743200" cy="1935480"/>
                  </a:xfrm>
                </xdr:grpSpPr>
                <xdr:grpSp>
                  <xdr:nvGrpSpPr>
                    <xdr:cNvPr id="21" name="Group 20">
                      <a:extLst>
                        <a:ext uri="{FF2B5EF4-FFF2-40B4-BE49-F238E27FC236}">
                          <a16:creationId xmlns:a16="http://schemas.microsoft.com/office/drawing/2014/main" id="{98C79DE8-7F10-5EFF-FA73-16EE8F28E392}"/>
                        </a:ext>
                      </a:extLst>
                    </xdr:cNvPr>
                    <xdr:cNvGrpSpPr/>
                  </xdr:nvGrpSpPr>
                  <xdr:grpSpPr>
                    <a:xfrm>
                      <a:off x="2948940" y="3200400"/>
                      <a:ext cx="2743200" cy="1714500"/>
                      <a:chOff x="60960" y="3154680"/>
                      <a:chExt cx="2743200" cy="1714500"/>
                    </a:xfrm>
                  </xdr:grpSpPr>
                  <xdr:sp macro="" textlink="">
                    <xdr:nvSpPr>
                      <xdr:cNvPr id="23" name="Rectangle 22">
                        <a:extLst>
                          <a:ext uri="{FF2B5EF4-FFF2-40B4-BE49-F238E27FC236}">
                            <a16:creationId xmlns:a16="http://schemas.microsoft.com/office/drawing/2014/main" id="{E16584B7-F2AF-3D52-10B7-2376765B0DCC}"/>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4" name="Group 23">
                        <a:extLst>
                          <a:ext uri="{FF2B5EF4-FFF2-40B4-BE49-F238E27FC236}">
                            <a16:creationId xmlns:a16="http://schemas.microsoft.com/office/drawing/2014/main" id="{D5FE0FB4-6D83-3C89-16E1-14B0553C6DA3}"/>
                          </a:ext>
                        </a:extLst>
                      </xdr:cNvPr>
                      <xdr:cNvGrpSpPr/>
                    </xdr:nvGrpSpPr>
                    <xdr:grpSpPr>
                      <a:xfrm>
                        <a:off x="365760" y="3535680"/>
                        <a:ext cx="2438400" cy="457200"/>
                        <a:chOff x="365760" y="3535680"/>
                        <a:chExt cx="1584960" cy="457200"/>
                      </a:xfrm>
                    </xdr:grpSpPr>
                    <xdr:sp macro="" textlink="">
                      <xdr:nvSpPr>
                        <xdr:cNvPr id="31" name="Rectangle 30">
                          <a:hlinkClick xmlns:r="http://schemas.openxmlformats.org/officeDocument/2006/relationships" r:id="rId14"/>
                          <a:extLst>
                            <a:ext uri="{FF2B5EF4-FFF2-40B4-BE49-F238E27FC236}">
                              <a16:creationId xmlns:a16="http://schemas.microsoft.com/office/drawing/2014/main" id="{7FD12357-AABD-2E96-96A3-9E6D92A6B76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2" name="Rectangle 31">
                          <a:hlinkClick xmlns:r="http://schemas.openxmlformats.org/officeDocument/2006/relationships" r:id="rId15"/>
                          <a:extLst>
                            <a:ext uri="{FF2B5EF4-FFF2-40B4-BE49-F238E27FC236}">
                              <a16:creationId xmlns:a16="http://schemas.microsoft.com/office/drawing/2014/main" id="{63489D29-2996-6CBA-EFAD-B921C1E06C15}"/>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5" name="Group 24">
                        <a:extLst>
                          <a:ext uri="{FF2B5EF4-FFF2-40B4-BE49-F238E27FC236}">
                            <a16:creationId xmlns:a16="http://schemas.microsoft.com/office/drawing/2014/main" id="{34ABE6BC-3E71-A43F-3300-1158051099A4}"/>
                          </a:ext>
                        </a:extLst>
                      </xdr:cNvPr>
                      <xdr:cNvGrpSpPr/>
                    </xdr:nvGrpSpPr>
                    <xdr:grpSpPr>
                      <a:xfrm>
                        <a:off x="365760" y="3977640"/>
                        <a:ext cx="2438400" cy="457200"/>
                        <a:chOff x="365760" y="3535680"/>
                        <a:chExt cx="1584960" cy="457200"/>
                      </a:xfrm>
                    </xdr:grpSpPr>
                    <xdr:sp macro="" textlink="">
                      <xdr:nvSpPr>
                        <xdr:cNvPr id="29" name="Rectangle 28">
                          <a:hlinkClick xmlns:r="http://schemas.openxmlformats.org/officeDocument/2006/relationships" r:id="rId16"/>
                          <a:extLst>
                            <a:ext uri="{FF2B5EF4-FFF2-40B4-BE49-F238E27FC236}">
                              <a16:creationId xmlns:a16="http://schemas.microsoft.com/office/drawing/2014/main" id="{ABD26ABB-C835-FD01-C9C5-1E457CC6F81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30" name="Rectangle 29">
                          <a:extLst>
                            <a:ext uri="{FF2B5EF4-FFF2-40B4-BE49-F238E27FC236}">
                              <a16:creationId xmlns:a16="http://schemas.microsoft.com/office/drawing/2014/main" id="{6E531D75-1530-0B08-6984-9ABE7927C30F}"/>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6" name="Group 25">
                        <a:extLst>
                          <a:ext uri="{FF2B5EF4-FFF2-40B4-BE49-F238E27FC236}">
                            <a16:creationId xmlns:a16="http://schemas.microsoft.com/office/drawing/2014/main" id="{15790E3A-E019-18D5-0980-1F3157C19052}"/>
                          </a:ext>
                        </a:extLst>
                      </xdr:cNvPr>
                      <xdr:cNvGrpSpPr/>
                    </xdr:nvGrpSpPr>
                    <xdr:grpSpPr>
                      <a:xfrm>
                        <a:off x="365760" y="4411980"/>
                        <a:ext cx="2438400" cy="457200"/>
                        <a:chOff x="365760" y="3535680"/>
                        <a:chExt cx="1584960" cy="457200"/>
                      </a:xfrm>
                    </xdr:grpSpPr>
                    <xdr:sp macro="" textlink="">
                      <xdr:nvSpPr>
                        <xdr:cNvPr id="27" name="Rectangle 26">
                          <a:extLst>
                            <a:ext uri="{FF2B5EF4-FFF2-40B4-BE49-F238E27FC236}">
                              <a16:creationId xmlns:a16="http://schemas.microsoft.com/office/drawing/2014/main" id="{EF41FAD6-33D0-C0CE-4ED1-84E4E22D41F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28" name="Rectangle 27">
                          <a:extLst>
                            <a:ext uri="{FF2B5EF4-FFF2-40B4-BE49-F238E27FC236}">
                              <a16:creationId xmlns:a16="http://schemas.microsoft.com/office/drawing/2014/main" id="{88378112-7BA2-564B-8B88-8349AE823AC8}"/>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2" name="Rectangle 21">
                      <a:extLst>
                        <a:ext uri="{FF2B5EF4-FFF2-40B4-BE49-F238E27FC236}">
                          <a16:creationId xmlns:a16="http://schemas.microsoft.com/office/drawing/2014/main" id="{5C3FC1C6-972E-997C-3365-EADCC3D84086}"/>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5" name="Rectangle 14">
                  <a:extLst>
                    <a:ext uri="{FF2B5EF4-FFF2-40B4-BE49-F238E27FC236}">
                      <a16:creationId xmlns:a16="http://schemas.microsoft.com/office/drawing/2014/main" id="{FAA9C4F0-4910-08DC-9B72-0586E985AFD5}"/>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9" name="Rectangle: Rounded Corners 8">
              <a:extLst>
                <a:ext uri="{FF2B5EF4-FFF2-40B4-BE49-F238E27FC236}">
                  <a16:creationId xmlns:a16="http://schemas.microsoft.com/office/drawing/2014/main" id="{B7618272-C625-7D15-8D1A-77065230D0F9}"/>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10" name="Rectangle: Rounded Corners 9">
              <a:extLst>
                <a:ext uri="{FF2B5EF4-FFF2-40B4-BE49-F238E27FC236}">
                  <a16:creationId xmlns:a16="http://schemas.microsoft.com/office/drawing/2014/main" id="{952EF174-7A74-1E3B-E7C4-A18D56BD337D}"/>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11" name="Rectangle: Rounded Corners 10">
              <a:extLst>
                <a:ext uri="{FF2B5EF4-FFF2-40B4-BE49-F238E27FC236}">
                  <a16:creationId xmlns:a16="http://schemas.microsoft.com/office/drawing/2014/main" id="{A227E254-87C0-1146-F067-A0CF03794A39}"/>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6" name="Picture 5">
            <a:hlinkClick xmlns:r="http://schemas.openxmlformats.org/officeDocument/2006/relationships" r:id="rId17"/>
            <a:extLst>
              <a:ext uri="{FF2B5EF4-FFF2-40B4-BE49-F238E27FC236}">
                <a16:creationId xmlns:a16="http://schemas.microsoft.com/office/drawing/2014/main" id="{1A79FE4B-493D-F4EF-B795-55A0861FFE29}"/>
              </a:ext>
            </a:extLst>
          </xdr:cNvPr>
          <xdr:cNvPicPr>
            <a:picLocks noChangeAspect="1"/>
          </xdr:cNvPicPr>
        </xdr:nvPicPr>
        <xdr:blipFill rotWithShape="1">
          <a:blip xmlns:r="http://schemas.openxmlformats.org/officeDocument/2006/relationships" r:embed="rId18">
            <a:extLst>
              <a:ext uri="{BEBA8EAE-BF5A-486C-A8C5-ECC9F3942E4B}">
                <a14:imgProps xmlns:a14="http://schemas.microsoft.com/office/drawing/2010/main">
                  <a14:imgLayer r:embed="rId19">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xdr:from>
      <xdr:col>9</xdr:col>
      <xdr:colOff>123825</xdr:colOff>
      <xdr:row>17</xdr:row>
      <xdr:rowOff>185738</xdr:rowOff>
    </xdr:from>
    <xdr:to>
      <xdr:col>14</xdr:col>
      <xdr:colOff>361950</xdr:colOff>
      <xdr:row>25</xdr:row>
      <xdr:rowOff>219075</xdr:rowOff>
    </xdr:to>
    <xdr:graphicFrame macro="">
      <xdr:nvGraphicFramePr>
        <xdr:cNvPr id="2" name="Chart 1">
          <a:extLst>
            <a:ext uri="{FF2B5EF4-FFF2-40B4-BE49-F238E27FC236}">
              <a16:creationId xmlns:a16="http://schemas.microsoft.com/office/drawing/2014/main" id="{2784F366-2F11-45A7-BB9E-F7C512256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69850</xdr:colOff>
      <xdr:row>39</xdr:row>
      <xdr:rowOff>133350</xdr:rowOff>
    </xdr:from>
    <xdr:to>
      <xdr:col>14</xdr:col>
      <xdr:colOff>323850</xdr:colOff>
      <xdr:row>49</xdr:row>
      <xdr:rowOff>190500</xdr:rowOff>
    </xdr:to>
    <xdr:graphicFrame macro="">
      <xdr:nvGraphicFramePr>
        <xdr:cNvPr id="3" name="Chart 2">
          <a:extLst>
            <a:ext uri="{FF2B5EF4-FFF2-40B4-BE49-F238E27FC236}">
              <a16:creationId xmlns:a16="http://schemas.microsoft.com/office/drawing/2014/main" id="{8AB8C6B0-8B4E-4122-A03A-6DB26D1A2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69850</xdr:colOff>
      <xdr:row>51</xdr:row>
      <xdr:rowOff>133350</xdr:rowOff>
    </xdr:from>
    <xdr:to>
      <xdr:col>14</xdr:col>
      <xdr:colOff>323850</xdr:colOff>
      <xdr:row>61</xdr:row>
      <xdr:rowOff>190500</xdr:rowOff>
    </xdr:to>
    <xdr:graphicFrame macro="">
      <xdr:nvGraphicFramePr>
        <xdr:cNvPr id="4" name="Chart 3">
          <a:extLst>
            <a:ext uri="{FF2B5EF4-FFF2-40B4-BE49-F238E27FC236}">
              <a16:creationId xmlns:a16="http://schemas.microsoft.com/office/drawing/2014/main" id="{DC85813F-D07E-4000-8FC8-5044328E8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69850</xdr:colOff>
      <xdr:row>63</xdr:row>
      <xdr:rowOff>133350</xdr:rowOff>
    </xdr:from>
    <xdr:to>
      <xdr:col>14</xdr:col>
      <xdr:colOff>323850</xdr:colOff>
      <xdr:row>77</xdr:row>
      <xdr:rowOff>190500</xdr:rowOff>
    </xdr:to>
    <xdr:graphicFrame macro="">
      <xdr:nvGraphicFramePr>
        <xdr:cNvPr id="5" name="Chart 4">
          <a:extLst>
            <a:ext uri="{FF2B5EF4-FFF2-40B4-BE49-F238E27FC236}">
              <a16:creationId xmlns:a16="http://schemas.microsoft.com/office/drawing/2014/main" id="{E85627DF-95A7-4F77-B7F3-C8C60BD24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66675</xdr:rowOff>
    </xdr:from>
    <xdr:to>
      <xdr:col>17</xdr:col>
      <xdr:colOff>346088</xdr:colOff>
      <xdr:row>13</xdr:row>
      <xdr:rowOff>128754</xdr:rowOff>
    </xdr:to>
    <xdr:grpSp>
      <xdr:nvGrpSpPr>
        <xdr:cNvPr id="6" name="Group 5">
          <a:extLst>
            <a:ext uri="{FF2B5EF4-FFF2-40B4-BE49-F238E27FC236}">
              <a16:creationId xmlns:a16="http://schemas.microsoft.com/office/drawing/2014/main" id="{21F91B25-845A-42BA-8754-52DEA151A506}"/>
            </a:ext>
          </a:extLst>
        </xdr:cNvPr>
        <xdr:cNvGrpSpPr/>
      </xdr:nvGrpSpPr>
      <xdr:grpSpPr>
        <a:xfrm>
          <a:off x="0" y="66675"/>
          <a:ext cx="17962802" cy="2656508"/>
          <a:chOff x="0" y="25400"/>
          <a:chExt cx="18808713" cy="2465554"/>
        </a:xfrm>
      </xdr:grpSpPr>
      <xdr:grpSp>
        <xdr:nvGrpSpPr>
          <xdr:cNvPr id="7" name="Group 6">
            <a:extLst>
              <a:ext uri="{FF2B5EF4-FFF2-40B4-BE49-F238E27FC236}">
                <a16:creationId xmlns:a16="http://schemas.microsoft.com/office/drawing/2014/main" id="{3777DF59-A4C4-FD0E-51A5-82BCF56166A6}"/>
              </a:ext>
            </a:extLst>
          </xdr:cNvPr>
          <xdr:cNvGrpSpPr/>
        </xdr:nvGrpSpPr>
        <xdr:grpSpPr>
          <a:xfrm>
            <a:off x="0" y="268648"/>
            <a:ext cx="18808713" cy="2222306"/>
            <a:chOff x="-2" y="774501"/>
            <a:chExt cx="14238616" cy="2312445"/>
          </a:xfrm>
        </xdr:grpSpPr>
        <xdr:sp macro="" textlink="">
          <xdr:nvSpPr>
            <xdr:cNvPr id="9" name="Rectangle: Rounded Corners 8">
              <a:extLst>
                <a:ext uri="{FF2B5EF4-FFF2-40B4-BE49-F238E27FC236}">
                  <a16:creationId xmlns:a16="http://schemas.microsoft.com/office/drawing/2014/main" id="{5D1B3AE4-6598-981B-6876-D6D3BA9AD7F7}"/>
                </a:ext>
              </a:extLst>
            </xdr:cNvPr>
            <xdr:cNvSpPr/>
          </xdr:nvSpPr>
          <xdr:spPr>
            <a:xfrm>
              <a:off x="11349917" y="775106"/>
              <a:ext cx="702321" cy="236286"/>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Connected</a:t>
              </a:r>
            </a:p>
          </xdr:txBody>
        </xdr:sp>
        <xdr:grpSp>
          <xdr:nvGrpSpPr>
            <xdr:cNvPr id="10" name="Group 9">
              <a:extLst>
                <a:ext uri="{FF2B5EF4-FFF2-40B4-BE49-F238E27FC236}">
                  <a16:creationId xmlns:a16="http://schemas.microsoft.com/office/drawing/2014/main" id="{3CDD914E-04A6-83EB-CD6B-8A0D93045BB7}"/>
                </a:ext>
              </a:extLst>
            </xdr:cNvPr>
            <xdr:cNvGrpSpPr/>
          </xdr:nvGrpSpPr>
          <xdr:grpSpPr>
            <a:xfrm>
              <a:off x="-2" y="977052"/>
              <a:ext cx="14238606" cy="2109894"/>
              <a:chOff x="15238" y="3223260"/>
              <a:chExt cx="14214009" cy="2072640"/>
            </a:xfrm>
          </xdr:grpSpPr>
          <xdr:sp macro="" textlink="">
            <xdr:nvSpPr>
              <xdr:cNvPr id="14" name="Rectangle 13">
                <a:extLst>
                  <a:ext uri="{FF2B5EF4-FFF2-40B4-BE49-F238E27FC236}">
                    <a16:creationId xmlns:a16="http://schemas.microsoft.com/office/drawing/2014/main" id="{D18CB3EA-B82F-8523-691B-FFD13A920B55}"/>
                  </a:ext>
                </a:extLst>
              </xdr:cNvPr>
              <xdr:cNvSpPr/>
            </xdr:nvSpPr>
            <xdr:spPr>
              <a:xfrm>
                <a:off x="15238" y="3223260"/>
                <a:ext cx="14214009" cy="207264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nvGrpSpPr>
              <xdr:cNvPr id="15" name="Group 14">
                <a:extLst>
                  <a:ext uri="{FF2B5EF4-FFF2-40B4-BE49-F238E27FC236}">
                    <a16:creationId xmlns:a16="http://schemas.microsoft.com/office/drawing/2014/main" id="{3E2F2E70-4D84-4A19-A7CF-220196A491C0}"/>
                  </a:ext>
                </a:extLst>
              </xdr:cNvPr>
              <xdr:cNvGrpSpPr/>
            </xdr:nvGrpSpPr>
            <xdr:grpSpPr>
              <a:xfrm>
                <a:off x="121920" y="3291840"/>
                <a:ext cx="13708380" cy="1950720"/>
                <a:chOff x="205740" y="2491740"/>
                <a:chExt cx="13708380" cy="1950720"/>
              </a:xfrm>
            </xdr:grpSpPr>
            <xdr:grpSp>
              <xdr:nvGrpSpPr>
                <xdr:cNvPr id="16" name="Group 15">
                  <a:extLst>
                    <a:ext uri="{FF2B5EF4-FFF2-40B4-BE49-F238E27FC236}">
                      <a16:creationId xmlns:a16="http://schemas.microsoft.com/office/drawing/2014/main" id="{E51F8785-386B-44ED-4A05-24DBF2C2A8FB}"/>
                    </a:ext>
                  </a:extLst>
                </xdr:cNvPr>
                <xdr:cNvGrpSpPr/>
              </xdr:nvGrpSpPr>
              <xdr:grpSpPr>
                <a:xfrm>
                  <a:off x="205740" y="2491740"/>
                  <a:ext cx="13708380" cy="1950720"/>
                  <a:chOff x="205740" y="3192780"/>
                  <a:chExt cx="13708380" cy="1950720"/>
                </a:xfrm>
              </xdr:grpSpPr>
              <xdr:grpSp>
                <xdr:nvGrpSpPr>
                  <xdr:cNvPr id="18" name="Group 17">
                    <a:extLst>
                      <a:ext uri="{FF2B5EF4-FFF2-40B4-BE49-F238E27FC236}">
                        <a16:creationId xmlns:a16="http://schemas.microsoft.com/office/drawing/2014/main" id="{90500E76-6DBE-78FF-39FE-7989AFB70F85}"/>
                      </a:ext>
                    </a:extLst>
                  </xdr:cNvPr>
                  <xdr:cNvGrpSpPr/>
                </xdr:nvGrpSpPr>
                <xdr:grpSpPr>
                  <a:xfrm>
                    <a:off x="2948940" y="3200400"/>
                    <a:ext cx="2743200" cy="1935480"/>
                    <a:chOff x="2948940" y="3200400"/>
                    <a:chExt cx="2743200" cy="1935480"/>
                  </a:xfrm>
                </xdr:grpSpPr>
                <xdr:grpSp>
                  <xdr:nvGrpSpPr>
                    <xdr:cNvPr id="71" name="Group 70">
                      <a:extLst>
                        <a:ext uri="{FF2B5EF4-FFF2-40B4-BE49-F238E27FC236}">
                          <a16:creationId xmlns:a16="http://schemas.microsoft.com/office/drawing/2014/main" id="{1AEAC963-9040-4AC3-4F32-9B6A64835873}"/>
                        </a:ext>
                      </a:extLst>
                    </xdr:cNvPr>
                    <xdr:cNvGrpSpPr/>
                  </xdr:nvGrpSpPr>
                  <xdr:grpSpPr>
                    <a:xfrm>
                      <a:off x="2948940" y="3200400"/>
                      <a:ext cx="2743200" cy="1714500"/>
                      <a:chOff x="60960" y="3154680"/>
                      <a:chExt cx="2743200" cy="1714500"/>
                    </a:xfrm>
                  </xdr:grpSpPr>
                  <xdr:sp macro="" textlink="">
                    <xdr:nvSpPr>
                      <xdr:cNvPr id="73" name="Rectangle 72">
                        <a:extLst>
                          <a:ext uri="{FF2B5EF4-FFF2-40B4-BE49-F238E27FC236}">
                            <a16:creationId xmlns:a16="http://schemas.microsoft.com/office/drawing/2014/main" id="{49C400E8-417A-FC1F-2B63-98FE7068565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Financial Analysis</a:t>
                        </a:r>
                      </a:p>
                    </xdr:txBody>
                  </xdr:sp>
                  <xdr:grpSp>
                    <xdr:nvGrpSpPr>
                      <xdr:cNvPr id="74" name="Group 73">
                        <a:extLst>
                          <a:ext uri="{FF2B5EF4-FFF2-40B4-BE49-F238E27FC236}">
                            <a16:creationId xmlns:a16="http://schemas.microsoft.com/office/drawing/2014/main" id="{D2D1DD84-10AF-DDC2-641D-2CC2C8E6F706}"/>
                          </a:ext>
                        </a:extLst>
                      </xdr:cNvPr>
                      <xdr:cNvGrpSpPr/>
                    </xdr:nvGrpSpPr>
                    <xdr:grpSpPr>
                      <a:xfrm>
                        <a:off x="365760" y="3535680"/>
                        <a:ext cx="2438400" cy="457200"/>
                        <a:chOff x="365760" y="3535680"/>
                        <a:chExt cx="1584960" cy="457200"/>
                      </a:xfrm>
                    </xdr:grpSpPr>
                    <xdr:sp macro="" textlink="">
                      <xdr:nvSpPr>
                        <xdr:cNvPr id="81" name="Rectangle 80">
                          <a:hlinkClick xmlns:r="http://schemas.openxmlformats.org/officeDocument/2006/relationships" r:id="rId5"/>
                          <a:extLst>
                            <a:ext uri="{FF2B5EF4-FFF2-40B4-BE49-F238E27FC236}">
                              <a16:creationId xmlns:a16="http://schemas.microsoft.com/office/drawing/2014/main" id="{483F6942-1243-B0CE-5D19-DDFAA420D1D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Revenue</a:t>
                          </a:r>
                          <a:r>
                            <a:rPr lang="fr-FR" sz="1100" b="1" baseline="0">
                              <a:latin typeface="+mn-lt"/>
                            </a:rPr>
                            <a:t> analysis</a:t>
                          </a:r>
                          <a:endParaRPr lang="fr-FR" sz="1100" b="1">
                            <a:latin typeface="+mn-lt"/>
                          </a:endParaRPr>
                        </a:p>
                      </xdr:txBody>
                    </xdr:sp>
                    <xdr:sp macro="" textlink="">
                      <xdr:nvSpPr>
                        <xdr:cNvPr id="82" name="Rectangle 81">
                          <a:hlinkClick xmlns:r="http://schemas.openxmlformats.org/officeDocument/2006/relationships" r:id="rId5"/>
                          <a:extLst>
                            <a:ext uri="{FF2B5EF4-FFF2-40B4-BE49-F238E27FC236}">
                              <a16:creationId xmlns:a16="http://schemas.microsoft.com/office/drawing/2014/main" id="{B1D905A2-D0F0-FE7C-E052-3E4E94C75D8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Margin Analysis</a:t>
                          </a:r>
                          <a:endParaRPr lang="fr-FR" sz="1100" b="1">
                            <a:latin typeface="+mn-lt"/>
                          </a:endParaRPr>
                        </a:p>
                      </xdr:txBody>
                    </xdr:sp>
                  </xdr:grpSp>
                  <xdr:grpSp>
                    <xdr:nvGrpSpPr>
                      <xdr:cNvPr id="75" name="Group 74">
                        <a:extLst>
                          <a:ext uri="{FF2B5EF4-FFF2-40B4-BE49-F238E27FC236}">
                            <a16:creationId xmlns:a16="http://schemas.microsoft.com/office/drawing/2014/main" id="{FDCEE55B-81AB-B7E0-0F13-EF6C9AF48AD5}"/>
                          </a:ext>
                        </a:extLst>
                      </xdr:cNvPr>
                      <xdr:cNvGrpSpPr/>
                    </xdr:nvGrpSpPr>
                    <xdr:grpSpPr>
                      <a:xfrm>
                        <a:off x="365760" y="3977640"/>
                        <a:ext cx="2438400" cy="457200"/>
                        <a:chOff x="365760" y="3535680"/>
                        <a:chExt cx="1584960" cy="457200"/>
                      </a:xfrm>
                    </xdr:grpSpPr>
                    <xdr:sp macro="" textlink="">
                      <xdr:nvSpPr>
                        <xdr:cNvPr id="79" name="Rectangle 78">
                          <a:extLst>
                            <a:ext uri="{FF2B5EF4-FFF2-40B4-BE49-F238E27FC236}">
                              <a16:creationId xmlns:a16="http://schemas.microsoft.com/office/drawing/2014/main" id="{DB56FA97-4E24-CC8A-81B5-DEDE5FE4CE44}"/>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Cost analysis</a:t>
                          </a:r>
                        </a:p>
                      </xdr:txBody>
                    </xdr:sp>
                    <xdr:sp macro="" textlink="">
                      <xdr:nvSpPr>
                        <xdr:cNvPr id="80" name="Rectangle 79">
                          <a:hlinkClick xmlns:r="http://schemas.openxmlformats.org/officeDocument/2006/relationships" r:id="rId6"/>
                          <a:extLst>
                            <a:ext uri="{FF2B5EF4-FFF2-40B4-BE49-F238E27FC236}">
                              <a16:creationId xmlns:a16="http://schemas.microsoft.com/office/drawing/2014/main" id="{005509C3-FA5E-C48A-8C2F-F036E5D4AC31}"/>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Working Capital analysis</a:t>
                          </a:r>
                        </a:p>
                      </xdr:txBody>
                    </xdr:sp>
                  </xdr:grpSp>
                  <xdr:grpSp>
                    <xdr:nvGrpSpPr>
                      <xdr:cNvPr id="76" name="Group 75">
                        <a:extLst>
                          <a:ext uri="{FF2B5EF4-FFF2-40B4-BE49-F238E27FC236}">
                            <a16:creationId xmlns:a16="http://schemas.microsoft.com/office/drawing/2014/main" id="{A909ECA4-C9F7-4F3E-36B8-8A595BFB20EC}"/>
                          </a:ext>
                        </a:extLst>
                      </xdr:cNvPr>
                      <xdr:cNvGrpSpPr/>
                    </xdr:nvGrpSpPr>
                    <xdr:grpSpPr>
                      <a:xfrm>
                        <a:off x="365760" y="4411980"/>
                        <a:ext cx="2438400" cy="457200"/>
                        <a:chOff x="365760" y="3535680"/>
                        <a:chExt cx="1584960" cy="457200"/>
                      </a:xfrm>
                    </xdr:grpSpPr>
                    <xdr:sp macro="" textlink="">
                      <xdr:nvSpPr>
                        <xdr:cNvPr id="77" name="Rectangle 76">
                          <a:hlinkClick xmlns:r="http://schemas.openxmlformats.org/officeDocument/2006/relationships" r:id="rId7"/>
                          <a:extLst>
                            <a:ext uri="{FF2B5EF4-FFF2-40B4-BE49-F238E27FC236}">
                              <a16:creationId xmlns:a16="http://schemas.microsoft.com/office/drawing/2014/main" id="{96D3ED64-7ADE-FA47-8D53-A3410667C6FB}"/>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Indepth Working Capital analysis </a:t>
                          </a:r>
                        </a:p>
                      </xdr:txBody>
                    </xdr:sp>
                    <xdr:sp macro="" textlink="">
                      <xdr:nvSpPr>
                        <xdr:cNvPr id="78" name="Rectangle 77">
                          <a:extLst>
                            <a:ext uri="{FF2B5EF4-FFF2-40B4-BE49-F238E27FC236}">
                              <a16:creationId xmlns:a16="http://schemas.microsoft.com/office/drawing/2014/main" id="{D68D69A9-0B65-1F54-6382-84E33F2C27B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Financial Ratios</a:t>
                          </a:r>
                          <a:r>
                            <a:rPr lang="fr-FR" sz="1100" b="1" baseline="0">
                              <a:latin typeface="+mn-lt"/>
                            </a:rPr>
                            <a:t> analysis</a:t>
                          </a:r>
                          <a:endParaRPr lang="fr-FR" sz="1100" b="1">
                            <a:latin typeface="+mn-lt"/>
                          </a:endParaRPr>
                        </a:p>
                      </xdr:txBody>
                    </xdr:sp>
                  </xdr:grpSp>
                </xdr:grpSp>
                <xdr:sp macro="" textlink="">
                  <xdr:nvSpPr>
                    <xdr:cNvPr id="72" name="Rectangle 71">
                      <a:extLst>
                        <a:ext uri="{FF2B5EF4-FFF2-40B4-BE49-F238E27FC236}">
                          <a16:creationId xmlns:a16="http://schemas.microsoft.com/office/drawing/2014/main" id="{DDA7C635-B590-DCEB-E4A7-8B1DBE529AD6}"/>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KPI </a:t>
                      </a:r>
                    </a:p>
                  </xdr:txBody>
                </xdr:sp>
              </xdr:grpSp>
              <xdr:grpSp>
                <xdr:nvGrpSpPr>
                  <xdr:cNvPr id="19" name="Group 18">
                    <a:extLst>
                      <a:ext uri="{FF2B5EF4-FFF2-40B4-BE49-F238E27FC236}">
                        <a16:creationId xmlns:a16="http://schemas.microsoft.com/office/drawing/2014/main" id="{D7CE5016-5338-0CBC-C61E-84DD877308D4}"/>
                      </a:ext>
                    </a:extLst>
                  </xdr:cNvPr>
                  <xdr:cNvGrpSpPr/>
                </xdr:nvGrpSpPr>
                <xdr:grpSpPr>
                  <a:xfrm>
                    <a:off x="205740" y="3192780"/>
                    <a:ext cx="2743200" cy="1943100"/>
                    <a:chOff x="205740" y="3192780"/>
                    <a:chExt cx="2743200" cy="1943100"/>
                  </a:xfrm>
                </xdr:grpSpPr>
                <xdr:grpSp>
                  <xdr:nvGrpSpPr>
                    <xdr:cNvPr id="59" name="Group 58">
                      <a:extLst>
                        <a:ext uri="{FF2B5EF4-FFF2-40B4-BE49-F238E27FC236}">
                          <a16:creationId xmlns:a16="http://schemas.microsoft.com/office/drawing/2014/main" id="{77C8921A-5E1A-AC39-8F0E-F9D966CF6BE3}"/>
                        </a:ext>
                      </a:extLst>
                    </xdr:cNvPr>
                    <xdr:cNvGrpSpPr/>
                  </xdr:nvGrpSpPr>
                  <xdr:grpSpPr>
                    <a:xfrm>
                      <a:off x="205740" y="3192780"/>
                      <a:ext cx="2743200" cy="1714500"/>
                      <a:chOff x="60960" y="3154680"/>
                      <a:chExt cx="2743200" cy="1714500"/>
                    </a:xfrm>
                  </xdr:grpSpPr>
                  <xdr:sp macro="" textlink="">
                    <xdr:nvSpPr>
                      <xdr:cNvPr id="61" name="Rectangle 60">
                        <a:extLst>
                          <a:ext uri="{FF2B5EF4-FFF2-40B4-BE49-F238E27FC236}">
                            <a16:creationId xmlns:a16="http://schemas.microsoft.com/office/drawing/2014/main" id="{FC217501-7ACE-2D2C-F444-256EB60F5337}"/>
                          </a:ext>
                        </a:extLst>
                      </xdr:cNvPr>
                      <xdr:cNvSpPr/>
                    </xdr:nvSpPr>
                    <xdr:spPr>
                      <a:xfrm>
                        <a:off x="60960" y="3154680"/>
                        <a:ext cx="11353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Reporting</a:t>
                        </a:r>
                      </a:p>
                    </xdr:txBody>
                  </xdr:sp>
                  <xdr:grpSp>
                    <xdr:nvGrpSpPr>
                      <xdr:cNvPr id="62" name="Group 61">
                        <a:extLst>
                          <a:ext uri="{FF2B5EF4-FFF2-40B4-BE49-F238E27FC236}">
                            <a16:creationId xmlns:a16="http://schemas.microsoft.com/office/drawing/2014/main" id="{D3ACEF7B-5865-C55B-1CC0-97B2FFA43256}"/>
                          </a:ext>
                        </a:extLst>
                      </xdr:cNvPr>
                      <xdr:cNvGrpSpPr/>
                    </xdr:nvGrpSpPr>
                    <xdr:grpSpPr>
                      <a:xfrm>
                        <a:off x="365760" y="3535680"/>
                        <a:ext cx="2438400" cy="457200"/>
                        <a:chOff x="365760" y="3535680"/>
                        <a:chExt cx="1584960" cy="457200"/>
                      </a:xfrm>
                    </xdr:grpSpPr>
                    <xdr:sp macro="" textlink="">
                      <xdr:nvSpPr>
                        <xdr:cNvPr id="69" name="Rectangle 68">
                          <a:hlinkClick xmlns:r="http://schemas.openxmlformats.org/officeDocument/2006/relationships" r:id="rId8"/>
                          <a:extLst>
                            <a:ext uri="{FF2B5EF4-FFF2-40B4-BE49-F238E27FC236}">
                              <a16:creationId xmlns:a16="http://schemas.microsoft.com/office/drawing/2014/main" id="{F2AE535A-1BDF-CCEC-8B56-B9238D817A83}"/>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Executive</a:t>
                          </a:r>
                          <a:r>
                            <a:rPr lang="fr-FR" sz="1100" b="1" baseline="0">
                              <a:latin typeface="+mn-lt"/>
                            </a:rPr>
                            <a:t> Summary</a:t>
                          </a:r>
                          <a:endParaRPr lang="fr-FR" sz="1100" b="1">
                            <a:latin typeface="+mn-lt"/>
                          </a:endParaRPr>
                        </a:p>
                      </xdr:txBody>
                    </xdr:sp>
                    <xdr:sp macro="" textlink="">
                      <xdr:nvSpPr>
                        <xdr:cNvPr id="70" name="Rectangle 69">
                          <a:hlinkClick xmlns:r="http://schemas.openxmlformats.org/officeDocument/2006/relationships" r:id="rId9"/>
                          <a:extLst>
                            <a:ext uri="{FF2B5EF4-FFF2-40B4-BE49-F238E27FC236}">
                              <a16:creationId xmlns:a16="http://schemas.microsoft.com/office/drawing/2014/main" id="{230EC1DC-01EC-7630-8CDC-FF44C2980F0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P&amp;L</a:t>
                          </a:r>
                        </a:p>
                      </xdr:txBody>
                    </xdr:sp>
                  </xdr:grpSp>
                  <xdr:grpSp>
                    <xdr:nvGrpSpPr>
                      <xdr:cNvPr id="63" name="Group 62">
                        <a:extLst>
                          <a:ext uri="{FF2B5EF4-FFF2-40B4-BE49-F238E27FC236}">
                            <a16:creationId xmlns:a16="http://schemas.microsoft.com/office/drawing/2014/main" id="{D02E5C89-8E4C-EAEF-B5E8-C7689AD5574A}"/>
                          </a:ext>
                        </a:extLst>
                      </xdr:cNvPr>
                      <xdr:cNvGrpSpPr/>
                    </xdr:nvGrpSpPr>
                    <xdr:grpSpPr>
                      <a:xfrm>
                        <a:off x="365760" y="3977640"/>
                        <a:ext cx="2438400" cy="457200"/>
                        <a:chOff x="365760" y="3535680"/>
                        <a:chExt cx="1584960" cy="457200"/>
                      </a:xfrm>
                    </xdr:grpSpPr>
                    <xdr:sp macro="" textlink="">
                      <xdr:nvSpPr>
                        <xdr:cNvPr id="67" name="Rectangle 66">
                          <a:hlinkClick xmlns:r="http://schemas.openxmlformats.org/officeDocument/2006/relationships" r:id="rId10"/>
                          <a:extLst>
                            <a:ext uri="{FF2B5EF4-FFF2-40B4-BE49-F238E27FC236}">
                              <a16:creationId xmlns:a16="http://schemas.microsoft.com/office/drawing/2014/main" id="{0E408BC9-28B1-B78E-AFB3-00986FFA3C6E}"/>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Balance Sheet</a:t>
                          </a:r>
                        </a:p>
                      </xdr:txBody>
                    </xdr:sp>
                    <xdr:sp macro="" textlink="">
                      <xdr:nvSpPr>
                        <xdr:cNvPr id="68" name="Rectangle 67">
                          <a:hlinkClick xmlns:r="http://schemas.openxmlformats.org/officeDocument/2006/relationships" r:id="rId11"/>
                          <a:extLst>
                            <a:ext uri="{FF2B5EF4-FFF2-40B4-BE49-F238E27FC236}">
                              <a16:creationId xmlns:a16="http://schemas.microsoft.com/office/drawing/2014/main" id="{73AD0F0A-4644-6956-737E-DB3CEF96329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Monthly Cashflow Statement</a:t>
                          </a:r>
                        </a:p>
                      </xdr:txBody>
                    </xdr:sp>
                  </xdr:grpSp>
                  <xdr:grpSp>
                    <xdr:nvGrpSpPr>
                      <xdr:cNvPr id="64" name="Group 63">
                        <a:extLst>
                          <a:ext uri="{FF2B5EF4-FFF2-40B4-BE49-F238E27FC236}">
                            <a16:creationId xmlns:a16="http://schemas.microsoft.com/office/drawing/2014/main" id="{6220E389-E7C2-5E71-2995-E002AFC01FC2}"/>
                          </a:ext>
                        </a:extLst>
                      </xdr:cNvPr>
                      <xdr:cNvGrpSpPr/>
                    </xdr:nvGrpSpPr>
                    <xdr:grpSpPr>
                      <a:xfrm>
                        <a:off x="365760" y="4411980"/>
                        <a:ext cx="2438400" cy="457200"/>
                        <a:chOff x="365760" y="3535680"/>
                        <a:chExt cx="1584960" cy="457200"/>
                      </a:xfrm>
                    </xdr:grpSpPr>
                    <xdr:sp macro="" textlink="">
                      <xdr:nvSpPr>
                        <xdr:cNvPr id="65" name="Rectangle 64">
                          <a:hlinkClick xmlns:r="http://schemas.openxmlformats.org/officeDocument/2006/relationships" r:id="rId12"/>
                          <a:extLst>
                            <a:ext uri="{FF2B5EF4-FFF2-40B4-BE49-F238E27FC236}">
                              <a16:creationId xmlns:a16="http://schemas.microsoft.com/office/drawing/2014/main" id="{E903B785-CD91-DE4D-B51C-05EC0EB79DC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YTD P&amp;L </a:t>
                          </a:r>
                        </a:p>
                      </xdr:txBody>
                    </xdr:sp>
                    <xdr:sp macro="" textlink="">
                      <xdr:nvSpPr>
                        <xdr:cNvPr id="66" name="Rectangle 65">
                          <a:hlinkClick xmlns:r="http://schemas.openxmlformats.org/officeDocument/2006/relationships" r:id="rId13"/>
                          <a:extLst>
                            <a:ext uri="{FF2B5EF4-FFF2-40B4-BE49-F238E27FC236}">
                              <a16:creationId xmlns:a16="http://schemas.microsoft.com/office/drawing/2014/main" id="{C2B8491D-E1D0-4104-17D8-6A07442D529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baseline="0">
                              <a:latin typeface="+mj-lt"/>
                            </a:rPr>
                            <a:t> LTM P&amp;L</a:t>
                          </a:r>
                          <a:r>
                            <a:rPr lang="fr-FR" sz="1100" b="1">
                              <a:latin typeface="+mn-lt"/>
                            </a:rPr>
                            <a:t> </a:t>
                          </a:r>
                        </a:p>
                      </xdr:txBody>
                    </xdr:sp>
                  </xdr:grpSp>
                </xdr:grpSp>
                <xdr:sp macro="" textlink="">
                  <xdr:nvSpPr>
                    <xdr:cNvPr id="60" name="Rectangle 59">
                      <a:hlinkClick xmlns:r="http://schemas.openxmlformats.org/officeDocument/2006/relationships" r:id="rId8"/>
                      <a:extLst>
                        <a:ext uri="{FF2B5EF4-FFF2-40B4-BE49-F238E27FC236}">
                          <a16:creationId xmlns:a16="http://schemas.microsoft.com/office/drawing/2014/main" id="{035BFD82-4E7C-F7EF-270C-2E29452217F8}"/>
                        </a:ext>
                      </a:extLst>
                    </xdr:cNvPr>
                    <xdr:cNvSpPr/>
                  </xdr:nvSpPr>
                  <xdr:spPr>
                    <a:xfrm>
                      <a:off x="5105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Management reporting </a:t>
                      </a:r>
                    </a:p>
                  </xdr:txBody>
                </xdr:sp>
              </xdr:grpSp>
              <xdr:grpSp>
                <xdr:nvGrpSpPr>
                  <xdr:cNvPr id="20" name="Group 19">
                    <a:extLst>
                      <a:ext uri="{FF2B5EF4-FFF2-40B4-BE49-F238E27FC236}">
                        <a16:creationId xmlns:a16="http://schemas.microsoft.com/office/drawing/2014/main" id="{A62ACAD9-58CB-2120-3024-73153519CA12}"/>
                      </a:ext>
                    </a:extLst>
                  </xdr:cNvPr>
                  <xdr:cNvGrpSpPr/>
                </xdr:nvGrpSpPr>
                <xdr:grpSpPr>
                  <a:xfrm>
                    <a:off x="5692140" y="3208020"/>
                    <a:ext cx="2743200" cy="1935480"/>
                    <a:chOff x="2948940" y="3200400"/>
                    <a:chExt cx="2743200" cy="1935480"/>
                  </a:xfrm>
                </xdr:grpSpPr>
                <xdr:grpSp>
                  <xdr:nvGrpSpPr>
                    <xdr:cNvPr id="47" name="Group 46">
                      <a:extLst>
                        <a:ext uri="{FF2B5EF4-FFF2-40B4-BE49-F238E27FC236}">
                          <a16:creationId xmlns:a16="http://schemas.microsoft.com/office/drawing/2014/main" id="{CA394B5D-4B49-6779-A0E5-61DE2399BCDF}"/>
                        </a:ext>
                      </a:extLst>
                    </xdr:cNvPr>
                    <xdr:cNvGrpSpPr/>
                  </xdr:nvGrpSpPr>
                  <xdr:grpSpPr>
                    <a:xfrm>
                      <a:off x="2948940" y="3200400"/>
                      <a:ext cx="2743200" cy="1714500"/>
                      <a:chOff x="60960" y="3154680"/>
                      <a:chExt cx="2743200" cy="1714500"/>
                    </a:xfrm>
                  </xdr:grpSpPr>
                  <xdr:sp macro="" textlink="">
                    <xdr:nvSpPr>
                      <xdr:cNvPr id="49" name="Rectangle 48">
                        <a:extLst>
                          <a:ext uri="{FF2B5EF4-FFF2-40B4-BE49-F238E27FC236}">
                            <a16:creationId xmlns:a16="http://schemas.microsoft.com/office/drawing/2014/main" id="{A360ED8A-8B33-347B-7C7E-94E4022C598E}"/>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Budget/Forecast</a:t>
                        </a:r>
                      </a:p>
                    </xdr:txBody>
                  </xdr:sp>
                  <xdr:grpSp>
                    <xdr:nvGrpSpPr>
                      <xdr:cNvPr id="50" name="Group 49">
                        <a:extLst>
                          <a:ext uri="{FF2B5EF4-FFF2-40B4-BE49-F238E27FC236}">
                            <a16:creationId xmlns:a16="http://schemas.microsoft.com/office/drawing/2014/main" id="{EBFEF5FF-D927-99F7-9A2F-A0E23513EB79}"/>
                          </a:ext>
                        </a:extLst>
                      </xdr:cNvPr>
                      <xdr:cNvGrpSpPr/>
                    </xdr:nvGrpSpPr>
                    <xdr:grpSpPr>
                      <a:xfrm>
                        <a:off x="365760" y="3535680"/>
                        <a:ext cx="2438400" cy="457200"/>
                        <a:chOff x="365760" y="3535680"/>
                        <a:chExt cx="1584960" cy="457200"/>
                      </a:xfrm>
                    </xdr:grpSpPr>
                    <xdr:sp macro="" textlink="">
                      <xdr:nvSpPr>
                        <xdr:cNvPr id="57" name="Rectangle 56">
                          <a:hlinkClick xmlns:r="http://schemas.openxmlformats.org/officeDocument/2006/relationships" r:id="rId14"/>
                          <a:extLst>
                            <a:ext uri="{FF2B5EF4-FFF2-40B4-BE49-F238E27FC236}">
                              <a16:creationId xmlns:a16="http://schemas.microsoft.com/office/drawing/2014/main" id="{6FE3F668-ACC0-D101-01CD-3FC69E7676B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Annual Budget</a:t>
                          </a:r>
                        </a:p>
                      </xdr:txBody>
                    </xdr:sp>
                    <xdr:sp macro="" textlink="">
                      <xdr:nvSpPr>
                        <xdr:cNvPr id="58" name="Rectangle 57">
                          <a:hlinkClick xmlns:r="http://schemas.openxmlformats.org/officeDocument/2006/relationships" r:id="rId15"/>
                          <a:extLst>
                            <a:ext uri="{FF2B5EF4-FFF2-40B4-BE49-F238E27FC236}">
                              <a16:creationId xmlns:a16="http://schemas.microsoft.com/office/drawing/2014/main" id="{396349A8-6543-343A-5021-5C5E5EFFC75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Forecast</a:t>
                          </a:r>
                          <a:endParaRPr lang="fr-FR" sz="1100" b="1">
                            <a:latin typeface="+mn-lt"/>
                          </a:endParaRPr>
                        </a:p>
                      </xdr:txBody>
                    </xdr:sp>
                  </xdr:grpSp>
                  <xdr:grpSp>
                    <xdr:nvGrpSpPr>
                      <xdr:cNvPr id="51" name="Group 50">
                        <a:extLst>
                          <a:ext uri="{FF2B5EF4-FFF2-40B4-BE49-F238E27FC236}">
                            <a16:creationId xmlns:a16="http://schemas.microsoft.com/office/drawing/2014/main" id="{99B40C79-477C-FF0F-D3E3-F43C5CA22E5C}"/>
                          </a:ext>
                        </a:extLst>
                      </xdr:cNvPr>
                      <xdr:cNvGrpSpPr/>
                    </xdr:nvGrpSpPr>
                    <xdr:grpSpPr>
                      <a:xfrm>
                        <a:off x="365760" y="3977640"/>
                        <a:ext cx="2438400" cy="457200"/>
                        <a:chOff x="365760" y="3535680"/>
                        <a:chExt cx="1584960" cy="457200"/>
                      </a:xfrm>
                    </xdr:grpSpPr>
                    <xdr:sp macro="" textlink="">
                      <xdr:nvSpPr>
                        <xdr:cNvPr id="55" name="Rectangle 54">
                          <a:extLst>
                            <a:ext uri="{FF2B5EF4-FFF2-40B4-BE49-F238E27FC236}">
                              <a16:creationId xmlns:a16="http://schemas.microsoft.com/office/drawing/2014/main" id="{4B59173D-34FA-6385-AE95-931BCB06FBDD}"/>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Montecarlo simulation</a:t>
                          </a:r>
                        </a:p>
                      </xdr:txBody>
                    </xdr:sp>
                    <xdr:sp macro="" textlink="">
                      <xdr:nvSpPr>
                        <xdr:cNvPr id="56" name="Rectangle 55">
                          <a:extLst>
                            <a:ext uri="{FF2B5EF4-FFF2-40B4-BE49-F238E27FC236}">
                              <a16:creationId xmlns:a16="http://schemas.microsoft.com/office/drawing/2014/main" id="{6B4DA518-F181-C46A-6658-A32305DFBECB}"/>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a:t>
                          </a:r>
                          <a:r>
                            <a:rPr lang="fr-FR" sz="1100" b="1" baseline="0">
                              <a:latin typeface="+mn-lt"/>
                            </a:rPr>
                            <a:t> Forecasting</a:t>
                          </a:r>
                          <a:endParaRPr lang="fr-FR" sz="1100" b="1">
                            <a:latin typeface="+mn-lt"/>
                          </a:endParaRPr>
                        </a:p>
                      </xdr:txBody>
                    </xdr:sp>
                  </xdr:grpSp>
                  <xdr:grpSp>
                    <xdr:nvGrpSpPr>
                      <xdr:cNvPr id="52" name="Group 51">
                        <a:extLst>
                          <a:ext uri="{FF2B5EF4-FFF2-40B4-BE49-F238E27FC236}">
                            <a16:creationId xmlns:a16="http://schemas.microsoft.com/office/drawing/2014/main" id="{2B1D91FB-162F-C730-E415-1FA4B5BAC506}"/>
                          </a:ext>
                        </a:extLst>
                      </xdr:cNvPr>
                      <xdr:cNvGrpSpPr/>
                    </xdr:nvGrpSpPr>
                    <xdr:grpSpPr>
                      <a:xfrm>
                        <a:off x="365760" y="4411980"/>
                        <a:ext cx="2438400" cy="457200"/>
                        <a:chOff x="365760" y="3535680"/>
                        <a:chExt cx="1584960" cy="457200"/>
                      </a:xfrm>
                    </xdr:grpSpPr>
                    <xdr:sp macro="" textlink="">
                      <xdr:nvSpPr>
                        <xdr:cNvPr id="53" name="Rectangle 52">
                          <a:extLst>
                            <a:ext uri="{FF2B5EF4-FFF2-40B4-BE49-F238E27FC236}">
                              <a16:creationId xmlns:a16="http://schemas.microsoft.com/office/drawing/2014/main" id="{D3EC05EA-2434-9F2C-A16A-26A8C1017EA2}"/>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Based Budget</a:t>
                          </a:r>
                        </a:p>
                      </xdr:txBody>
                    </xdr:sp>
                    <xdr:sp macro="" textlink="">
                      <xdr:nvSpPr>
                        <xdr:cNvPr id="54" name="Rectangle 53">
                          <a:extLst>
                            <a:ext uri="{FF2B5EF4-FFF2-40B4-BE49-F238E27FC236}">
                              <a16:creationId xmlns:a16="http://schemas.microsoft.com/office/drawing/2014/main" id="{FD14D3D3-DEA1-385E-A1C8-AC9A29046D73}"/>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Return On</a:t>
                          </a:r>
                          <a:r>
                            <a:rPr lang="fr-FR" sz="1100" b="1" baseline="0">
                              <a:latin typeface="+mn-lt"/>
                            </a:rPr>
                            <a:t> Investment module</a:t>
                          </a:r>
                          <a:endParaRPr lang="fr-FR" sz="1100" b="1">
                            <a:latin typeface="+mn-lt"/>
                          </a:endParaRPr>
                        </a:p>
                      </xdr:txBody>
                    </xdr:sp>
                  </xdr:grpSp>
                </xdr:grpSp>
                <xdr:sp macro="" textlink="">
                  <xdr:nvSpPr>
                    <xdr:cNvPr id="48" name="Rectangle 47">
                      <a:extLst>
                        <a:ext uri="{FF2B5EF4-FFF2-40B4-BE49-F238E27FC236}">
                          <a16:creationId xmlns:a16="http://schemas.microsoft.com/office/drawing/2014/main" id="{E434859C-4E48-FD75-AF1C-09F2E002FEC8}"/>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Scenarios</a:t>
                      </a:r>
                      <a:r>
                        <a:rPr lang="fr-FR" sz="1100" b="1" baseline="0">
                          <a:latin typeface="+mj-lt"/>
                        </a:rPr>
                        <a:t> archive</a:t>
                      </a:r>
                      <a:endParaRPr lang="fr-FR" sz="1100" b="1">
                        <a:latin typeface="+mn-lt"/>
                      </a:endParaRPr>
                    </a:p>
                  </xdr:txBody>
                </xdr:sp>
              </xdr:grpSp>
              <xdr:grpSp>
                <xdr:nvGrpSpPr>
                  <xdr:cNvPr id="21" name="Group 20">
                    <a:extLst>
                      <a:ext uri="{FF2B5EF4-FFF2-40B4-BE49-F238E27FC236}">
                        <a16:creationId xmlns:a16="http://schemas.microsoft.com/office/drawing/2014/main" id="{06FA1364-3657-AA3E-C559-087A4E1EE998}"/>
                      </a:ext>
                    </a:extLst>
                  </xdr:cNvPr>
                  <xdr:cNvGrpSpPr/>
                </xdr:nvGrpSpPr>
                <xdr:grpSpPr>
                  <a:xfrm>
                    <a:off x="8435340" y="3208020"/>
                    <a:ext cx="2743200" cy="1935480"/>
                    <a:chOff x="2948940" y="3200400"/>
                    <a:chExt cx="2743200" cy="1935480"/>
                  </a:xfrm>
                </xdr:grpSpPr>
                <xdr:grpSp>
                  <xdr:nvGrpSpPr>
                    <xdr:cNvPr id="35" name="Group 34">
                      <a:extLst>
                        <a:ext uri="{FF2B5EF4-FFF2-40B4-BE49-F238E27FC236}">
                          <a16:creationId xmlns:a16="http://schemas.microsoft.com/office/drawing/2014/main" id="{C347E1B8-3E8C-A302-FEE1-7761A1C79AD7}"/>
                        </a:ext>
                      </a:extLst>
                    </xdr:cNvPr>
                    <xdr:cNvGrpSpPr/>
                  </xdr:nvGrpSpPr>
                  <xdr:grpSpPr>
                    <a:xfrm>
                      <a:off x="2948940" y="3200400"/>
                      <a:ext cx="2743200" cy="1714500"/>
                      <a:chOff x="60960" y="3154680"/>
                      <a:chExt cx="2743200" cy="1714500"/>
                    </a:xfrm>
                  </xdr:grpSpPr>
                  <xdr:sp macro="" textlink="">
                    <xdr:nvSpPr>
                      <xdr:cNvPr id="37" name="Rectangle 36">
                        <a:extLst>
                          <a:ext uri="{FF2B5EF4-FFF2-40B4-BE49-F238E27FC236}">
                            <a16:creationId xmlns:a16="http://schemas.microsoft.com/office/drawing/2014/main" id="{D3D15291-5444-5CA9-F2D0-14CF833F6608}"/>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AI Advanced modules</a:t>
                        </a:r>
                      </a:p>
                    </xdr:txBody>
                  </xdr:sp>
                  <xdr:grpSp>
                    <xdr:nvGrpSpPr>
                      <xdr:cNvPr id="38" name="Group 37">
                        <a:extLst>
                          <a:ext uri="{FF2B5EF4-FFF2-40B4-BE49-F238E27FC236}">
                            <a16:creationId xmlns:a16="http://schemas.microsoft.com/office/drawing/2014/main" id="{E5338199-0219-873B-BDD6-970BBC068885}"/>
                          </a:ext>
                        </a:extLst>
                      </xdr:cNvPr>
                      <xdr:cNvGrpSpPr/>
                    </xdr:nvGrpSpPr>
                    <xdr:grpSpPr>
                      <a:xfrm>
                        <a:off x="365760" y="3535680"/>
                        <a:ext cx="2438400" cy="457200"/>
                        <a:chOff x="365760" y="3535680"/>
                        <a:chExt cx="1584960" cy="457200"/>
                      </a:xfrm>
                    </xdr:grpSpPr>
                    <xdr:sp macro="" textlink="">
                      <xdr:nvSpPr>
                        <xdr:cNvPr id="45" name="Rectangle 44">
                          <a:extLst>
                            <a:ext uri="{FF2B5EF4-FFF2-40B4-BE49-F238E27FC236}">
                              <a16:creationId xmlns:a16="http://schemas.microsoft.com/office/drawing/2014/main" id="{6DF8F14D-EE07-B67D-FD16-9F9415634F78}"/>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Generative</a:t>
                          </a:r>
                          <a:r>
                            <a:rPr lang="fr-FR" sz="1100" b="1" baseline="0">
                              <a:latin typeface="+mn-lt"/>
                            </a:rPr>
                            <a:t> AI</a:t>
                          </a:r>
                          <a:endParaRPr lang="fr-FR" sz="1100" b="1">
                            <a:latin typeface="+mn-lt"/>
                          </a:endParaRPr>
                        </a:p>
                      </xdr:txBody>
                    </xdr:sp>
                    <xdr:sp macro="" textlink="">
                      <xdr:nvSpPr>
                        <xdr:cNvPr id="46" name="Rectangle 45">
                          <a:extLst>
                            <a:ext uri="{FF2B5EF4-FFF2-40B4-BE49-F238E27FC236}">
                              <a16:creationId xmlns:a16="http://schemas.microsoft.com/office/drawing/2014/main" id="{A067B56B-0979-A695-93F0-59881F4C1159}"/>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Business Insights</a:t>
                          </a:r>
                          <a:endParaRPr lang="fr-FR" sz="1100" b="1">
                            <a:latin typeface="+mn-lt"/>
                          </a:endParaRPr>
                        </a:p>
                      </xdr:txBody>
                    </xdr:sp>
                  </xdr:grpSp>
                  <xdr:grpSp>
                    <xdr:nvGrpSpPr>
                      <xdr:cNvPr id="39" name="Group 38">
                        <a:extLst>
                          <a:ext uri="{FF2B5EF4-FFF2-40B4-BE49-F238E27FC236}">
                            <a16:creationId xmlns:a16="http://schemas.microsoft.com/office/drawing/2014/main" id="{5231AEFA-0C59-E47C-185F-BC0E03C35CD5}"/>
                          </a:ext>
                        </a:extLst>
                      </xdr:cNvPr>
                      <xdr:cNvGrpSpPr/>
                    </xdr:nvGrpSpPr>
                    <xdr:grpSpPr>
                      <a:xfrm>
                        <a:off x="365760" y="3977640"/>
                        <a:ext cx="2438400" cy="457200"/>
                        <a:chOff x="365760" y="3535680"/>
                        <a:chExt cx="1584960" cy="457200"/>
                      </a:xfrm>
                    </xdr:grpSpPr>
                    <xdr:sp macro="" textlink="">
                      <xdr:nvSpPr>
                        <xdr:cNvPr id="43" name="Rectangle 42">
                          <a:extLst>
                            <a:ext uri="{FF2B5EF4-FFF2-40B4-BE49-F238E27FC236}">
                              <a16:creationId xmlns:a16="http://schemas.microsoft.com/office/drawing/2014/main" id="{5821F62F-21E2-B63B-8E3B-F170DA1E240A}"/>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AI journal entries analysis</a:t>
                          </a:r>
                        </a:p>
                      </xdr:txBody>
                    </xdr:sp>
                    <xdr:sp macro="" textlink="">
                      <xdr:nvSpPr>
                        <xdr:cNvPr id="44" name="Rectangle 43">
                          <a:extLst>
                            <a:ext uri="{FF2B5EF4-FFF2-40B4-BE49-F238E27FC236}">
                              <a16:creationId xmlns:a16="http://schemas.microsoft.com/office/drawing/2014/main" id="{ED620A39-5CD9-43C3-1E11-279ADE06DB07}"/>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Risk</a:t>
                          </a:r>
                          <a:r>
                            <a:rPr lang="fr-FR" sz="1100" b="1" baseline="0">
                              <a:latin typeface="+mn-lt"/>
                            </a:rPr>
                            <a:t> management module</a:t>
                          </a:r>
                          <a:endParaRPr lang="fr-FR" sz="1100" b="1">
                            <a:latin typeface="+mn-lt"/>
                          </a:endParaRPr>
                        </a:p>
                      </xdr:txBody>
                    </xdr:sp>
                  </xdr:grpSp>
                  <xdr:grpSp>
                    <xdr:nvGrpSpPr>
                      <xdr:cNvPr id="40" name="Group 39">
                        <a:extLst>
                          <a:ext uri="{FF2B5EF4-FFF2-40B4-BE49-F238E27FC236}">
                            <a16:creationId xmlns:a16="http://schemas.microsoft.com/office/drawing/2014/main" id="{6A4E4A43-0E37-739D-6BCC-DE9DABB9A97F}"/>
                          </a:ext>
                        </a:extLst>
                      </xdr:cNvPr>
                      <xdr:cNvGrpSpPr/>
                    </xdr:nvGrpSpPr>
                    <xdr:grpSpPr>
                      <a:xfrm>
                        <a:off x="365760" y="4411980"/>
                        <a:ext cx="2438400" cy="457200"/>
                        <a:chOff x="365760" y="3535680"/>
                        <a:chExt cx="1584960" cy="457200"/>
                      </a:xfrm>
                    </xdr:grpSpPr>
                    <xdr:sp macro="" textlink="">
                      <xdr:nvSpPr>
                        <xdr:cNvPr id="41" name="Rectangle 40">
                          <a:extLst>
                            <a:ext uri="{FF2B5EF4-FFF2-40B4-BE49-F238E27FC236}">
                              <a16:creationId xmlns:a16="http://schemas.microsoft.com/office/drawing/2014/main" id="{B02266D0-9947-27BB-FE00-7091C590206F}"/>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AI </a:t>
                          </a:r>
                          <a:r>
                            <a:rPr lang="fr-FR" sz="1100" b="1">
                              <a:latin typeface="+mn-lt"/>
                            </a:rPr>
                            <a:t>Risk matrix builder</a:t>
                          </a:r>
                        </a:p>
                      </xdr:txBody>
                    </xdr:sp>
                    <xdr:sp macro="" textlink="">
                      <xdr:nvSpPr>
                        <xdr:cNvPr id="42" name="Rectangle 41">
                          <a:extLst>
                            <a:ext uri="{FF2B5EF4-FFF2-40B4-BE49-F238E27FC236}">
                              <a16:creationId xmlns:a16="http://schemas.microsoft.com/office/drawing/2014/main" id="{F7D73BF4-EE9E-4013-DCF5-D8D376E04460}"/>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36" name="Rectangle 35">
                      <a:extLst>
                        <a:ext uri="{FF2B5EF4-FFF2-40B4-BE49-F238E27FC236}">
                          <a16:creationId xmlns:a16="http://schemas.microsoft.com/office/drawing/2014/main" id="{36D41879-FED1-6510-0A10-BAE14E03370D}"/>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nvGrpSpPr>
                  <xdr:cNvPr id="22" name="Group 21">
                    <a:extLst>
                      <a:ext uri="{FF2B5EF4-FFF2-40B4-BE49-F238E27FC236}">
                        <a16:creationId xmlns:a16="http://schemas.microsoft.com/office/drawing/2014/main" id="{7D70214F-A1AD-C616-3FD1-4817850A7F55}"/>
                      </a:ext>
                    </a:extLst>
                  </xdr:cNvPr>
                  <xdr:cNvGrpSpPr/>
                </xdr:nvGrpSpPr>
                <xdr:grpSpPr>
                  <a:xfrm>
                    <a:off x="11170920" y="3208020"/>
                    <a:ext cx="2743200" cy="1935480"/>
                    <a:chOff x="2948940" y="3200400"/>
                    <a:chExt cx="2743200" cy="1935480"/>
                  </a:xfrm>
                </xdr:grpSpPr>
                <xdr:grpSp>
                  <xdr:nvGrpSpPr>
                    <xdr:cNvPr id="23" name="Group 22">
                      <a:extLst>
                        <a:ext uri="{FF2B5EF4-FFF2-40B4-BE49-F238E27FC236}">
                          <a16:creationId xmlns:a16="http://schemas.microsoft.com/office/drawing/2014/main" id="{73C52B49-7DDA-8370-4FD7-1B3380E87D4D}"/>
                        </a:ext>
                      </a:extLst>
                    </xdr:cNvPr>
                    <xdr:cNvGrpSpPr/>
                  </xdr:nvGrpSpPr>
                  <xdr:grpSpPr>
                    <a:xfrm>
                      <a:off x="2948940" y="3200400"/>
                      <a:ext cx="2743200" cy="1714500"/>
                      <a:chOff x="60960" y="3154680"/>
                      <a:chExt cx="2743200" cy="1714500"/>
                    </a:xfrm>
                  </xdr:grpSpPr>
                  <xdr:sp macro="" textlink="">
                    <xdr:nvSpPr>
                      <xdr:cNvPr id="25" name="Rectangle 24">
                        <a:extLst>
                          <a:ext uri="{FF2B5EF4-FFF2-40B4-BE49-F238E27FC236}">
                            <a16:creationId xmlns:a16="http://schemas.microsoft.com/office/drawing/2014/main" id="{186070DE-3371-C6F4-B682-C96B920E198D}"/>
                          </a:ext>
                        </a:extLst>
                      </xdr:cNvPr>
                      <xdr:cNvSpPr/>
                    </xdr:nvSpPr>
                    <xdr:spPr>
                      <a:xfrm>
                        <a:off x="60960" y="3154680"/>
                        <a:ext cx="2392680" cy="3810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b="1">
                            <a:latin typeface="+mj-lt"/>
                          </a:rPr>
                          <a:t>Benchmarking</a:t>
                        </a:r>
                      </a:p>
                    </xdr:txBody>
                  </xdr:sp>
                  <xdr:grpSp>
                    <xdr:nvGrpSpPr>
                      <xdr:cNvPr id="26" name="Group 25">
                        <a:extLst>
                          <a:ext uri="{FF2B5EF4-FFF2-40B4-BE49-F238E27FC236}">
                            <a16:creationId xmlns:a16="http://schemas.microsoft.com/office/drawing/2014/main" id="{3FCE9ED6-70B9-2A96-8C79-6635B8251C5F}"/>
                          </a:ext>
                        </a:extLst>
                      </xdr:cNvPr>
                      <xdr:cNvGrpSpPr/>
                    </xdr:nvGrpSpPr>
                    <xdr:grpSpPr>
                      <a:xfrm>
                        <a:off x="365760" y="3535680"/>
                        <a:ext cx="2438400" cy="457200"/>
                        <a:chOff x="365760" y="3535680"/>
                        <a:chExt cx="1584960" cy="457200"/>
                      </a:xfrm>
                    </xdr:grpSpPr>
                    <xdr:sp macro="" textlink="">
                      <xdr:nvSpPr>
                        <xdr:cNvPr id="33" name="Rectangle 32">
                          <a:hlinkClick xmlns:r="http://schemas.openxmlformats.org/officeDocument/2006/relationships" r:id="rId16"/>
                          <a:extLst>
                            <a:ext uri="{FF2B5EF4-FFF2-40B4-BE49-F238E27FC236}">
                              <a16:creationId xmlns:a16="http://schemas.microsoft.com/office/drawing/2014/main" id="{C1BDF897-3D50-BD64-A87C-EE0616BAB1D5}"/>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General</a:t>
                          </a:r>
                        </a:p>
                      </xdr:txBody>
                    </xdr:sp>
                    <xdr:sp macro="" textlink="">
                      <xdr:nvSpPr>
                        <xdr:cNvPr id="34" name="Rectangle 33">
                          <a:hlinkClick xmlns:r="http://schemas.openxmlformats.org/officeDocument/2006/relationships" r:id="rId17"/>
                          <a:extLst>
                            <a:ext uri="{FF2B5EF4-FFF2-40B4-BE49-F238E27FC236}">
                              <a16:creationId xmlns:a16="http://schemas.microsoft.com/office/drawing/2014/main" id="{84FAF096-9742-F31A-4B7B-23256E7770F6}"/>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Financial analytics</a:t>
                          </a:r>
                          <a:r>
                            <a:rPr lang="fr-FR" sz="1100" b="1" baseline="0">
                              <a:latin typeface="+mj-lt"/>
                            </a:rPr>
                            <a:t> </a:t>
                          </a:r>
                          <a:endParaRPr lang="fr-FR" sz="1100" b="1">
                            <a:latin typeface="+mn-lt"/>
                          </a:endParaRPr>
                        </a:p>
                      </xdr:txBody>
                    </xdr:sp>
                  </xdr:grpSp>
                  <xdr:grpSp>
                    <xdr:nvGrpSpPr>
                      <xdr:cNvPr id="27" name="Group 26">
                        <a:extLst>
                          <a:ext uri="{FF2B5EF4-FFF2-40B4-BE49-F238E27FC236}">
                            <a16:creationId xmlns:a16="http://schemas.microsoft.com/office/drawing/2014/main" id="{95F102B0-1A36-9401-1E9E-65FDE6F8B714}"/>
                          </a:ext>
                        </a:extLst>
                      </xdr:cNvPr>
                      <xdr:cNvGrpSpPr/>
                    </xdr:nvGrpSpPr>
                    <xdr:grpSpPr>
                      <a:xfrm>
                        <a:off x="365760" y="3977640"/>
                        <a:ext cx="2438400" cy="457200"/>
                        <a:chOff x="365760" y="3535680"/>
                        <a:chExt cx="1584960" cy="457200"/>
                      </a:xfrm>
                    </xdr:grpSpPr>
                    <xdr:sp macro="" textlink="">
                      <xdr:nvSpPr>
                        <xdr:cNvPr id="31" name="Rectangle 30">
                          <a:hlinkClick xmlns:r="http://schemas.openxmlformats.org/officeDocument/2006/relationships" r:id="rId18"/>
                          <a:extLst>
                            <a:ext uri="{FF2B5EF4-FFF2-40B4-BE49-F238E27FC236}">
                              <a16:creationId xmlns:a16="http://schemas.microsoft.com/office/drawing/2014/main" id="{0ABB0438-272B-FEF4-E073-F9A58909C266}"/>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Sector/Market</a:t>
                          </a:r>
                          <a:r>
                            <a:rPr lang="fr-FR" sz="1100" b="1" baseline="0">
                              <a:latin typeface="+mn-lt"/>
                            </a:rPr>
                            <a:t> insights</a:t>
                          </a:r>
                          <a:endParaRPr lang="fr-FR" sz="1100" b="1">
                            <a:latin typeface="+mn-lt"/>
                          </a:endParaRPr>
                        </a:p>
                      </xdr:txBody>
                    </xdr:sp>
                    <xdr:sp macro="" textlink="">
                      <xdr:nvSpPr>
                        <xdr:cNvPr id="32" name="Rectangle 31">
                          <a:extLst>
                            <a:ext uri="{FF2B5EF4-FFF2-40B4-BE49-F238E27FC236}">
                              <a16:creationId xmlns:a16="http://schemas.microsoft.com/office/drawing/2014/main" id="{BEEE8724-B941-3719-3F64-7AA7883FC21D}"/>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On</a:t>
                          </a:r>
                          <a:r>
                            <a:rPr lang="fr-FR" sz="1100" b="1" baseline="0">
                              <a:latin typeface="+mn-lt"/>
                            </a:rPr>
                            <a:t> demand analysis</a:t>
                          </a:r>
                          <a:endParaRPr lang="fr-FR" sz="1100" b="1">
                            <a:latin typeface="+mn-lt"/>
                          </a:endParaRPr>
                        </a:p>
                      </xdr:txBody>
                    </xdr:sp>
                  </xdr:grpSp>
                  <xdr:grpSp>
                    <xdr:nvGrpSpPr>
                      <xdr:cNvPr id="28" name="Group 27">
                        <a:extLst>
                          <a:ext uri="{FF2B5EF4-FFF2-40B4-BE49-F238E27FC236}">
                            <a16:creationId xmlns:a16="http://schemas.microsoft.com/office/drawing/2014/main" id="{D36EE6F1-DF55-1487-8CFB-DBBF0439104C}"/>
                          </a:ext>
                        </a:extLst>
                      </xdr:cNvPr>
                      <xdr:cNvGrpSpPr/>
                    </xdr:nvGrpSpPr>
                    <xdr:grpSpPr>
                      <a:xfrm>
                        <a:off x="365760" y="4411980"/>
                        <a:ext cx="2438400" cy="457200"/>
                        <a:chOff x="365760" y="3535680"/>
                        <a:chExt cx="1584960" cy="457200"/>
                      </a:xfrm>
                    </xdr:grpSpPr>
                    <xdr:sp macro="" textlink="">
                      <xdr:nvSpPr>
                        <xdr:cNvPr id="29" name="Rectangle 28">
                          <a:extLst>
                            <a:ext uri="{FF2B5EF4-FFF2-40B4-BE49-F238E27FC236}">
                              <a16:creationId xmlns:a16="http://schemas.microsoft.com/office/drawing/2014/main" id="{0422D073-1B17-987A-6C9B-08829855A2A7}"/>
                            </a:ext>
                          </a:extLst>
                        </xdr:cNvPr>
                        <xdr:cNvSpPr/>
                      </xdr:nvSpPr>
                      <xdr:spPr>
                        <a:xfrm>
                          <a:off x="365760" y="35356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sp macro="" textlink="">
                      <xdr:nvSpPr>
                        <xdr:cNvPr id="30" name="Rectangle 29">
                          <a:extLst>
                            <a:ext uri="{FF2B5EF4-FFF2-40B4-BE49-F238E27FC236}">
                              <a16:creationId xmlns:a16="http://schemas.microsoft.com/office/drawing/2014/main" id="{9BC32483-E512-2021-DD66-57A94E20A9F2}"/>
                            </a:ext>
                          </a:extLst>
                        </xdr:cNvPr>
                        <xdr:cNvSpPr/>
                      </xdr:nvSpPr>
                      <xdr:spPr>
                        <a:xfrm>
                          <a:off x="365760" y="3764280"/>
                          <a:ext cx="158496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24" name="Rectangle 23">
                      <a:extLst>
                        <a:ext uri="{FF2B5EF4-FFF2-40B4-BE49-F238E27FC236}">
                          <a16:creationId xmlns:a16="http://schemas.microsoft.com/office/drawing/2014/main" id="{14B905B6-850C-6AF5-23E1-0363850411BE}"/>
                        </a:ext>
                      </a:extLst>
                    </xdr:cNvPr>
                    <xdr:cNvSpPr/>
                  </xdr:nvSpPr>
                  <xdr:spPr>
                    <a:xfrm>
                      <a:off x="3253740" y="490728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b="1">
                        <a:latin typeface="+mn-lt"/>
                      </a:endParaRPr>
                    </a:p>
                  </xdr:txBody>
                </xdr:sp>
              </xdr:grpSp>
            </xdr:grpSp>
            <xdr:sp macro="" textlink="">
              <xdr:nvSpPr>
                <xdr:cNvPr id="17" name="Rectangle 16">
                  <a:extLst>
                    <a:ext uri="{FF2B5EF4-FFF2-40B4-BE49-F238E27FC236}">
                      <a16:creationId xmlns:a16="http://schemas.microsoft.com/office/drawing/2014/main" id="{897F9754-0B9B-788D-B025-978BDF3DB21E}"/>
                    </a:ext>
                  </a:extLst>
                </xdr:cNvPr>
                <xdr:cNvSpPr/>
              </xdr:nvSpPr>
              <xdr:spPr>
                <a:xfrm>
                  <a:off x="8740140" y="3962400"/>
                  <a:ext cx="2438400" cy="228600"/>
                </a:xfrm>
                <a:prstGeom prst="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0">
                      <a:latin typeface="Wingdings 3" panose="05040102010807070707" pitchFamily="18" charset="2"/>
                    </a:rPr>
                    <a:t>9</a:t>
                  </a:r>
                  <a:r>
                    <a:rPr lang="fr-FR" sz="1100" b="0">
                      <a:latin typeface="+mj-lt"/>
                    </a:rPr>
                    <a:t> </a:t>
                  </a:r>
                  <a:r>
                    <a:rPr lang="fr-FR" sz="1100" b="1">
                      <a:latin typeface="+mj-lt"/>
                    </a:rPr>
                    <a:t> </a:t>
                  </a:r>
                  <a:r>
                    <a:rPr lang="fr-FR" sz="1100" b="1">
                      <a:latin typeface="+mn-lt"/>
                    </a:rPr>
                    <a:t>Business plan builder - AI</a:t>
                  </a:r>
                </a:p>
              </xdr:txBody>
            </xdr:sp>
          </xdr:grpSp>
        </xdr:grpSp>
        <xdr:sp macro="" textlink="">
          <xdr:nvSpPr>
            <xdr:cNvPr id="11" name="Rectangle: Rounded Corners 10">
              <a:extLst>
                <a:ext uri="{FF2B5EF4-FFF2-40B4-BE49-F238E27FC236}">
                  <a16:creationId xmlns:a16="http://schemas.microsoft.com/office/drawing/2014/main" id="{5E527F36-FCBE-E9A4-C967-FB15CE128610}"/>
                </a:ext>
              </a:extLst>
            </xdr:cNvPr>
            <xdr:cNvSpPr/>
          </xdr:nvSpPr>
          <xdr:spPr>
            <a:xfrm>
              <a:off x="12082275" y="777328"/>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Export</a:t>
              </a:r>
            </a:p>
          </xdr:txBody>
        </xdr:sp>
        <xdr:sp macro="" textlink="">
          <xdr:nvSpPr>
            <xdr:cNvPr id="12" name="Rectangle: Rounded Corners 11">
              <a:extLst>
                <a:ext uri="{FF2B5EF4-FFF2-40B4-BE49-F238E27FC236}">
                  <a16:creationId xmlns:a16="http://schemas.microsoft.com/office/drawing/2014/main" id="{739C94FE-C910-0EBE-2561-9737E949748D}"/>
                </a:ext>
              </a:extLst>
            </xdr:cNvPr>
            <xdr:cNvSpPr/>
          </xdr:nvSpPr>
          <xdr:spPr>
            <a:xfrm>
              <a:off x="12805887" y="783582"/>
              <a:ext cx="702321" cy="222784"/>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Print</a:t>
              </a:r>
            </a:p>
          </xdr:txBody>
        </xdr:sp>
        <xdr:sp macro="" textlink="">
          <xdr:nvSpPr>
            <xdr:cNvPr id="13" name="Rectangle: Rounded Corners 12">
              <a:extLst>
                <a:ext uri="{FF2B5EF4-FFF2-40B4-BE49-F238E27FC236}">
                  <a16:creationId xmlns:a16="http://schemas.microsoft.com/office/drawing/2014/main" id="{38117BA4-A388-9C41-A373-B981523B63D2}"/>
                </a:ext>
              </a:extLst>
            </xdr:cNvPr>
            <xdr:cNvSpPr/>
          </xdr:nvSpPr>
          <xdr:spPr>
            <a:xfrm>
              <a:off x="13536293" y="774501"/>
              <a:ext cx="702321" cy="236286"/>
            </a:xfrm>
            <a:prstGeom prst="roundRect">
              <a:avLst/>
            </a:prstGeom>
            <a:solidFill>
              <a:srgbClr val="122D4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00"/>
                <a:t>To</a:t>
              </a:r>
              <a:r>
                <a:rPr lang="fr-FR" sz="800" baseline="0"/>
                <a:t> PDF</a:t>
              </a:r>
              <a:endParaRPr lang="fr-FR" sz="800"/>
            </a:p>
          </xdr:txBody>
        </xdr:sp>
      </xdr:grpSp>
      <xdr:pic>
        <xdr:nvPicPr>
          <xdr:cNvPr id="8" name="Picture 7">
            <a:hlinkClick xmlns:r="http://schemas.openxmlformats.org/officeDocument/2006/relationships" r:id="rId19"/>
            <a:extLst>
              <a:ext uri="{FF2B5EF4-FFF2-40B4-BE49-F238E27FC236}">
                <a16:creationId xmlns:a16="http://schemas.microsoft.com/office/drawing/2014/main" id="{4781897B-AB64-C2EE-AE6B-F820200059C9}"/>
              </a:ext>
            </a:extLst>
          </xdr:cNvPr>
          <xdr:cNvPicPr>
            <a:picLocks noChangeAspect="1"/>
          </xdr:cNvPicPr>
        </xdr:nvPicPr>
        <xdr:blipFill rotWithShape="1">
          <a:blip xmlns:r="http://schemas.openxmlformats.org/officeDocument/2006/relationships" r:embed="rId20">
            <a:extLst>
              <a:ext uri="{BEBA8EAE-BF5A-486C-A8C5-ECC9F3942E4B}">
                <a14:imgProps xmlns:a14="http://schemas.microsoft.com/office/drawing/2010/main">
                  <a14:imgLayer r:embed="rId21">
                    <a14:imgEffect>
                      <a14:backgroundRemoval t="10000" b="90000" l="10000" r="90000">
                        <a14:foregroundMark x1="15784" y1="39418" x2="15784" y2="39418"/>
                        <a14:foregroundMark x1="17083" y1="54497" x2="17083" y2="54497"/>
                        <a14:foregroundMark x1="26374" y1="39683" x2="26374" y2="39683"/>
                        <a14:foregroundMark x1="32967" y1="44974" x2="32967" y2="44974"/>
                        <a14:foregroundMark x1="36064" y1="32275" x2="36064" y2="32804"/>
                        <a14:foregroundMark x1="41758" y1="38624" x2="41958" y2="39418"/>
                        <a14:foregroundMark x1="60939" y1="48148" x2="60939" y2="48148"/>
                        <a14:foregroundMark x1="64236" y1="54762" x2="64236" y2="54762"/>
                      </a14:backgroundRemoval>
                    </a14:imgEffect>
                  </a14:imgLayer>
                </a14:imgProps>
              </a:ext>
            </a:extLst>
          </a:blip>
          <a:srcRect l="9908" t="26239" r="30001" b="35036"/>
          <a:stretch/>
        </xdr:blipFill>
        <xdr:spPr>
          <a:xfrm>
            <a:off x="38101" y="25400"/>
            <a:ext cx="1816100" cy="436106"/>
          </a:xfrm>
          <a:prstGeom prst="rect">
            <a:avLst/>
          </a:prstGeom>
        </xdr:spPr>
      </xdr:pic>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289561</xdr:colOff>
      <xdr:row>1</xdr:row>
      <xdr:rowOff>10161</xdr:rowOff>
    </xdr:from>
    <xdr:to>
      <xdr:col>1</xdr:col>
      <xdr:colOff>1828160</xdr:colOff>
      <xdr:row>3</xdr:row>
      <xdr:rowOff>173990</xdr:rowOff>
    </xdr:to>
    <xdr:pic>
      <xdr:nvPicPr>
        <xdr:cNvPr id="2" name="Picture 1">
          <a:extLst>
            <a:ext uri="{FF2B5EF4-FFF2-40B4-BE49-F238E27FC236}">
              <a16:creationId xmlns:a16="http://schemas.microsoft.com/office/drawing/2014/main" id="{1100FA39-7278-4E32-96C8-705DE29D22A7}"/>
            </a:ext>
          </a:extLst>
        </xdr:cNvPr>
        <xdr:cNvPicPr>
          <a:picLocks noChangeAspect="1"/>
        </xdr:cNvPicPr>
      </xdr:nvPicPr>
      <xdr:blipFill>
        <a:blip xmlns:r="http://schemas.openxmlformats.org/officeDocument/2006/relationships" r:embed="rId1"/>
        <a:stretch>
          <a:fillRect/>
        </a:stretch>
      </xdr:blipFill>
      <xdr:spPr>
        <a:xfrm>
          <a:off x="434341" y="193041"/>
          <a:ext cx="1538599" cy="52958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289561</xdr:colOff>
      <xdr:row>1</xdr:row>
      <xdr:rowOff>10161</xdr:rowOff>
    </xdr:from>
    <xdr:to>
      <xdr:col>1</xdr:col>
      <xdr:colOff>1828160</xdr:colOff>
      <xdr:row>3</xdr:row>
      <xdr:rowOff>177800</xdr:rowOff>
    </xdr:to>
    <xdr:pic>
      <xdr:nvPicPr>
        <xdr:cNvPr id="2" name="Picture 1">
          <a:extLst>
            <a:ext uri="{FF2B5EF4-FFF2-40B4-BE49-F238E27FC236}">
              <a16:creationId xmlns:a16="http://schemas.microsoft.com/office/drawing/2014/main" id="{8917E197-D72F-47E7-8236-ECAD036AF634}"/>
            </a:ext>
          </a:extLst>
        </xdr:cNvPr>
        <xdr:cNvPicPr>
          <a:picLocks noChangeAspect="1"/>
        </xdr:cNvPicPr>
      </xdr:nvPicPr>
      <xdr:blipFill>
        <a:blip xmlns:r="http://schemas.openxmlformats.org/officeDocument/2006/relationships" r:embed="rId1"/>
        <a:stretch>
          <a:fillRect/>
        </a:stretch>
      </xdr:blipFill>
      <xdr:spPr>
        <a:xfrm>
          <a:off x="431801" y="195581"/>
          <a:ext cx="1541139" cy="53085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289561</xdr:colOff>
      <xdr:row>1</xdr:row>
      <xdr:rowOff>10161</xdr:rowOff>
    </xdr:from>
    <xdr:to>
      <xdr:col>1</xdr:col>
      <xdr:colOff>1828160</xdr:colOff>
      <xdr:row>3</xdr:row>
      <xdr:rowOff>173990</xdr:rowOff>
    </xdr:to>
    <xdr:pic>
      <xdr:nvPicPr>
        <xdr:cNvPr id="2" name="Picture 1">
          <a:extLst>
            <a:ext uri="{FF2B5EF4-FFF2-40B4-BE49-F238E27FC236}">
              <a16:creationId xmlns:a16="http://schemas.microsoft.com/office/drawing/2014/main" id="{E5D2BD08-4382-4572-B5F9-C5D6BC7830D3}"/>
            </a:ext>
          </a:extLst>
        </xdr:cNvPr>
        <xdr:cNvPicPr>
          <a:picLocks noChangeAspect="1"/>
        </xdr:cNvPicPr>
      </xdr:nvPicPr>
      <xdr:blipFill>
        <a:blip xmlns:r="http://schemas.openxmlformats.org/officeDocument/2006/relationships" r:embed="rId1"/>
        <a:stretch>
          <a:fillRect/>
        </a:stretch>
      </xdr:blipFill>
      <xdr:spPr>
        <a:xfrm>
          <a:off x="431801" y="195581"/>
          <a:ext cx="1541139" cy="52958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289561</xdr:colOff>
      <xdr:row>1</xdr:row>
      <xdr:rowOff>10161</xdr:rowOff>
    </xdr:from>
    <xdr:to>
      <xdr:col>1</xdr:col>
      <xdr:colOff>1828160</xdr:colOff>
      <xdr:row>3</xdr:row>
      <xdr:rowOff>173990</xdr:rowOff>
    </xdr:to>
    <xdr:pic>
      <xdr:nvPicPr>
        <xdr:cNvPr id="2" name="Picture 1">
          <a:extLst>
            <a:ext uri="{FF2B5EF4-FFF2-40B4-BE49-F238E27FC236}">
              <a16:creationId xmlns:a16="http://schemas.microsoft.com/office/drawing/2014/main" id="{217BD14B-2683-42AE-9EAB-23EBC94E1BA2}"/>
            </a:ext>
          </a:extLst>
        </xdr:cNvPr>
        <xdr:cNvPicPr>
          <a:picLocks noChangeAspect="1"/>
        </xdr:cNvPicPr>
      </xdr:nvPicPr>
      <xdr:blipFill>
        <a:blip xmlns:r="http://schemas.openxmlformats.org/officeDocument/2006/relationships" r:embed="rId1"/>
        <a:stretch>
          <a:fillRect/>
        </a:stretch>
      </xdr:blipFill>
      <xdr:spPr>
        <a:xfrm>
          <a:off x="431801" y="195581"/>
          <a:ext cx="1541139" cy="52831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289561</xdr:colOff>
      <xdr:row>1</xdr:row>
      <xdr:rowOff>10161</xdr:rowOff>
    </xdr:from>
    <xdr:to>
      <xdr:col>1</xdr:col>
      <xdr:colOff>1828160</xdr:colOff>
      <xdr:row>3</xdr:row>
      <xdr:rowOff>173990</xdr:rowOff>
    </xdr:to>
    <xdr:pic>
      <xdr:nvPicPr>
        <xdr:cNvPr id="2" name="Picture 1">
          <a:extLst>
            <a:ext uri="{FF2B5EF4-FFF2-40B4-BE49-F238E27FC236}">
              <a16:creationId xmlns:a16="http://schemas.microsoft.com/office/drawing/2014/main" id="{ED2E944C-EF40-4392-B326-D759263FC1DB}"/>
            </a:ext>
          </a:extLst>
        </xdr:cNvPr>
        <xdr:cNvPicPr>
          <a:picLocks noChangeAspect="1"/>
        </xdr:cNvPicPr>
      </xdr:nvPicPr>
      <xdr:blipFill>
        <a:blip xmlns:r="http://schemas.openxmlformats.org/officeDocument/2006/relationships" r:embed="rId1"/>
        <a:stretch>
          <a:fillRect/>
        </a:stretch>
      </xdr:blipFill>
      <xdr:spPr>
        <a:xfrm>
          <a:off x="431801" y="195581"/>
          <a:ext cx="1541139" cy="52831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289561</xdr:colOff>
      <xdr:row>1</xdr:row>
      <xdr:rowOff>10161</xdr:rowOff>
    </xdr:from>
    <xdr:to>
      <xdr:col>1</xdr:col>
      <xdr:colOff>1828160</xdr:colOff>
      <xdr:row>3</xdr:row>
      <xdr:rowOff>175260</xdr:rowOff>
    </xdr:to>
    <xdr:pic>
      <xdr:nvPicPr>
        <xdr:cNvPr id="2" name="Picture 1">
          <a:extLst>
            <a:ext uri="{FF2B5EF4-FFF2-40B4-BE49-F238E27FC236}">
              <a16:creationId xmlns:a16="http://schemas.microsoft.com/office/drawing/2014/main" id="{02CEC891-7901-FB75-421D-298EA5D67B5D}"/>
            </a:ext>
          </a:extLst>
        </xdr:cNvPr>
        <xdr:cNvPicPr>
          <a:picLocks noChangeAspect="1"/>
        </xdr:cNvPicPr>
      </xdr:nvPicPr>
      <xdr:blipFill>
        <a:blip xmlns:r="http://schemas.openxmlformats.org/officeDocument/2006/relationships" r:embed="rId1"/>
        <a:stretch>
          <a:fillRect/>
        </a:stretch>
      </xdr:blipFill>
      <xdr:spPr>
        <a:xfrm>
          <a:off x="434341" y="193041"/>
          <a:ext cx="1538599" cy="520699"/>
        </a:xfrm>
        <a:prstGeom prst="rect">
          <a:avLst/>
        </a:prstGeom>
      </xdr:spPr>
    </xdr:pic>
    <xdr:clientData/>
  </xdr:twoCellAnchor>
  <xdr:twoCellAnchor>
    <xdr:from>
      <xdr:col>8</xdr:col>
      <xdr:colOff>1230928</xdr:colOff>
      <xdr:row>23</xdr:row>
      <xdr:rowOff>125062</xdr:rowOff>
    </xdr:from>
    <xdr:to>
      <xdr:col>17</xdr:col>
      <xdr:colOff>443246</xdr:colOff>
      <xdr:row>71</xdr:row>
      <xdr:rowOff>122523</xdr:rowOff>
    </xdr:to>
    <xdr:sp macro="" textlink="">
      <xdr:nvSpPr>
        <xdr:cNvPr id="3" name="TextBox 2">
          <a:extLst>
            <a:ext uri="{FF2B5EF4-FFF2-40B4-BE49-F238E27FC236}">
              <a16:creationId xmlns:a16="http://schemas.microsoft.com/office/drawing/2014/main" id="{5AF38428-8CFF-6C90-3B81-E85378707F4A}"/>
            </a:ext>
          </a:extLst>
        </xdr:cNvPr>
        <xdr:cNvSpPr txBox="1"/>
      </xdr:nvSpPr>
      <xdr:spPr>
        <a:xfrm>
          <a:off x="9527203" y="5011387"/>
          <a:ext cx="7546693" cy="8617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b="1" u="sng">
              <a:solidFill>
                <a:schemeClr val="accent1"/>
              </a:solidFill>
            </a:rPr>
            <a:t>AI Insights:</a:t>
          </a:r>
        </a:p>
        <a:p>
          <a:r>
            <a:rPr lang="fr-FR" b="1"/>
            <a:t>Sales Revenue</a:t>
          </a:r>
          <a:r>
            <a:rPr lang="fr-FR"/>
            <a:t>:</a:t>
          </a:r>
        </a:p>
        <a:p>
          <a:pPr lvl="1"/>
          <a:r>
            <a:rPr lang="fr-FR" b="1"/>
            <a:t>Actuals</a:t>
          </a:r>
          <a:r>
            <a:rPr lang="fr-FR"/>
            <a:t>: $12,726,467</a:t>
          </a:r>
        </a:p>
        <a:p>
          <a:pPr lvl="1"/>
          <a:r>
            <a:rPr lang="fr-FR" b="1"/>
            <a:t>Previous Period</a:t>
          </a:r>
          <a:r>
            <a:rPr lang="fr-FR"/>
            <a:t>: $13,745,707 (a 7% decrease, or $1,019,240 less revenue).</a:t>
          </a:r>
        </a:p>
        <a:p>
          <a:pPr lvl="1"/>
          <a:r>
            <a:rPr lang="fr-FR" b="1"/>
            <a:t>Analysis</a:t>
          </a:r>
          <a:r>
            <a:rPr lang="fr-FR"/>
            <a:t>: The company experienced a significant decline in sales revenue by 7%. This could be a result of lower demand, market conditions, or sales performance issues. Despite this drop, the overall financial performance still shows positive outcomes, which suggests good cost control or efficiency gains elsewhere.</a:t>
          </a:r>
        </a:p>
        <a:p>
          <a:r>
            <a:rPr lang="fr-FR" b="1"/>
            <a:t>Cost of Goods Sold (COGS)</a:t>
          </a:r>
          <a:r>
            <a:rPr lang="fr-FR"/>
            <a:t>:</a:t>
          </a:r>
        </a:p>
        <a:p>
          <a:pPr lvl="1"/>
          <a:r>
            <a:rPr lang="fr-FR" b="1"/>
            <a:t>Actuals</a:t>
          </a:r>
          <a:r>
            <a:rPr lang="fr-FR"/>
            <a:t>: $9,023,618</a:t>
          </a:r>
        </a:p>
        <a:p>
          <a:pPr lvl="1"/>
          <a:r>
            <a:rPr lang="fr-FR" b="1"/>
            <a:t>Previous Period</a:t>
          </a:r>
          <a:r>
            <a:rPr lang="fr-FR"/>
            <a:t>: $10,562,854 (a decrease of $1,539,235, or 15%).</a:t>
          </a:r>
        </a:p>
        <a:p>
          <a:pPr lvl="1"/>
          <a:r>
            <a:rPr lang="fr-FR" b="1"/>
            <a:t>Analysis</a:t>
          </a:r>
          <a:r>
            <a:rPr lang="fr-FR"/>
            <a:t>: The reduction in COGS (15%) outpaced the revenue drop (7%). This indicates better cost management, improved production efficiency, or a strategic reduction in variable costs. The company is handling its input costs better, which positively impacts the gross margin.</a:t>
          </a:r>
        </a:p>
        <a:p>
          <a:r>
            <a:rPr lang="fr-FR" b="1"/>
            <a:t>Gross Margin</a:t>
          </a:r>
          <a:r>
            <a:rPr lang="fr-FR"/>
            <a:t>:</a:t>
          </a:r>
        </a:p>
        <a:p>
          <a:pPr lvl="1"/>
          <a:r>
            <a:rPr lang="fr-FR" b="1"/>
            <a:t>Actuals</a:t>
          </a:r>
          <a:r>
            <a:rPr lang="fr-FR"/>
            <a:t>: $3,702,849 (Gross Margin %: 29%)</a:t>
          </a:r>
        </a:p>
        <a:p>
          <a:pPr lvl="1"/>
          <a:r>
            <a:rPr lang="fr-FR" b="1"/>
            <a:t>Previous Period</a:t>
          </a:r>
          <a:r>
            <a:rPr lang="fr-FR"/>
            <a:t>: $3,182,853 (Gross Margin %: 23%, increase of $519,995 or 16%).</a:t>
          </a:r>
        </a:p>
        <a:p>
          <a:pPr lvl="1"/>
          <a:r>
            <a:rPr lang="fr-FR" b="1"/>
            <a:t>Analysis</a:t>
          </a:r>
          <a:r>
            <a:rPr lang="fr-FR"/>
            <a:t>: Despite the revenue decline, the gross margin increased by 16%, reflecting significant improvements in cost management. This improvement in gross margin indicates that the company has either negotiated better supplier terms, improved operational efficiency, or optimized its production processes.</a:t>
          </a:r>
        </a:p>
        <a:p>
          <a:r>
            <a:rPr lang="fr-FR" b="1"/>
            <a:t>Operating Expenses</a:t>
          </a:r>
          <a:r>
            <a:rPr lang="fr-FR"/>
            <a:t>:</a:t>
          </a:r>
        </a:p>
        <a:p>
          <a:pPr lvl="1"/>
          <a:r>
            <a:rPr lang="fr-FR" b="1"/>
            <a:t>Personnel</a:t>
          </a:r>
          <a:r>
            <a:rPr lang="fr-FR"/>
            <a:t>: Decreased by 5% (saving $52,538). This may reflect workforce reductions, improved labor efficiency, or salary adjustments.</a:t>
          </a:r>
        </a:p>
        <a:p>
          <a:pPr lvl="1"/>
          <a:r>
            <a:rPr lang="fr-FR" b="1"/>
            <a:t>Facility Costs</a:t>
          </a:r>
          <a:r>
            <a:rPr lang="fr-FR"/>
            <a:t>: Increased by 1% (a minor increase of $5,751). This slight increase is likely due to inflationary pressures or increased maintenance costs.</a:t>
          </a:r>
        </a:p>
        <a:p>
          <a:pPr lvl="1"/>
          <a:r>
            <a:rPr lang="fr-FR" b="1"/>
            <a:t>Administration</a:t>
          </a:r>
          <a:r>
            <a:rPr lang="fr-FR"/>
            <a:t>: Slight decrease of 1% (a savings of $4,954). This shows steady control over administrative expenses, possibly due to automation or outsourcing.</a:t>
          </a:r>
        </a:p>
        <a:p>
          <a:r>
            <a:rPr lang="fr-FR" b="1"/>
            <a:t>EBITDA</a:t>
          </a:r>
          <a:r>
            <a:rPr lang="fr-FR"/>
            <a:t>:</a:t>
          </a:r>
        </a:p>
        <a:p>
          <a:pPr lvl="1"/>
          <a:r>
            <a:rPr lang="fr-FR" b="1"/>
            <a:t>Actuals</a:t>
          </a:r>
          <a:r>
            <a:rPr lang="fr-FR"/>
            <a:t>: $1,190,106</a:t>
          </a:r>
        </a:p>
        <a:p>
          <a:pPr lvl="1"/>
          <a:r>
            <a:rPr lang="fr-FR" b="1"/>
            <a:t>Previous Period</a:t>
          </a:r>
          <a:r>
            <a:rPr lang="fr-FR"/>
            <a:t>: $618,369 (an increase of $571,736 or 92%).</a:t>
          </a:r>
        </a:p>
        <a:p>
          <a:pPr lvl="1"/>
          <a:r>
            <a:rPr lang="fr-FR" b="1"/>
            <a:t>Analysis</a:t>
          </a:r>
          <a:r>
            <a:rPr lang="fr-FR"/>
            <a:t>: The jump in EBITDA is remarkable, up 92% from the previous period. This is largely driven by the improved gross margin and cost control. It shows the company’s core profitability has improved dramatically despite a decrease in revenue. The company is focusing on maintaining operational efficiency and managing its non-variable expenses.</a:t>
          </a:r>
        </a:p>
        <a:p>
          <a:r>
            <a:rPr lang="fr-FR" b="1"/>
            <a:t>Financial Income &amp; Cost</a:t>
          </a:r>
          <a:r>
            <a:rPr lang="fr-FR"/>
            <a:t>:</a:t>
          </a:r>
        </a:p>
        <a:p>
          <a:pPr lvl="1"/>
          <a:r>
            <a:rPr lang="fr-FR" b="1"/>
            <a:t>Financial Income</a:t>
          </a:r>
          <a:r>
            <a:rPr lang="fr-FR"/>
            <a:t>: Slight increase of $7,043 (1%), showing stable or slightly improved returns from investments or interest income.</a:t>
          </a:r>
        </a:p>
        <a:p>
          <a:pPr lvl="1"/>
          <a:r>
            <a:rPr lang="fr-FR" b="1"/>
            <a:t>Financial Cost</a:t>
          </a:r>
          <a:r>
            <a:rPr lang="fr-FR"/>
            <a:t>: Small reduction of $17,008 (1%), reflecting either lower interest expenses or better debt management.</a:t>
          </a:r>
        </a:p>
        <a:p>
          <a:pPr lvl="1"/>
          <a:r>
            <a:rPr lang="fr-FR" b="1"/>
            <a:t>Analysis</a:t>
          </a:r>
          <a:r>
            <a:rPr lang="fr-FR"/>
            <a:t>: Stable financial income and slightly reduced financial costs point to consistent financial management. No significant changes are observed in financing activities, which supports the overall profitability improvement.</a:t>
          </a:r>
        </a:p>
        <a:p>
          <a:r>
            <a:rPr lang="fr-FR" b="1"/>
            <a:t>Net Result</a:t>
          </a:r>
          <a:r>
            <a:rPr lang="fr-FR"/>
            <a:t>:</a:t>
          </a:r>
        </a:p>
        <a:p>
          <a:pPr lvl="1"/>
          <a:r>
            <a:rPr lang="fr-FR" b="1"/>
            <a:t>Actuals</a:t>
          </a:r>
          <a:r>
            <a:rPr lang="fr-FR"/>
            <a:t>: $1,212,951</a:t>
          </a:r>
        </a:p>
        <a:p>
          <a:pPr lvl="1"/>
          <a:r>
            <a:rPr lang="fr-FR" b="1"/>
            <a:t>Previous Period</a:t>
          </a:r>
          <a:r>
            <a:rPr lang="fr-FR"/>
            <a:t>: $617,163 (an increase of $595,787 or 97%).</a:t>
          </a:r>
        </a:p>
        <a:p>
          <a:pPr lvl="1"/>
          <a:r>
            <a:rPr lang="fr-FR" b="1"/>
            <a:t>Analysis</a:t>
          </a:r>
          <a:r>
            <a:rPr lang="fr-FR"/>
            <a:t>: The net result nearly doubled, increasing by 97%. This indicates strong profitability, driven by cost control and operational efficiency improvements. The fact that net income grew so significantly, despite lower revenue, signals excellent financial discipline.</a:t>
          </a:r>
        </a:p>
        <a:p>
          <a:r>
            <a:rPr lang="fr-FR" b="1"/>
            <a:t>Key Insights and Recommendations:</a:t>
          </a:r>
        </a:p>
        <a:p>
          <a:r>
            <a:rPr lang="fr-FR" b="1"/>
            <a:t>- Strong Cost Management</a:t>
          </a:r>
          <a:r>
            <a:rPr lang="fr-FR"/>
            <a:t>: The company has demonstrated excellent cost control, especially in COGS and personnel expenses. This has helped maintain a strong gross margin and improve overall profitability, even in the face of declining revenue. Further efforts to maintain or improve production efficiency and supplier negotiations could yield continued benefits.</a:t>
          </a:r>
        </a:p>
        <a:p>
          <a:r>
            <a:rPr lang="fr-FR" b="1"/>
            <a:t>- Revenue Decline</a:t>
          </a:r>
          <a:r>
            <a:rPr lang="fr-FR"/>
            <a:t>: The drop in sales revenue (7%) is concerning, especially if it becomes a trend. The company should investigate potential causes, such as market conditions, competition, or internal sales issues. Strategies like pricing adjustments, marketing efforts, or product diversification might help to reverse this trend.</a:t>
          </a:r>
        </a:p>
        <a:p>
          <a:r>
            <a:rPr lang="fr-FR" b="1"/>
            <a:t>- Gross Margin and Efficiency</a:t>
          </a:r>
          <a:r>
            <a:rPr lang="fr-FR"/>
            <a:t>: The improvement in gross margin despite falling revenue is a very positive signal. It shows the company's ability to adapt its cost structure efficiently. Continuing to optimize production and supply chain processes can maintain this advantage.</a:t>
          </a:r>
        </a:p>
        <a:p>
          <a:r>
            <a:rPr lang="fr-FR" b="1"/>
            <a:t>- EBITDA Growth</a:t>
          </a:r>
          <a:r>
            <a:rPr lang="fr-FR"/>
            <a:t>: The near doubling of EBITDA shows core operational performance is very strong. The company should leverage this improved cash generation capacity to invest in growth areas or to strengthen its balance sheet by reducing debt.</a:t>
          </a:r>
        </a:p>
        <a:p>
          <a:r>
            <a:rPr lang="fr-FR" b="1"/>
            <a:t>Future Strategy</a:t>
          </a:r>
          <a:r>
            <a:rPr lang="fr-FR"/>
            <a:t>:</a:t>
          </a:r>
        </a:p>
        <a:p>
          <a:pPr lvl="1"/>
          <a:r>
            <a:rPr lang="fr-FR"/>
            <a:t>1. Focus on </a:t>
          </a:r>
          <a:r>
            <a:rPr lang="fr-FR" b="1"/>
            <a:t>revenue growth</a:t>
          </a:r>
          <a:r>
            <a:rPr lang="fr-FR"/>
            <a:t> while continuing to control costs.</a:t>
          </a:r>
        </a:p>
        <a:p>
          <a:pPr lvl="1"/>
          <a:r>
            <a:rPr lang="fr-FR"/>
            <a:t>2. Investigate </a:t>
          </a:r>
          <a:r>
            <a:rPr lang="fr-FR" b="1"/>
            <a:t>sales decline</a:t>
          </a:r>
          <a:r>
            <a:rPr lang="fr-FR"/>
            <a:t> reasons to determine if it’s due to temporary market conditions or internal issues.</a:t>
          </a:r>
        </a:p>
        <a:p>
          <a:pPr lvl="1"/>
          <a:r>
            <a:rPr lang="fr-FR"/>
            <a:t>3. Consider </a:t>
          </a:r>
          <a:r>
            <a:rPr lang="fr-FR" b="1"/>
            <a:t>reinvestment in growth</a:t>
          </a:r>
          <a:r>
            <a:rPr lang="fr-FR"/>
            <a:t> areas, given the strong EBITDA performance, such as expanding sales teams, increasing marketing efforts, or exploring new markets.</a:t>
          </a:r>
        </a:p>
        <a:p>
          <a:endParaRPr lang="fr-FR" sz="11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289561</xdr:colOff>
      <xdr:row>1</xdr:row>
      <xdr:rowOff>10161</xdr:rowOff>
    </xdr:from>
    <xdr:to>
      <xdr:col>1</xdr:col>
      <xdr:colOff>1828160</xdr:colOff>
      <xdr:row>3</xdr:row>
      <xdr:rowOff>177800</xdr:rowOff>
    </xdr:to>
    <xdr:pic>
      <xdr:nvPicPr>
        <xdr:cNvPr id="2" name="Picture 1">
          <a:extLst>
            <a:ext uri="{FF2B5EF4-FFF2-40B4-BE49-F238E27FC236}">
              <a16:creationId xmlns:a16="http://schemas.microsoft.com/office/drawing/2014/main" id="{0515A59E-BAD5-4475-A070-F59D99691024}"/>
            </a:ext>
          </a:extLst>
        </xdr:cNvPr>
        <xdr:cNvPicPr>
          <a:picLocks noChangeAspect="1"/>
        </xdr:cNvPicPr>
      </xdr:nvPicPr>
      <xdr:blipFill>
        <a:blip xmlns:r="http://schemas.openxmlformats.org/officeDocument/2006/relationships" r:embed="rId1"/>
        <a:stretch>
          <a:fillRect/>
        </a:stretch>
      </xdr:blipFill>
      <xdr:spPr>
        <a:xfrm>
          <a:off x="431801" y="195581"/>
          <a:ext cx="1541139" cy="528319"/>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absoluteAnchor>
    <xdr:pos x="0" y="0"/>
    <xdr:ext cx="11164455" cy="7296727"/>
    <xdr:graphicFrame macro="">
      <xdr:nvGraphicFramePr>
        <xdr:cNvPr id="2" name="Chart 1">
          <a:extLst>
            <a:ext uri="{FF2B5EF4-FFF2-40B4-BE49-F238E27FC236}">
              <a16:creationId xmlns:a16="http://schemas.microsoft.com/office/drawing/2014/main" id="{D9083F9A-8AC6-D8FD-213E-08B2680193B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esktop/Personnel/Mock%20data.xlsx" TargetMode="External"/><Relationship Id="rId1" Type="http://schemas.openxmlformats.org/officeDocument/2006/relationships/externalLinkPath" Target="file:///C:/Users/user/Desktop/Personnel/Mock%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ustry"/>
      <sheetName val="Base for Journal entries gen"/>
      <sheetName val="Cost structure"/>
      <sheetName val="Sales budget"/>
      <sheetName val="Workpaper costs"/>
      <sheetName val="Sheet7"/>
      <sheetName val="Base JE Supplier inv"/>
      <sheetName val="Purchases"/>
      <sheetName val="Volumes"/>
      <sheetName val="Costs"/>
      <sheetName val="Sheet3"/>
      <sheetName val="TEMP0"/>
      <sheetName val="Raw material consumption"/>
      <sheetName val="Inventory"/>
      <sheetName val="Suppliers"/>
      <sheetName val="Sheet2"/>
      <sheetName val="Workpaper"/>
      <sheetName val="Revenue"/>
    </sheetNames>
    <sheetDataSet>
      <sheetData sheetId="0"/>
      <sheetData sheetId="1"/>
      <sheetData sheetId="2"/>
      <sheetData sheetId="3"/>
      <sheetData sheetId="4"/>
      <sheetData sheetId="5"/>
      <sheetData sheetId="6">
        <row r="17">
          <cell r="B17">
            <v>13500</v>
          </cell>
        </row>
        <row r="18">
          <cell r="B18">
            <v>32350</v>
          </cell>
        </row>
        <row r="19">
          <cell r="B19">
            <v>47427</v>
          </cell>
        </row>
        <row r="20">
          <cell r="B20">
            <v>18603</v>
          </cell>
        </row>
        <row r="21">
          <cell r="B21">
            <v>18337</v>
          </cell>
        </row>
        <row r="22">
          <cell r="B22">
            <v>29181</v>
          </cell>
        </row>
      </sheetData>
      <sheetData sheetId="7"/>
      <sheetData sheetId="8">
        <row r="1">
          <cell r="D1" t="str">
            <v>Components</v>
          </cell>
          <cell r="E1" t="str">
            <v>Supplier</v>
          </cell>
        </row>
        <row r="2">
          <cell r="D2" t="str">
            <v>Component 1</v>
          </cell>
          <cell r="E2" t="str">
            <v>Supplier A</v>
          </cell>
        </row>
        <row r="3">
          <cell r="D3" t="str">
            <v>Component 2</v>
          </cell>
          <cell r="E3" t="str">
            <v>Supplier A</v>
          </cell>
        </row>
        <row r="4">
          <cell r="D4" t="str">
            <v>Component 3</v>
          </cell>
          <cell r="E4" t="str">
            <v>Supplier A</v>
          </cell>
        </row>
        <row r="5">
          <cell r="D5" t="str">
            <v>Component 4</v>
          </cell>
          <cell r="E5" t="str">
            <v>Supplier B</v>
          </cell>
        </row>
        <row r="6">
          <cell r="D6" t="str">
            <v>Manufacture labour 1h base</v>
          </cell>
          <cell r="E6" t="str">
            <v>Wages internal</v>
          </cell>
        </row>
        <row r="7">
          <cell r="D7" t="str">
            <v>Packaging labour 1h base</v>
          </cell>
          <cell r="E7" t="str">
            <v>Wages internal</v>
          </cell>
        </row>
        <row r="8">
          <cell r="D8" t="str">
            <v>Freight Cost</v>
          </cell>
          <cell r="E8" t="str">
            <v>Supplier C</v>
          </cell>
        </row>
        <row r="9">
          <cell r="D9" t="str">
            <v>Selling cost</v>
          </cell>
          <cell r="E9" t="str">
            <v>Supplier C</v>
          </cell>
        </row>
        <row r="10">
          <cell r="D10" t="str">
            <v>Component 5</v>
          </cell>
          <cell r="E10" t="str">
            <v>Supplier D</v>
          </cell>
        </row>
        <row r="11">
          <cell r="D11" t="str">
            <v>Component 2</v>
          </cell>
          <cell r="E11" t="str">
            <v>Supplier A</v>
          </cell>
        </row>
        <row r="12">
          <cell r="D12" t="str">
            <v>Component 3</v>
          </cell>
          <cell r="E12" t="str">
            <v>Supplier A</v>
          </cell>
        </row>
        <row r="13">
          <cell r="D13" t="str">
            <v>Component 6</v>
          </cell>
          <cell r="E13" t="str">
            <v>Supplier D</v>
          </cell>
        </row>
        <row r="14">
          <cell r="D14" t="str">
            <v>Manufacture labour 1h base</v>
          </cell>
          <cell r="E14" t="str">
            <v>Wages internal</v>
          </cell>
        </row>
        <row r="15">
          <cell r="D15" t="str">
            <v>Packaging labour 1h base</v>
          </cell>
          <cell r="E15" t="str">
            <v>Wages internal</v>
          </cell>
        </row>
        <row r="16">
          <cell r="D16" t="str">
            <v>Freight Cost</v>
          </cell>
          <cell r="E16" t="str">
            <v>Supplier C</v>
          </cell>
        </row>
        <row r="17">
          <cell r="D17" t="str">
            <v>Selling cost</v>
          </cell>
          <cell r="E17" t="str">
            <v>Supplier C</v>
          </cell>
        </row>
        <row r="18">
          <cell r="D18" t="str">
            <v>Component 5</v>
          </cell>
          <cell r="E18" t="str">
            <v>Supplier D</v>
          </cell>
        </row>
        <row r="19">
          <cell r="D19" t="str">
            <v>Component 2</v>
          </cell>
          <cell r="E19" t="str">
            <v>Supplier A</v>
          </cell>
        </row>
        <row r="20">
          <cell r="D20" t="str">
            <v>Component 3</v>
          </cell>
          <cell r="E20" t="str">
            <v>Supplier A</v>
          </cell>
        </row>
        <row r="21">
          <cell r="D21" t="str">
            <v>Component 6</v>
          </cell>
          <cell r="E21" t="str">
            <v>Supplier D</v>
          </cell>
        </row>
        <row r="22">
          <cell r="D22" t="str">
            <v>Manufacture labour 1h base</v>
          </cell>
          <cell r="E22" t="str">
            <v>Wages internal</v>
          </cell>
        </row>
        <row r="23">
          <cell r="D23" t="str">
            <v>Packaging labour 1h base</v>
          </cell>
          <cell r="E23" t="str">
            <v>Wages internal</v>
          </cell>
        </row>
        <row r="24">
          <cell r="D24" t="str">
            <v>Freight Cost</v>
          </cell>
          <cell r="E24" t="str">
            <v>Supplier C</v>
          </cell>
        </row>
        <row r="25">
          <cell r="D25" t="str">
            <v>Selling cost</v>
          </cell>
          <cell r="E25" t="str">
            <v>Supplier C</v>
          </cell>
        </row>
      </sheetData>
      <sheetData sheetId="9"/>
      <sheetData sheetId="10"/>
      <sheetData sheetId="11"/>
      <sheetData sheetId="12"/>
      <sheetData sheetId="13"/>
      <sheetData sheetId="14"/>
      <sheetData sheetId="15"/>
      <sheetData sheetId="16"/>
      <sheetData sheetId="1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46.453597800923" createdVersion="8" refreshedVersion="8" minRefreshableVersion="3" recordCount="6" xr:uid="{B05987DF-BC5D-42EE-AC1D-128F8726134D}">
  <cacheSource type="worksheet">
    <worksheetSource ref="A10:N16" sheet="Purchases"/>
  </cacheSource>
  <cacheFields count="14">
    <cacheField name="Component" numFmtId="164">
      <sharedItems count="6">
        <s v="Component 1"/>
        <s v="Component 2"/>
        <s v="Component 3"/>
        <s v="Component 4"/>
        <s v="Component 5"/>
        <s v="Component 6"/>
      </sharedItems>
    </cacheField>
    <cacheField name="Purchases costs" numFmtId="164">
      <sharedItems/>
    </cacheField>
    <cacheField name="02/01/2022" numFmtId="164">
      <sharedItems containsSemiMixedTypes="0" containsString="0" containsNumber="1" containsInteger="1" minValue="720000" maxValue="2310000" count="6">
        <n v="760000"/>
        <n v="810000"/>
        <n v="1900000"/>
        <n v="2310000"/>
        <n v="720000"/>
        <n v="1983695"/>
      </sharedItems>
    </cacheField>
    <cacheField name="04/02/2022" numFmtId="164">
      <sharedItems containsSemiMixedTypes="0" containsString="0" containsNumber="1" containsInteger="1" minValue="800000" maxValue="2192505"/>
    </cacheField>
    <cacheField name="04/03/2022" numFmtId="164">
      <sharedItems containsSemiMixedTypes="0" containsString="0" containsNumber="1" containsInteger="1" minValue="760000" maxValue="3300000"/>
    </cacheField>
    <cacheField name="07/04/2022" numFmtId="164">
      <sharedItems containsSemiMixedTypes="0" containsString="0" containsNumber="1" containsInteger="1" minValue="800000" maxValue="2420000"/>
    </cacheField>
    <cacheField name="01/05/2022" numFmtId="164">
      <sharedItems containsSemiMixedTypes="0" containsString="0" containsNumber="1" containsInteger="1" minValue="720000" maxValue="2470000"/>
    </cacheField>
    <cacheField name="05/06/2022" numFmtId="164">
      <sharedItems containsSemiMixedTypes="0" containsString="0" containsNumber="1" containsInteger="1" minValue="800000" maxValue="2420000"/>
    </cacheField>
    <cacheField name="04/07/2022" numFmtId="164">
      <sharedItems containsSemiMixedTypes="0" containsString="0" containsNumber="1" containsInteger="1" minValue="760000" maxValue="2380000"/>
    </cacheField>
    <cacheField name="01/08/2022" numFmtId="164">
      <sharedItems containsSemiMixedTypes="0" containsString="0" containsNumber="1" containsInteger="1" minValue="800000" maxValue="2192505"/>
    </cacheField>
    <cacheField name="06/09/2022" numFmtId="164">
      <sharedItems containsSemiMixedTypes="0" containsString="0" containsNumber="1" containsInteger="1" minValue="720000" maxValue="2200000"/>
    </cacheField>
    <cacheField name="03/10/2022" numFmtId="164">
      <sharedItems containsSemiMixedTypes="0" containsString="0" containsNumber="1" containsInteger="1" minValue="720000" maxValue="2310000"/>
    </cacheField>
    <cacheField name="01/11/2022" numFmtId="164">
      <sharedItems containsSemiMixedTypes="0" containsString="0" containsNumber="1" containsInteger="1" minValue="765000" maxValue="2090000"/>
    </cacheField>
    <cacheField name="05/12/2022" numFmtId="164">
      <sharedItems containsSemiMixedTypes="0" containsString="0" containsNumber="1" containsInteger="1" minValue="720000" maxValue="231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47.612982986109" createdVersion="8" refreshedVersion="8" minRefreshableVersion="3" recordCount="264" xr:uid="{BA40520B-A079-4F9B-AAB1-57F58FED8AA3}">
  <cacheSource type="worksheet">
    <worksheetSource ref="C62:G326" sheet="ERP_Inventory"/>
  </cacheSource>
  <cacheFields count="7">
    <cacheField name="A" numFmtId="14">
      <sharedItems containsSemiMixedTypes="0" containsNonDate="0" containsDate="1" containsString="0" minDate="2022-01-09T00:00:00" maxDate="2022-12-14T00:00:00" count="24">
        <d v="2022-01-09T00:00:00"/>
        <d v="2022-02-11T00:00:00"/>
        <d v="2022-03-11T00:00:00"/>
        <d v="2022-04-14T00:00:00"/>
        <d v="2022-05-08T00:00:00"/>
        <d v="2022-06-12T00:00:00"/>
        <d v="2022-07-11T00:00:00"/>
        <d v="2022-08-08T00:00:00"/>
        <d v="2022-09-13T00:00:00"/>
        <d v="2022-10-10T00:00:00"/>
        <d v="2022-11-08T00:00:00"/>
        <d v="2022-12-12T00:00:00"/>
        <d v="2022-01-10T00:00:00"/>
        <d v="2022-02-12T00:00:00"/>
        <d v="2022-03-12T00:00:00"/>
        <d v="2022-04-15T00:00:00"/>
        <d v="2022-05-09T00:00:00"/>
        <d v="2022-06-13T00:00:00"/>
        <d v="2022-07-12T00:00:00"/>
        <d v="2022-08-09T00:00:00"/>
        <d v="2022-09-14T00:00:00"/>
        <d v="2022-10-11T00:00:00"/>
        <d v="2022-11-09T00:00:00"/>
        <d v="2022-12-13T00:00:00"/>
      </sharedItems>
      <fieldGroup par="6"/>
    </cacheField>
    <cacheField name="B" numFmtId="0">
      <sharedItems count="6">
        <s v="Cost of Goods Sold"/>
        <s v="Raw material inventory"/>
        <s v="Wages payable"/>
        <s v="Inventory Finished goods Product A"/>
        <s v="Inventory Finished goods Product B"/>
        <s v="Inventory Finished goods Product C"/>
      </sharedItems>
    </cacheField>
    <cacheField name="C" numFmtId="0">
      <sharedItems containsString="0" containsBlank="1" containsNumber="1" minValue="404875.6" maxValue="4770969.0840000007"/>
    </cacheField>
    <cacheField name="D" numFmtId="0">
      <sharedItems containsString="0" containsBlank="1" containsNumber="1" minValue="208351.96799999999" maxValue="2980589"/>
    </cacheField>
    <cacheField name="E" numFmtId="0">
      <sharedItems containsBlank="1"/>
    </cacheField>
    <cacheField name="Days (A)" numFmtId="0" databaseField="0">
      <fieldGroup base="0">
        <rangePr groupBy="days" startDate="2022-01-09T00:00:00" endDate="2022-12-14T00:00:00"/>
        <groupItems count="368">
          <s v="&lt;09/01/2022"/>
          <s v="01-janv"/>
          <s v="02-janv"/>
          <s v="03-janv"/>
          <s v="04-janv"/>
          <s v="05-janv"/>
          <s v="06-janv"/>
          <s v="07-janv"/>
          <s v="08-janv"/>
          <s v="09-janv"/>
          <s v="10-janv"/>
          <s v="11-janv"/>
          <s v="12-janv"/>
          <s v="13-janv"/>
          <s v="14-janv"/>
          <s v="15-janv"/>
          <s v="16-janv"/>
          <s v="17-janv"/>
          <s v="18-janv"/>
          <s v="19-janv"/>
          <s v="20-janv"/>
          <s v="21-janv"/>
          <s v="22-janv"/>
          <s v="23-janv"/>
          <s v="24-janv"/>
          <s v="25-janv"/>
          <s v="26-janv"/>
          <s v="27-janv"/>
          <s v="28-janv"/>
          <s v="29-janv"/>
          <s v="30-janv"/>
          <s v="31-janv"/>
          <s v="01-févr"/>
          <s v="02-févr"/>
          <s v="03-févr"/>
          <s v="04-févr"/>
          <s v="05-févr"/>
          <s v="06-févr"/>
          <s v="07-févr"/>
          <s v="08-févr"/>
          <s v="09-févr"/>
          <s v="10-févr"/>
          <s v="11-févr"/>
          <s v="12-févr"/>
          <s v="13-févr"/>
          <s v="14-févr"/>
          <s v="15-févr"/>
          <s v="16-févr"/>
          <s v="17-févr"/>
          <s v="18-févr"/>
          <s v="19-févr"/>
          <s v="20-févr"/>
          <s v="21-févr"/>
          <s v="22-févr"/>
          <s v="23-févr"/>
          <s v="24-févr"/>
          <s v="25-févr"/>
          <s v="26-févr"/>
          <s v="27-févr"/>
          <s v="28-févr"/>
          <s v="29-févr"/>
          <s v="01-mars"/>
          <s v="02-mars"/>
          <s v="03-mars"/>
          <s v="04-mars"/>
          <s v="05-mars"/>
          <s v="06-mars"/>
          <s v="07-mars"/>
          <s v="08-mars"/>
          <s v="09-mars"/>
          <s v="10-mars"/>
          <s v="11-mars"/>
          <s v="12-mars"/>
          <s v="13-mars"/>
          <s v="14-mars"/>
          <s v="15-mars"/>
          <s v="16-mars"/>
          <s v="17-mars"/>
          <s v="18-mars"/>
          <s v="19-mars"/>
          <s v="20-mars"/>
          <s v="21-mars"/>
          <s v="22-mars"/>
          <s v="23-mars"/>
          <s v="24-mars"/>
          <s v="25-mars"/>
          <s v="26-mars"/>
          <s v="27-mars"/>
          <s v="28-mars"/>
          <s v="29-mars"/>
          <s v="30-mars"/>
          <s v="31-mars"/>
          <s v="01-avr"/>
          <s v="02-avr"/>
          <s v="03-avr"/>
          <s v="04-avr"/>
          <s v="05-avr"/>
          <s v="06-avr"/>
          <s v="07-avr"/>
          <s v="08-avr"/>
          <s v="09-avr"/>
          <s v="10-avr"/>
          <s v="11-avr"/>
          <s v="12-avr"/>
          <s v="13-avr"/>
          <s v="14-avr"/>
          <s v="15-avr"/>
          <s v="16-avr"/>
          <s v="17-avr"/>
          <s v="18-avr"/>
          <s v="19-avr"/>
          <s v="20-avr"/>
          <s v="21-avr"/>
          <s v="22-avr"/>
          <s v="23-avr"/>
          <s v="24-avr"/>
          <s v="25-avr"/>
          <s v="26-avr"/>
          <s v="27-avr"/>
          <s v="28-avr"/>
          <s v="29-avr"/>
          <s v="30-av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in"/>
          <s v="02-juin"/>
          <s v="03-juin"/>
          <s v="04-juin"/>
          <s v="05-juin"/>
          <s v="06-juin"/>
          <s v="07-juin"/>
          <s v="08-juin"/>
          <s v="09-juin"/>
          <s v="10-juin"/>
          <s v="11-juin"/>
          <s v="12-juin"/>
          <s v="13-juin"/>
          <s v="14-juin"/>
          <s v="15-juin"/>
          <s v="16-juin"/>
          <s v="17-juin"/>
          <s v="18-juin"/>
          <s v="19-juin"/>
          <s v="20-juin"/>
          <s v="21-juin"/>
          <s v="22-juin"/>
          <s v="23-juin"/>
          <s v="24-juin"/>
          <s v="25-juin"/>
          <s v="26-juin"/>
          <s v="27-juin"/>
          <s v="28-juin"/>
          <s v="29-juin"/>
          <s v="30-juin"/>
          <s v="01-juil"/>
          <s v="02-juil"/>
          <s v="03-juil"/>
          <s v="04-juil"/>
          <s v="05-juil"/>
          <s v="06-juil"/>
          <s v="07-juil"/>
          <s v="08-juil"/>
          <s v="09-juil"/>
          <s v="10-juil"/>
          <s v="11-juil"/>
          <s v="12-juil"/>
          <s v="13-juil"/>
          <s v="14-juil"/>
          <s v="15-juil"/>
          <s v="16-juil"/>
          <s v="17-juil"/>
          <s v="18-juil"/>
          <s v="19-juil"/>
          <s v="20-juil"/>
          <s v="21-juil"/>
          <s v="22-juil"/>
          <s v="23-juil"/>
          <s v="24-juil"/>
          <s v="25-juil"/>
          <s v="26-juil"/>
          <s v="27-juil"/>
          <s v="28-juil"/>
          <s v="29-juil"/>
          <s v="30-juil"/>
          <s v="31-juil"/>
          <s v="01-août"/>
          <s v="02-août"/>
          <s v="03-août"/>
          <s v="04-août"/>
          <s v="05-août"/>
          <s v="06-août"/>
          <s v="07-août"/>
          <s v="08-août"/>
          <s v="09-août"/>
          <s v="10-août"/>
          <s v="11-août"/>
          <s v="12-août"/>
          <s v="13-août"/>
          <s v="14-août"/>
          <s v="15-août"/>
          <s v="16-août"/>
          <s v="17-août"/>
          <s v="18-août"/>
          <s v="19-août"/>
          <s v="20-août"/>
          <s v="21-août"/>
          <s v="22-août"/>
          <s v="23-août"/>
          <s v="24-août"/>
          <s v="25-août"/>
          <s v="26-août"/>
          <s v="27-août"/>
          <s v="28-août"/>
          <s v="29-août"/>
          <s v="30-août"/>
          <s v="31-août"/>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éc"/>
          <s v="02-déc"/>
          <s v="03-déc"/>
          <s v="04-déc"/>
          <s v="05-déc"/>
          <s v="06-déc"/>
          <s v="07-déc"/>
          <s v="08-déc"/>
          <s v="09-déc"/>
          <s v="10-déc"/>
          <s v="11-déc"/>
          <s v="12-déc"/>
          <s v="13-déc"/>
          <s v="14-déc"/>
          <s v="15-déc"/>
          <s v="16-déc"/>
          <s v="17-déc"/>
          <s v="18-déc"/>
          <s v="19-déc"/>
          <s v="20-déc"/>
          <s v="21-déc"/>
          <s v="22-déc"/>
          <s v="23-déc"/>
          <s v="24-déc"/>
          <s v="25-déc"/>
          <s v="26-déc"/>
          <s v="27-déc"/>
          <s v="28-déc"/>
          <s v="29-déc"/>
          <s v="30-déc"/>
          <s v="31-déc"/>
          <s v="&gt;14/12/2022"/>
        </groupItems>
      </fieldGroup>
    </cacheField>
    <cacheField name="Months (A)" numFmtId="0" databaseField="0">
      <fieldGroup base="0">
        <rangePr groupBy="months" startDate="2022-01-09T00:00:00" endDate="2022-12-14T00:00:00"/>
        <groupItems count="14">
          <s v="&lt;09/01/2022"/>
          <s v="janv"/>
          <s v="févr"/>
          <s v="mars"/>
          <s v="avr"/>
          <s v="mai"/>
          <s v="juin"/>
          <s v="juil"/>
          <s v="août"/>
          <s v="sept"/>
          <s v="oct"/>
          <s v="nov"/>
          <s v="déc"/>
          <s v="&gt;14/12/202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49.777658680556" createdVersion="8" refreshedVersion="8" minRefreshableVersion="3" recordCount="10" xr:uid="{7417232F-D40B-450E-ADF2-D18292EBCB5B}">
  <cacheSource type="worksheet">
    <worksheetSource ref="B48:N58" sheet="Revenue"/>
  </cacheSource>
  <cacheFields count="13">
    <cacheField name="Product name" numFmtId="2">
      <sharedItems count="3">
        <s v="Product C"/>
        <s v="Product A"/>
        <s v="Product B"/>
      </sharedItems>
    </cacheField>
    <cacheField name="January" numFmtId="164">
      <sharedItems containsSemiMixedTypes="0" containsString="0" containsNumber="1" minValue="414301.39200000005" maxValue="3802085.6760000004"/>
    </cacheField>
    <cacheField name="February" numFmtId="0">
      <sharedItems containsSemiMixedTypes="0" containsString="0" containsNumber="1" minValue="258045.85600000003" maxValue="2158609.2720000003"/>
    </cacheField>
    <cacheField name="March" numFmtId="0">
      <sharedItems containsSemiMixedTypes="0" containsString="0" containsNumber="1" minValue="289029.55066666601" maxValue="3080214.0240000002"/>
    </cacheField>
    <cacheField name="April" numFmtId="0">
      <sharedItems containsSemiMixedTypes="0" containsString="0" containsNumber="1" minValue="345962.48466666648" maxValue="2652752.3760000002"/>
    </cacheField>
    <cacheField name="May" numFmtId="0">
      <sharedItems containsSemiMixedTypes="0" containsString="0" containsNumber="1" minValue="184109.49600000001" maxValue="3472739.7840000005"/>
    </cacheField>
    <cacheField name="June" numFmtId="0">
      <sharedItems containsSemiMixedTypes="0" containsString="0" containsNumber="1" minValue="339151.61600000004" maxValue="2175367.3680000002"/>
    </cacheField>
    <cacheField name="July" numFmtId="0">
      <sharedItems containsSemiMixedTypes="0" containsString="0" containsNumber="1" minValue="395248.6746666659" maxValue="2609434.5480000004"/>
    </cacheField>
    <cacheField name="August" numFmtId="0">
      <sharedItems containsSemiMixedTypes="0" containsString="0" containsNumber="1" minValue="303428.73400000005" maxValue="1627946.5740000003"/>
    </cacheField>
    <cacheField name="September" numFmtId="0">
      <sharedItems containsSemiMixedTypes="0" containsString="0" containsNumber="1" minValue="247688.78599999967" maxValue="1943756.4420000003"/>
    </cacheField>
    <cacheField name="October" numFmtId="0">
      <sharedItems containsSemiMixedTypes="0" containsString="0" containsNumber="1" minValue="120585.02400000002" maxValue="2066553.7620000003"/>
    </cacheField>
    <cacheField name="November" numFmtId="0">
      <sharedItems containsSemiMixedTypes="0" containsString="0" containsNumber="1" minValue="292233.50800000003" maxValue="2410365.6540000006"/>
    </cacheField>
    <cacheField name="December" numFmtId="0">
      <sharedItems containsSemiMixedTypes="0" containsString="0" containsNumber="1" minValue="247718.89200000002" maxValue="1990773.156000000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72.588684722221" createdVersion="8" refreshedVersion="8" minRefreshableVersion="3" recordCount="10" xr:uid="{D8B9AB52-3F86-495F-91F4-3423FF518707}">
  <cacheSource type="worksheet">
    <worksheetSource ref="A15:N25" sheet="Revenue"/>
  </cacheSource>
  <cacheFields count="14">
    <cacheField name="Turnover" numFmtId="2">
      <sharedItems count="10">
        <s v="Client 1"/>
        <s v="Client 2"/>
        <s v="Client 3"/>
        <s v="Client 4"/>
        <s v="Client 5"/>
        <s v="Client 6"/>
        <s v="Client 7"/>
        <s v="Client 8"/>
        <s v="Client 9"/>
        <s v="Client 10"/>
      </sharedItems>
    </cacheField>
    <cacheField name="Product name" numFmtId="2">
      <sharedItems count="3">
        <s v="Product C"/>
        <s v="Product A"/>
        <s v="Product B"/>
      </sharedItems>
    </cacheField>
    <cacheField name="January" numFmtId="167">
      <sharedItems containsSemiMixedTypes="0" containsString="0" containsNumber="1" containsInteger="1" minValue="550988" maxValue="4248900" count="10">
        <n v="4248900"/>
        <n v="872984"/>
        <n v="601126"/>
        <n v="644640"/>
        <n v="1115827"/>
        <n v="550988"/>
        <n v="1756304"/>
        <n v="1005360"/>
        <n v="1839104"/>
        <n v="1110474"/>
      </sharedItems>
    </cacheField>
    <cacheField name="February" numFmtId="167">
      <sharedItems containsSemiMixedTypes="0" containsString="0" containsNumber="1" containsInteger="1" minValue="273400" maxValue="2424273"/>
    </cacheField>
    <cacheField name="March" numFmtId="167">
      <sharedItems containsSemiMixedTypes="0" containsString="0" containsNumber="1" containsInteger="1" minValue="372166" maxValue="3772578"/>
    </cacheField>
    <cacheField name="April" numFmtId="167">
      <sharedItems containsSemiMixedTypes="0" containsString="0" containsNumber="1" containsInteger="1" minValue="440505" maxValue="2832624"/>
    </cacheField>
    <cacheField name="May" numFmtId="167">
      <sharedItems containsSemiMixedTypes="0" containsString="0" containsNumber="1" containsInteger="1" minValue="173788" maxValue="3776886"/>
    </cacheField>
    <cacheField name="June" numFmtId="167">
      <sharedItems containsSemiMixedTypes="0" containsString="0" containsNumber="1" containsInteger="1" minValue="515645" maxValue="3504204"/>
    </cacheField>
    <cacheField name="July" numFmtId="167">
      <sharedItems containsSemiMixedTypes="0" containsString="0" containsNumber="1" containsInteger="1" minValue="522000" maxValue="3161070"/>
    </cacheField>
    <cacheField name="August" numFmtId="167">
      <sharedItems containsSemiMixedTypes="0" containsString="0" containsNumber="1" containsInteger="1" minValue="444024" maxValue="1654350"/>
    </cacheField>
    <cacheField name="September" numFmtId="167">
      <sharedItems containsSemiMixedTypes="0" containsString="0" containsNumber="1" containsInteger="1" minValue="383184" maxValue="2098719"/>
    </cacheField>
    <cacheField name="October" numFmtId="167">
      <sharedItems containsSemiMixedTypes="0" containsString="0" containsNumber="1" containsInteger="1" minValue="173664" maxValue="2665260"/>
    </cacheField>
    <cacheField name="November" numFmtId="167">
      <sharedItems containsSemiMixedTypes="0" containsString="0" containsNumber="1" containsInteger="1" minValue="415476" maxValue="3494754"/>
    </cacheField>
    <cacheField name="December" numFmtId="167">
      <sharedItems containsSemiMixedTypes="0" containsString="0" containsNumber="1" containsInteger="1" minValue="369024" maxValue="208521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79.930861805558" createdVersion="8" refreshedVersion="8" minRefreshableVersion="3" recordCount="1942" xr:uid="{91200714-D874-4968-93B8-E96FB78B33F7}">
  <cacheSource type="worksheet">
    <worksheetSource ref="A1:M1048576" sheet="Jounal entries final"/>
  </cacheSource>
  <cacheFields count="16">
    <cacheField name="Date" numFmtId="14">
      <sharedItems containsNonDate="0" containsDate="1" containsString="0" containsBlank="1" minDate="2022-01-01T00:00:00" maxDate="2023-04-10T00:00:00" count="257">
        <d v="2022-02-01T00:00:00"/>
        <d v="2022-01-01T00:00:00"/>
        <d v="2022-04-19T00:00:00"/>
        <d v="2022-01-02T00:00:00"/>
        <d v="2022-01-09T00:00:00"/>
        <d v="2022-01-10T00:00:00"/>
        <d v="2022-01-11T00:00:00"/>
        <d v="2022-01-12T00:00:00"/>
        <d v="2022-01-17T00:00:00"/>
        <d v="2022-01-18T00:00:00"/>
        <d v="2022-01-19T00:00:00"/>
        <d v="2022-01-20T00:00:00"/>
        <d v="2022-01-21T00:00:00"/>
        <d v="2022-01-23T00:00:00"/>
        <d v="2022-01-27T00:00:00"/>
        <d v="2022-01-31T00:00:00"/>
        <d v="2022-02-04T00:00:00"/>
        <d v="2022-02-11T00:00:00"/>
        <d v="2022-02-12T00:00:00"/>
        <d v="2022-02-14T00:00:00"/>
        <d v="2022-02-15T00:00:00"/>
        <d v="2022-02-17T00:00:00"/>
        <d v="2022-02-18T00:00:00"/>
        <d v="2022-02-19T00:00:00"/>
        <d v="2022-02-21T00:00:00"/>
        <d v="2022-02-25T00:00:00"/>
        <d v="2022-02-26T00:00:00"/>
        <d v="2022-02-28T00:00:00"/>
        <d v="2022-03-01T00:00:00"/>
        <d v="2022-03-04T00:00:00"/>
        <d v="2022-03-11T00:00:00"/>
        <d v="2022-03-12T00:00:00"/>
        <d v="2022-03-14T00:00:00"/>
        <d v="2022-03-15T00:00:00"/>
        <d v="2022-03-16T00:00:00"/>
        <d v="2022-03-17T00:00:00"/>
        <d v="2022-03-18T00:00:00"/>
        <d v="2022-03-19T00:00:00"/>
        <d v="2022-03-21T00:00:00"/>
        <d v="2022-03-24T00:00:00"/>
        <d v="2022-03-26T00:00:00"/>
        <d v="2022-03-27T00:00:00"/>
        <d v="2022-03-28T00:00:00"/>
        <d v="2022-03-30T00:00:00"/>
        <d v="2022-03-31T00:00:00"/>
        <d v="2022-04-01T00:00:00"/>
        <d v="2022-04-02T00:00:00"/>
        <d v="2022-04-06T00:00:00"/>
        <d v="2022-04-07T00:00:00"/>
        <d v="2022-04-08T00:00:00"/>
        <d v="2022-04-11T00:00:00"/>
        <d v="2022-04-12T00:00:00"/>
        <d v="2022-04-13T00:00:00"/>
        <d v="2022-04-14T00:00:00"/>
        <d v="2022-04-15T00:00:00"/>
        <d v="2022-04-16T00:00:00"/>
        <d v="2022-04-17T00:00:00"/>
        <d v="2022-04-18T00:00:00"/>
        <d v="2022-04-22T00:00:00"/>
        <d v="2022-04-23T00:00:00"/>
        <d v="2022-04-24T00:00:00"/>
        <d v="2022-04-25T00:00:00"/>
        <d v="2022-04-28T00:00:00"/>
        <d v="2022-04-29T00:00:00"/>
        <d v="2022-04-30T00:00:00"/>
        <d v="2022-05-01T00:00:00"/>
        <d v="2022-05-04T00:00:00"/>
        <d v="2022-05-05T00:00:00"/>
        <d v="2022-05-08T00:00:00"/>
        <d v="2022-05-09T00:00:00"/>
        <d v="2022-05-10T00:00:00"/>
        <d v="2022-05-11T00:00:00"/>
        <d v="2022-05-12T00:00:00"/>
        <d v="2022-05-13T00:00:00"/>
        <d v="2022-05-15T00:00:00"/>
        <d v="2022-05-16T00:00:00"/>
        <d v="2022-05-17T00:00:00"/>
        <d v="2022-05-18T00:00:00"/>
        <d v="2022-05-19T00:00:00"/>
        <d v="2022-05-23T00:00:00"/>
        <d v="2022-05-25T00:00:00"/>
        <d v="2022-05-27T00:00:00"/>
        <d v="2022-05-28T00:00:00"/>
        <d v="2022-05-31T00:00:00"/>
        <d v="2022-06-01T00:00:00"/>
        <d v="2022-06-02T00:00:00"/>
        <d v="2022-06-03T00:00:00"/>
        <d v="2022-06-04T00:00:00"/>
        <d v="2022-06-05T00:00:00"/>
        <d v="2022-06-06T00:00:00"/>
        <d v="2022-06-10T00:00:00"/>
        <d v="2022-06-12T00:00:00"/>
        <d v="2022-06-13T00:00:00"/>
        <d v="2022-06-14T00:00:00"/>
        <d v="2022-06-16T00:00:00"/>
        <d v="2022-06-17T00:00:00"/>
        <d v="2022-06-18T00:00:00"/>
        <d v="2022-06-21T00:00:00"/>
        <d v="2022-06-22T00:00:00"/>
        <d v="2022-06-25T00:00:00"/>
        <d v="2022-06-27T00:00:00"/>
        <d v="2022-06-29T00:00:00"/>
        <d v="2022-06-30T00:00:00"/>
        <d v="2022-07-01T00:00:00"/>
        <d v="2022-07-02T00:00:00"/>
        <d v="2022-07-04T00:00:00"/>
        <d v="2022-07-05T00:00:00"/>
        <d v="2022-07-06T00:00:00"/>
        <d v="2022-07-10T00:00:00"/>
        <d v="2022-07-11T00:00:00"/>
        <d v="2022-07-12T00:00:00"/>
        <d v="2022-07-14T00:00:00"/>
        <d v="2022-07-15T00:00:00"/>
        <d v="2022-07-16T00:00:00"/>
        <d v="2022-07-18T00:00:00"/>
        <d v="2022-07-19T00:00:00"/>
        <d v="2022-07-20T00:00:00"/>
        <d v="2022-07-21T00:00:00"/>
        <d v="2022-07-22T00:00:00"/>
        <d v="2022-07-25T00:00:00"/>
        <d v="2022-07-26T00:00:00"/>
        <d v="2022-07-29T00:00:00"/>
        <d v="2022-07-30T00:00:00"/>
        <d v="2022-07-31T00:00:00"/>
        <d v="2022-08-01T00:00:00"/>
        <d v="2022-08-02T00:00:00"/>
        <d v="2022-08-08T00:00:00"/>
        <d v="2022-08-09T00:00:00"/>
        <d v="2022-08-11T00:00:00"/>
        <d v="2022-08-12T00:00:00"/>
        <d v="2022-08-14T00:00:00"/>
        <d v="2022-08-15T00:00:00"/>
        <d v="2022-08-17T00:00:00"/>
        <d v="2022-08-18T00:00:00"/>
        <d v="2022-08-20T00:00:00"/>
        <d v="2022-08-25T00:00:00"/>
        <d v="2022-08-27T00:00:00"/>
        <d v="2022-08-29T00:00:00"/>
        <d v="2022-08-31T00:00:00"/>
        <d v="2022-09-01T00:00:00"/>
        <d v="2022-09-02T00:00:00"/>
        <d v="2022-09-05T00:00:00"/>
        <d v="2022-09-06T00:00:00"/>
        <d v="2022-09-08T00:00:00"/>
        <d v="2022-09-09T00:00:00"/>
        <d v="2022-09-10T00:00:00"/>
        <d v="2022-09-13T00:00:00"/>
        <d v="2022-09-14T00:00:00"/>
        <d v="2022-09-16T00:00:00"/>
        <d v="2022-09-17T00:00:00"/>
        <d v="2022-09-18T00:00:00"/>
        <d v="2022-09-20T00:00:00"/>
        <d v="2022-09-21T00:00:00"/>
        <d v="2022-09-22T00:00:00"/>
        <d v="2022-09-23T00:00:00"/>
        <d v="2022-09-24T00:00:00"/>
        <d v="2022-09-26T00:00:00"/>
        <d v="2022-09-27T00:00:00"/>
        <d v="2022-09-28T00:00:00"/>
        <d v="2022-09-29T00:00:00"/>
        <d v="2022-09-30T00:00:00"/>
        <d v="2022-10-01T00:00:00"/>
        <d v="2022-10-03T00:00:00"/>
        <d v="2022-10-04T00:00:00"/>
        <d v="2022-10-08T00:00:00"/>
        <d v="2022-10-10T00:00:00"/>
        <d v="2022-10-11T00:00:00"/>
        <d v="2022-10-13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30T00:00:00"/>
        <d v="2022-10-31T00:00:00"/>
        <d v="2022-11-01T00:00:00"/>
        <d v="2022-11-06T00:00:00"/>
        <d v="2022-11-07T00:00:00"/>
        <d v="2022-11-08T00:00:00"/>
        <d v="2022-11-09T00:00:00"/>
        <d v="2022-11-13T00:00:00"/>
        <d v="2022-11-14T00:00:00"/>
        <d v="2022-11-15T00:00:00"/>
        <d v="2022-11-16T00:00:00"/>
        <d v="2022-11-17T00:00:00"/>
        <d v="2022-11-18T00:00:00"/>
        <d v="2022-11-19T00:00:00"/>
        <d v="2022-11-21T00:00:00"/>
        <d v="2022-11-25T00:00:00"/>
        <d v="2022-11-26T00:00:00"/>
        <d v="2022-11-27T00:00:00"/>
        <d v="2022-11-28T00:00:00"/>
        <d v="2022-11-29T00:00:00"/>
        <d v="2022-11-30T00:00:00"/>
        <d v="2022-12-01T00:00:00"/>
        <d v="2022-12-02T00:00:00"/>
        <d v="2022-12-04T00:00:00"/>
        <d v="2022-12-05T00:00:00"/>
        <d v="2022-12-06T00:00:00"/>
        <d v="2022-12-07T00:00:00"/>
        <d v="2022-12-08T00:00:00"/>
        <d v="2022-12-09T00:00:00"/>
        <d v="2022-12-11T00:00:00"/>
        <d v="2022-12-12T00:00:00"/>
        <d v="2022-12-13T00:00:00"/>
        <d v="2022-12-15T00:00:00"/>
        <d v="2022-12-16T00:00:00"/>
        <d v="2022-12-17T00:00:00"/>
        <d v="2022-12-18T00:00:00"/>
        <d v="2022-12-21T00:00:00"/>
        <d v="2022-12-22T00:00:00"/>
        <d v="2022-12-23T00:00:00"/>
        <d v="2022-12-24T00:00:00"/>
        <d v="2022-12-26T00:00:00"/>
        <d v="2022-12-28T00:00:00"/>
        <d v="2022-12-29T00:00:00"/>
        <d v="2022-12-30T00:00:00"/>
        <d v="2022-12-31T00:00:00"/>
        <d v="2023-01-01T00:00:00"/>
        <d v="2023-01-02T00:00:00"/>
        <d v="2023-01-04T00:00:00"/>
        <d v="2023-01-09T00:00:00"/>
        <d v="2023-01-14T00:00:00"/>
        <d v="2023-01-15T00:00:00"/>
        <d v="2023-01-20T00:00:00"/>
        <d v="2023-01-21T00:00:00"/>
        <d v="2023-01-24T00:00:00"/>
        <d v="2023-01-27T00:00:00"/>
        <d v="2023-01-28T00:00:00"/>
        <d v="2023-01-30T00:00:00"/>
        <d v="2023-02-02T00:00:00"/>
        <d v="2023-02-06T00:00:00"/>
        <d v="2023-02-07T00:00:00"/>
        <d v="2023-02-10T00:00:00"/>
        <d v="2023-02-11T00:00:00"/>
        <d v="2023-02-19T00:00:00"/>
        <d v="2023-02-21T00:00:00"/>
        <d v="2023-02-28T00:00:00"/>
        <d v="2023-03-01T00:00:00"/>
        <d v="2023-03-05T00:00:00"/>
        <d v="2023-03-06T00:00:00"/>
        <d v="2023-03-09T00:00:00"/>
        <d v="2023-03-14T00:00:00"/>
        <d v="2023-03-15T00:00:00"/>
        <d v="2023-03-26T00:00:00"/>
        <d v="2023-04-09T00:00:00"/>
        <m/>
        <d v="2022-02-13T00:00:00" u="1"/>
      </sharedItems>
      <fieldGroup par="15"/>
    </cacheField>
    <cacheField name="Month" numFmtId="0">
      <sharedItems containsString="0" containsBlank="1" containsNumber="1" containsInteger="1" minValue="1" maxValue="12" count="13">
        <n v="2"/>
        <n v="1"/>
        <n v="4"/>
        <n v="3"/>
        <n v="5"/>
        <n v="6"/>
        <n v="7"/>
        <n v="8"/>
        <n v="9"/>
        <n v="10"/>
        <n v="11"/>
        <n v="12"/>
        <m/>
      </sharedItems>
    </cacheField>
    <cacheField name="Year" numFmtId="0">
      <sharedItems containsString="0" containsBlank="1" containsNumber="1" containsInteger="1" minValue="2022" maxValue="2023" count="3">
        <n v="2022"/>
        <n v="2023"/>
        <m/>
      </sharedItems>
    </cacheField>
    <cacheField name="Journal Entry ID" numFmtId="0">
      <sharedItems containsBlank="1" containsMixedTypes="1" containsNumber="1" containsInteger="1" minValue="22000001" maxValue="22000001"/>
    </cacheField>
    <cacheField name="Account" numFmtId="0">
      <sharedItems containsBlank="1" count="44">
        <s v="Accounts Payable"/>
        <s v="Balance sheet AccPay"/>
        <s v="Accounts Receivable"/>
        <s v="Cash and Cash Equivalents"/>
        <s v="Intangible Assets"/>
        <s v="Retained earnings"/>
        <s v="Property, Plant, and Equipment (PPE)"/>
        <s v="Raw material inventory"/>
        <s v="Share Capital"/>
        <s v="Short-term Debt"/>
        <s v="Cost of Goods Sold"/>
        <s v="Inventory Finished goods Product A"/>
        <s v="Inventory Finished goods Product B"/>
        <s v="Inventory Finished goods Product C"/>
        <s v="Wages payables"/>
        <s v="Sales Revenue"/>
        <s v="Administration"/>
        <s v="Facility"/>
        <s v="Financial Cost"/>
        <s v="Financial income"/>
        <s v="Personnel"/>
        <s v="Balance sheet Cash and Cash Equivalents"/>
        <s v="Balance sheet Share cap"/>
        <s v="Balance sheetShort-term Debt"/>
        <s v="Intangible Balance sheet"/>
        <s v="PPE Balance sheet"/>
        <s v="Balance sheet AccRec"/>
        <s v="Balance sheet Rawmatinv"/>
        <s v="Bilan CashandCash"/>
        <m/>
        <s v="Bilan AccPay" u="1"/>
        <s v="Bilan AccRec" u="1"/>
        <s v="Bilan RawMatInv" u="1"/>
        <s v="Opening Stock" u="1"/>
        <s v="Capital reserves" u="1"/>
        <s v="Plant Property and equipements" u="1"/>
        <s v="Financial investissements" u="1"/>
        <s v="Monthly closing" u="1"/>
        <s v="PPE Monthly closing" u="1"/>
        <s v="Capital reserves Monthly closing" u="1"/>
        <s v="Financial investissements Monthly closing" u="1"/>
        <s v="Accumulated amortization" u="1"/>
        <s v="Amortization" u="1"/>
        <s v="Monthly closing Accumulated Amortization" u="1"/>
      </sharedItems>
    </cacheField>
    <cacheField name="Debit" numFmtId="0">
      <sharedItems containsString="0" containsBlank="1" containsNumber="1" minValue="0" maxValue="550000000"/>
    </cacheField>
    <cacheField name="Credit" numFmtId="0">
      <sharedItems containsString="0" containsBlank="1" containsNumber="1" minValue="0" maxValue="495000000"/>
    </cacheField>
    <cacheField name="Solde" numFmtId="167">
      <sharedItems containsString="0" containsBlank="1" containsNumber="1" minValue="-495000000" maxValue="550000000"/>
    </cacheField>
    <cacheField name="Description" numFmtId="0">
      <sharedItems containsNonDate="0" containsString="0" containsBlank="1"/>
    </cacheField>
    <cacheField name="Document Reference" numFmtId="0">
      <sharedItems containsNonDate="0" containsString="0" containsBlank="1"/>
    </cacheField>
    <cacheField name="Currency" numFmtId="0">
      <sharedItems containsBlank="1"/>
    </cacheField>
    <cacheField name="Supplier/client" numFmtId="0">
      <sharedItems containsBlank="1"/>
    </cacheField>
    <cacheField name="Component" numFmtId="0">
      <sharedItems containsBlank="1"/>
    </cacheField>
    <cacheField name="Months (Date)" numFmtId="0" databaseField="0">
      <fieldGroup base="0">
        <rangePr groupBy="months" startDate="2022-01-01T00:00:00" endDate="2023-04-10T00:00:00"/>
        <groupItems count="14">
          <s v="&lt;01/01/2022"/>
          <s v="janv"/>
          <s v="févr"/>
          <s v="mars"/>
          <s v="avr"/>
          <s v="mai"/>
          <s v="juin"/>
          <s v="juil"/>
          <s v="août"/>
          <s v="sept"/>
          <s v="oct"/>
          <s v="nov"/>
          <s v="déc"/>
          <s v="&gt;10/04/2023"/>
        </groupItems>
      </fieldGroup>
    </cacheField>
    <cacheField name="Quarters (Date)" numFmtId="0" databaseField="0">
      <fieldGroup base="0">
        <rangePr groupBy="quarters" startDate="2022-01-01T00:00:00" endDate="2023-04-10T00:00:00"/>
        <groupItems count="6">
          <s v="&lt;01/01/2022"/>
          <s v="Qtr1"/>
          <s v="Qtr2"/>
          <s v="Qtr3"/>
          <s v="Qtr4"/>
          <s v="&gt;10/04/2023"/>
        </groupItems>
      </fieldGroup>
    </cacheField>
    <cacheField name="Years (Date)" numFmtId="0" databaseField="0">
      <fieldGroup base="0">
        <rangePr groupBy="years" startDate="2022-01-01T00:00:00" endDate="2023-04-10T00:00:00"/>
        <groupItems count="4">
          <s v="&lt;01/01/2022"/>
          <s v="2022"/>
          <s v="2023"/>
          <s v="&gt;10/04/2023"/>
        </groupItems>
      </fieldGroup>
    </cacheField>
  </cacheFields>
  <extLst>
    <ext xmlns:x14="http://schemas.microsoft.com/office/spreadsheetml/2009/9/main" uri="{725AE2AE-9491-48be-B2B4-4EB974FC3084}">
      <x14:pivotCacheDefinition pivotCacheId="5838098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s v="Supplier A"/>
    <x v="0"/>
    <n v="800000"/>
    <n v="760000"/>
    <n v="800000"/>
    <n v="720000"/>
    <n v="800000"/>
    <n v="760000"/>
    <n v="800000"/>
    <n v="840000"/>
    <n v="720000"/>
    <n v="880000"/>
    <n v="720000"/>
  </r>
  <r>
    <x v="1"/>
    <s v="Supplier A"/>
    <x v="1"/>
    <n v="945000"/>
    <n v="855000"/>
    <n v="945000"/>
    <n v="945000"/>
    <n v="810000"/>
    <n v="900000"/>
    <n v="810000"/>
    <n v="945000"/>
    <n v="855000"/>
    <n v="765000"/>
    <n v="990000"/>
  </r>
  <r>
    <x v="2"/>
    <s v="Supplier A"/>
    <x v="2"/>
    <n v="1800000"/>
    <n v="2000000"/>
    <n v="2375000"/>
    <n v="2200000"/>
    <n v="2210000"/>
    <n v="2100000"/>
    <n v="2000000"/>
    <n v="2200000"/>
    <n v="2000000"/>
    <n v="1800000"/>
    <n v="1800000"/>
  </r>
  <r>
    <x v="3"/>
    <s v="Supplier B"/>
    <x v="3"/>
    <n v="1980000"/>
    <n v="1980000"/>
    <n v="2420000"/>
    <n v="2200000"/>
    <n v="2420000"/>
    <n v="2310000"/>
    <n v="2090000"/>
    <n v="2200000"/>
    <n v="2310000"/>
    <n v="2090000"/>
    <n v="2310000"/>
  </r>
  <r>
    <x v="4"/>
    <s v="Supplier D"/>
    <x v="4"/>
    <n v="855000"/>
    <n v="1020000"/>
    <n v="935000"/>
    <n v="1071000"/>
    <n v="884000"/>
    <n v="1400000"/>
    <n v="880000"/>
    <n v="720000"/>
    <n v="800000"/>
    <n v="800000"/>
    <n v="720000"/>
  </r>
  <r>
    <x v="5"/>
    <s v="Supplier D"/>
    <x v="5"/>
    <n v="2192505"/>
    <n v="3300000"/>
    <n v="2090000"/>
    <n v="2470000"/>
    <n v="1870000"/>
    <n v="2380000"/>
    <n v="2192505"/>
    <n v="1774885"/>
    <n v="1983695"/>
    <n v="1774885"/>
    <n v="177488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x v="0"/>
    <x v="0"/>
    <n v="858169.20000000007"/>
    <m/>
    <s v="Component 1"/>
  </r>
  <r>
    <x v="0"/>
    <x v="0"/>
    <n v="975874.68"/>
    <m/>
    <s v="Component 2"/>
  </r>
  <r>
    <x v="0"/>
    <x v="0"/>
    <n v="2491318.9500000002"/>
    <m/>
    <s v="Component 3"/>
  </r>
  <r>
    <x v="0"/>
    <x v="0"/>
    <n v="2371257"/>
    <m/>
    <s v="Component 4"/>
  </r>
  <r>
    <x v="0"/>
    <x v="0"/>
    <n v="1048003.2000000001"/>
    <m/>
    <s v="Component 5"/>
  </r>
  <r>
    <x v="0"/>
    <x v="0"/>
    <n v="2536804"/>
    <m/>
    <s v="Component 6"/>
  </r>
  <r>
    <x v="1"/>
    <x v="0"/>
    <n v="927914.8"/>
    <m/>
    <s v="Component 1"/>
  </r>
  <r>
    <x v="1"/>
    <x v="0"/>
    <n v="925831.55999999982"/>
    <m/>
    <s v="Component 2"/>
  </r>
  <r>
    <x v="1"/>
    <x v="0"/>
    <n v="1954768.8699999999"/>
    <m/>
    <s v="Component 3"/>
  </r>
  <r>
    <x v="1"/>
    <x v="0"/>
    <n v="2153616"/>
    <m/>
    <s v="Component 4"/>
  </r>
  <r>
    <x v="1"/>
    <x v="0"/>
    <n v="796282.75"/>
    <m/>
    <s v="Component 5"/>
  </r>
  <r>
    <x v="1"/>
    <x v="0"/>
    <n v="2066008"/>
    <m/>
    <s v="Component 6"/>
  </r>
  <r>
    <x v="2"/>
    <x v="0"/>
    <n v="404875.6"/>
    <m/>
    <s v="Component 1"/>
  </r>
  <r>
    <x v="2"/>
    <x v="0"/>
    <n v="830798.7"/>
    <m/>
    <s v="Component 2"/>
  </r>
  <r>
    <x v="2"/>
    <x v="0"/>
    <n v="2022844.58"/>
    <m/>
    <s v="Component 3"/>
  </r>
  <r>
    <x v="2"/>
    <x v="0"/>
    <n v="955314"/>
    <m/>
    <s v="Component 4"/>
  </r>
  <r>
    <x v="2"/>
    <x v="0"/>
    <n v="998481.35"/>
    <m/>
    <s v="Component 5"/>
  </r>
  <r>
    <x v="2"/>
    <x v="0"/>
    <n v="2980589"/>
    <m/>
    <s v="Component 6"/>
  </r>
  <r>
    <x v="3"/>
    <x v="0"/>
    <n v="758612.40000000014"/>
    <m/>
    <s v="Component 1"/>
  </r>
  <r>
    <x v="3"/>
    <x v="0"/>
    <n v="989612.88"/>
    <m/>
    <s v="Component 2"/>
  </r>
  <r>
    <x v="3"/>
    <x v="0"/>
    <n v="2277808.23"/>
    <m/>
    <s v="Component 3"/>
  </r>
  <r>
    <x v="3"/>
    <x v="0"/>
    <n v="1879658"/>
    <m/>
    <s v="Component 4"/>
  </r>
  <r>
    <x v="3"/>
    <x v="0"/>
    <n v="940346.5"/>
    <m/>
    <s v="Component 5"/>
  </r>
  <r>
    <x v="3"/>
    <x v="0"/>
    <n v="2479972"/>
    <m/>
    <s v="Component 6"/>
  </r>
  <r>
    <x v="4"/>
    <x v="0"/>
    <n v="661583.20000000007"/>
    <m/>
    <s v="Component 1"/>
  </r>
  <r>
    <x v="4"/>
    <x v="0"/>
    <n v="957947.75999999989"/>
    <m/>
    <s v="Component 2"/>
  </r>
  <r>
    <x v="4"/>
    <x v="0"/>
    <n v="2363213.31"/>
    <m/>
    <s v="Component 3"/>
  </r>
  <r>
    <x v="4"/>
    <x v="0"/>
    <n v="1875578"/>
    <m/>
    <s v="Component 4"/>
  </r>
  <r>
    <x v="4"/>
    <x v="0"/>
    <n v="1080370"/>
    <m/>
    <s v="Component 5"/>
  </r>
  <r>
    <x v="4"/>
    <x v="0"/>
    <n v="2306429"/>
    <m/>
    <s v="Component 6"/>
  </r>
  <r>
    <x v="5"/>
    <x v="0"/>
    <n v="563456.80000000005"/>
    <m/>
    <s v="Component 1"/>
  </r>
  <r>
    <x v="5"/>
    <x v="0"/>
    <n v="838781.94"/>
    <m/>
    <s v="Component 2"/>
  </r>
  <r>
    <x v="5"/>
    <x v="0"/>
    <n v="1794753.0600000003"/>
    <m/>
    <s v="Component 3"/>
  </r>
  <r>
    <x v="5"/>
    <x v="0"/>
    <n v="1493282"/>
    <m/>
    <s v="Component 4"/>
  </r>
  <r>
    <x v="5"/>
    <x v="0"/>
    <n v="894125.59999999986"/>
    <m/>
    <s v="Component 5"/>
  </r>
  <r>
    <x v="5"/>
    <x v="0"/>
    <n v="2065456"/>
    <m/>
    <s v="Component 6"/>
  </r>
  <r>
    <x v="6"/>
    <x v="0"/>
    <n v="704544.79999999993"/>
    <m/>
    <s v="Component 1"/>
  </r>
  <r>
    <x v="6"/>
    <x v="0"/>
    <n v="934816.88000000012"/>
    <m/>
    <s v="Component 2"/>
  </r>
  <r>
    <x v="6"/>
    <x v="0"/>
    <n v="2350592.4800000004"/>
    <m/>
    <s v="Component 3"/>
  </r>
  <r>
    <x v="6"/>
    <x v="0"/>
    <n v="1982123"/>
    <m/>
    <s v="Component 4"/>
  </r>
  <r>
    <x v="6"/>
    <x v="0"/>
    <n v="1144563.5999999999"/>
    <m/>
    <s v="Component 5"/>
  </r>
  <r>
    <x v="6"/>
    <x v="0"/>
    <n v="2276895"/>
    <m/>
    <s v="Component 6"/>
  </r>
  <r>
    <x v="7"/>
    <x v="0"/>
    <n v="729079.2"/>
    <m/>
    <s v="Component 1"/>
  </r>
  <r>
    <x v="7"/>
    <x v="0"/>
    <n v="822659.91999999993"/>
    <m/>
    <s v="Component 2"/>
  </r>
  <r>
    <x v="7"/>
    <x v="0"/>
    <n v="1968576.92"/>
    <m/>
    <s v="Component 3"/>
  </r>
  <r>
    <x v="7"/>
    <x v="0"/>
    <n v="2143001"/>
    <m/>
    <s v="Component 4"/>
  </r>
  <r>
    <x v="7"/>
    <x v="0"/>
    <n v="917779.70000000007"/>
    <m/>
    <s v="Component 5"/>
  </r>
  <r>
    <x v="7"/>
    <x v="0"/>
    <n v="2131550"/>
    <m/>
    <s v="Component 6"/>
  </r>
  <r>
    <x v="8"/>
    <x v="0"/>
    <n v="715560.8"/>
    <m/>
    <s v="Component 1"/>
  </r>
  <r>
    <x v="8"/>
    <x v="0"/>
    <n v="843424.5"/>
    <m/>
    <s v="Component 2"/>
  </r>
  <r>
    <x v="8"/>
    <x v="0"/>
    <n v="2132295.12"/>
    <m/>
    <s v="Component 3"/>
  </r>
  <r>
    <x v="8"/>
    <x v="0"/>
    <n v="1633814"/>
    <m/>
    <s v="Component 4"/>
  </r>
  <r>
    <x v="8"/>
    <x v="0"/>
    <n v="845158"/>
    <m/>
    <s v="Component 5"/>
  </r>
  <r>
    <x v="8"/>
    <x v="0"/>
    <n v="1805512"/>
    <m/>
    <s v="Component 6"/>
  </r>
  <r>
    <x v="9"/>
    <x v="0"/>
    <n v="851001.59999999986"/>
    <m/>
    <s v="Component 1"/>
  </r>
  <r>
    <x v="9"/>
    <x v="0"/>
    <n v="851028.88000000012"/>
    <m/>
    <s v="Component 2"/>
  </r>
  <r>
    <x v="9"/>
    <x v="0"/>
    <n v="1972135.2799999998"/>
    <m/>
    <s v="Component 3"/>
  </r>
  <r>
    <x v="9"/>
    <x v="0"/>
    <n v="1886144"/>
    <m/>
    <s v="Component 4"/>
  </r>
  <r>
    <x v="9"/>
    <x v="0"/>
    <n v="790023.3"/>
    <m/>
    <s v="Component 5"/>
  </r>
  <r>
    <x v="9"/>
    <x v="0"/>
    <n v="1785537"/>
    <m/>
    <s v="Component 6"/>
  </r>
  <r>
    <x v="10"/>
    <x v="0"/>
    <n v="636362.39999999991"/>
    <m/>
    <s v="Component 1"/>
  </r>
  <r>
    <x v="10"/>
    <x v="0"/>
    <n v="790902.6399999999"/>
    <m/>
    <s v="Component 2"/>
  </r>
  <r>
    <x v="10"/>
    <x v="0"/>
    <n v="1931439.8200000003"/>
    <m/>
    <s v="Component 3"/>
  </r>
  <r>
    <x v="10"/>
    <x v="0"/>
    <n v="2181323"/>
    <m/>
    <s v="Component 4"/>
  </r>
  <r>
    <x v="10"/>
    <x v="0"/>
    <n v="920426"/>
    <m/>
    <s v="Component 5"/>
  </r>
  <r>
    <x v="10"/>
    <x v="0"/>
    <n v="1835445"/>
    <m/>
    <s v="Component 6"/>
  </r>
  <r>
    <x v="11"/>
    <x v="0"/>
    <n v="918443.20000000019"/>
    <m/>
    <s v="Component 1"/>
  </r>
  <r>
    <x v="11"/>
    <x v="0"/>
    <n v="825855.3"/>
    <m/>
    <s v="Component 2"/>
  </r>
  <r>
    <x v="11"/>
    <x v="0"/>
    <n v="1778721.1199999999"/>
    <m/>
    <s v="Component 3"/>
  </r>
  <r>
    <x v="11"/>
    <x v="0"/>
    <n v="1666860"/>
    <m/>
    <s v="Component 4"/>
  </r>
  <r>
    <x v="11"/>
    <x v="0"/>
    <n v="735751.39999999991"/>
    <m/>
    <s v="Component 5"/>
  </r>
  <r>
    <x v="11"/>
    <x v="0"/>
    <n v="1617142"/>
    <m/>
    <s v="Component 6"/>
  </r>
  <r>
    <x v="0"/>
    <x v="1"/>
    <m/>
    <n v="858169.20000000007"/>
    <s v="Component 1"/>
  </r>
  <r>
    <x v="0"/>
    <x v="1"/>
    <m/>
    <n v="975874.68"/>
    <s v="Component 2"/>
  </r>
  <r>
    <x v="0"/>
    <x v="1"/>
    <m/>
    <n v="2491318.9500000002"/>
    <s v="Component 3"/>
  </r>
  <r>
    <x v="0"/>
    <x v="1"/>
    <m/>
    <n v="2371257"/>
    <s v="Component 4"/>
  </r>
  <r>
    <x v="0"/>
    <x v="1"/>
    <m/>
    <n v="1048003.2000000001"/>
    <s v="Component 5"/>
  </r>
  <r>
    <x v="0"/>
    <x v="1"/>
    <m/>
    <n v="2536804"/>
    <s v="Component 6"/>
  </r>
  <r>
    <x v="1"/>
    <x v="1"/>
    <m/>
    <n v="927914.8"/>
    <s v="Component 1"/>
  </r>
  <r>
    <x v="1"/>
    <x v="1"/>
    <m/>
    <n v="925831.55999999982"/>
    <s v="Component 2"/>
  </r>
  <r>
    <x v="1"/>
    <x v="1"/>
    <m/>
    <n v="1954768.8699999999"/>
    <s v="Component 3"/>
  </r>
  <r>
    <x v="1"/>
    <x v="1"/>
    <m/>
    <n v="2153616"/>
    <s v="Component 4"/>
  </r>
  <r>
    <x v="1"/>
    <x v="1"/>
    <m/>
    <n v="796282.75"/>
    <s v="Component 5"/>
  </r>
  <r>
    <x v="1"/>
    <x v="1"/>
    <m/>
    <n v="2066008"/>
    <s v="Component 6"/>
  </r>
  <r>
    <x v="2"/>
    <x v="1"/>
    <m/>
    <n v="404875.6"/>
    <s v="Component 1"/>
  </r>
  <r>
    <x v="2"/>
    <x v="1"/>
    <m/>
    <n v="830798.7"/>
    <s v="Component 2"/>
  </r>
  <r>
    <x v="2"/>
    <x v="1"/>
    <m/>
    <n v="2022844.58"/>
    <s v="Component 3"/>
  </r>
  <r>
    <x v="2"/>
    <x v="1"/>
    <m/>
    <n v="955314"/>
    <s v="Component 4"/>
  </r>
  <r>
    <x v="2"/>
    <x v="1"/>
    <m/>
    <n v="998481.35"/>
    <s v="Component 5"/>
  </r>
  <r>
    <x v="2"/>
    <x v="1"/>
    <m/>
    <n v="2980589"/>
    <s v="Component 6"/>
  </r>
  <r>
    <x v="3"/>
    <x v="1"/>
    <m/>
    <n v="758612.40000000014"/>
    <s v="Component 1"/>
  </r>
  <r>
    <x v="3"/>
    <x v="1"/>
    <m/>
    <n v="989612.88"/>
    <s v="Component 2"/>
  </r>
  <r>
    <x v="3"/>
    <x v="1"/>
    <m/>
    <n v="2277808.23"/>
    <s v="Component 3"/>
  </r>
  <r>
    <x v="3"/>
    <x v="1"/>
    <m/>
    <n v="1879658"/>
    <s v="Component 4"/>
  </r>
  <r>
    <x v="3"/>
    <x v="1"/>
    <m/>
    <n v="940346.5"/>
    <s v="Component 5"/>
  </r>
  <r>
    <x v="3"/>
    <x v="1"/>
    <m/>
    <n v="2479972"/>
    <s v="Component 6"/>
  </r>
  <r>
    <x v="4"/>
    <x v="1"/>
    <m/>
    <n v="661583.20000000007"/>
    <s v="Component 1"/>
  </r>
  <r>
    <x v="4"/>
    <x v="1"/>
    <m/>
    <n v="957947.75999999989"/>
    <s v="Component 2"/>
  </r>
  <r>
    <x v="4"/>
    <x v="1"/>
    <m/>
    <n v="2363213.31"/>
    <s v="Component 3"/>
  </r>
  <r>
    <x v="4"/>
    <x v="1"/>
    <m/>
    <n v="1875578"/>
    <s v="Component 4"/>
  </r>
  <r>
    <x v="4"/>
    <x v="1"/>
    <m/>
    <n v="1080370"/>
    <s v="Component 5"/>
  </r>
  <r>
    <x v="4"/>
    <x v="1"/>
    <m/>
    <n v="2306429"/>
    <s v="Component 6"/>
  </r>
  <r>
    <x v="5"/>
    <x v="1"/>
    <m/>
    <n v="563456.80000000005"/>
    <s v="Component 1"/>
  </r>
  <r>
    <x v="5"/>
    <x v="1"/>
    <m/>
    <n v="838781.94"/>
    <s v="Component 2"/>
  </r>
  <r>
    <x v="5"/>
    <x v="1"/>
    <m/>
    <n v="1794753.0600000003"/>
    <s v="Component 3"/>
  </r>
  <r>
    <x v="5"/>
    <x v="1"/>
    <m/>
    <n v="1493282"/>
    <s v="Component 4"/>
  </r>
  <r>
    <x v="5"/>
    <x v="1"/>
    <m/>
    <n v="894125.59999999986"/>
    <s v="Component 5"/>
  </r>
  <r>
    <x v="5"/>
    <x v="1"/>
    <m/>
    <n v="2065456"/>
    <s v="Component 6"/>
  </r>
  <r>
    <x v="6"/>
    <x v="1"/>
    <m/>
    <n v="704544.79999999993"/>
    <s v="Component 1"/>
  </r>
  <r>
    <x v="6"/>
    <x v="1"/>
    <m/>
    <n v="934816.88000000012"/>
    <s v="Component 2"/>
  </r>
  <r>
    <x v="6"/>
    <x v="1"/>
    <m/>
    <n v="2350592.4800000004"/>
    <s v="Component 3"/>
  </r>
  <r>
    <x v="6"/>
    <x v="1"/>
    <m/>
    <n v="1982123"/>
    <s v="Component 4"/>
  </r>
  <r>
    <x v="6"/>
    <x v="1"/>
    <m/>
    <n v="1144563.5999999999"/>
    <s v="Component 5"/>
  </r>
  <r>
    <x v="6"/>
    <x v="1"/>
    <m/>
    <n v="2276895"/>
    <s v="Component 6"/>
  </r>
  <r>
    <x v="7"/>
    <x v="1"/>
    <m/>
    <n v="729079.2"/>
    <s v="Component 1"/>
  </r>
  <r>
    <x v="7"/>
    <x v="1"/>
    <m/>
    <n v="822659.91999999993"/>
    <s v="Component 2"/>
  </r>
  <r>
    <x v="7"/>
    <x v="1"/>
    <m/>
    <n v="1968576.92"/>
    <s v="Component 3"/>
  </r>
  <r>
    <x v="7"/>
    <x v="1"/>
    <m/>
    <n v="2143001"/>
    <s v="Component 4"/>
  </r>
  <r>
    <x v="7"/>
    <x v="1"/>
    <m/>
    <n v="917779.70000000007"/>
    <s v="Component 5"/>
  </r>
  <r>
    <x v="7"/>
    <x v="1"/>
    <m/>
    <n v="2131550"/>
    <s v="Component 6"/>
  </r>
  <r>
    <x v="8"/>
    <x v="1"/>
    <m/>
    <n v="715560.8"/>
    <s v="Component 1"/>
  </r>
  <r>
    <x v="8"/>
    <x v="1"/>
    <m/>
    <n v="843424.5"/>
    <s v="Component 2"/>
  </r>
  <r>
    <x v="8"/>
    <x v="1"/>
    <m/>
    <n v="2132295.12"/>
    <s v="Component 3"/>
  </r>
  <r>
    <x v="8"/>
    <x v="1"/>
    <m/>
    <n v="1633814"/>
    <s v="Component 4"/>
  </r>
  <r>
    <x v="8"/>
    <x v="1"/>
    <m/>
    <n v="845158"/>
    <s v="Component 5"/>
  </r>
  <r>
    <x v="8"/>
    <x v="1"/>
    <m/>
    <n v="1805512"/>
    <s v="Component 6"/>
  </r>
  <r>
    <x v="9"/>
    <x v="1"/>
    <m/>
    <n v="851001.59999999986"/>
    <s v="Component 1"/>
  </r>
  <r>
    <x v="9"/>
    <x v="1"/>
    <m/>
    <n v="851028.88000000012"/>
    <s v="Component 2"/>
  </r>
  <r>
    <x v="9"/>
    <x v="1"/>
    <m/>
    <n v="1972135.2799999998"/>
    <s v="Component 3"/>
  </r>
  <r>
    <x v="9"/>
    <x v="1"/>
    <m/>
    <n v="1886144"/>
    <s v="Component 4"/>
  </r>
  <r>
    <x v="9"/>
    <x v="1"/>
    <m/>
    <n v="790023.3"/>
    <s v="Component 5"/>
  </r>
  <r>
    <x v="9"/>
    <x v="1"/>
    <m/>
    <n v="1785537"/>
    <s v="Component 6"/>
  </r>
  <r>
    <x v="10"/>
    <x v="1"/>
    <m/>
    <n v="636362.39999999991"/>
    <s v="Component 1"/>
  </r>
  <r>
    <x v="10"/>
    <x v="1"/>
    <m/>
    <n v="790902.6399999999"/>
    <s v="Component 2"/>
  </r>
  <r>
    <x v="10"/>
    <x v="1"/>
    <m/>
    <n v="1931439.8200000003"/>
    <s v="Component 3"/>
  </r>
  <r>
    <x v="10"/>
    <x v="1"/>
    <m/>
    <n v="2181323"/>
    <s v="Component 4"/>
  </r>
  <r>
    <x v="10"/>
    <x v="1"/>
    <m/>
    <n v="920426"/>
    <s v="Component 5"/>
  </r>
  <r>
    <x v="10"/>
    <x v="1"/>
    <m/>
    <n v="1835445"/>
    <s v="Component 6"/>
  </r>
  <r>
    <x v="11"/>
    <x v="1"/>
    <m/>
    <n v="918443.20000000019"/>
    <s v="Component 1"/>
  </r>
  <r>
    <x v="11"/>
    <x v="1"/>
    <m/>
    <n v="825855.3"/>
    <s v="Component 2"/>
  </r>
  <r>
    <x v="11"/>
    <x v="1"/>
    <m/>
    <n v="1778721.1199999999"/>
    <s v="Component 3"/>
  </r>
  <r>
    <x v="11"/>
    <x v="1"/>
    <m/>
    <n v="1666860"/>
    <s v="Component 4"/>
  </r>
  <r>
    <x v="11"/>
    <x v="1"/>
    <m/>
    <n v="735751.39999999991"/>
    <s v="Component 5"/>
  </r>
  <r>
    <x v="11"/>
    <x v="1"/>
    <m/>
    <n v="1617142"/>
    <s v="Component 6"/>
  </r>
  <r>
    <x v="0"/>
    <x v="0"/>
    <m/>
    <n v="858169.20000000007"/>
    <s v="Component 1"/>
  </r>
  <r>
    <x v="0"/>
    <x v="0"/>
    <m/>
    <n v="975874.68"/>
    <s v="Component 2"/>
  </r>
  <r>
    <x v="0"/>
    <x v="0"/>
    <m/>
    <n v="2491318.9500000002"/>
    <s v="Component 3"/>
  </r>
  <r>
    <x v="0"/>
    <x v="0"/>
    <m/>
    <n v="2371257"/>
    <s v="Component 4"/>
  </r>
  <r>
    <x v="0"/>
    <x v="0"/>
    <m/>
    <n v="1048003.2000000001"/>
    <s v="Component 5"/>
  </r>
  <r>
    <x v="0"/>
    <x v="0"/>
    <m/>
    <n v="2536804"/>
    <s v="Component 6"/>
  </r>
  <r>
    <x v="1"/>
    <x v="0"/>
    <m/>
    <n v="927914.8"/>
    <s v="Component 1"/>
  </r>
  <r>
    <x v="1"/>
    <x v="0"/>
    <m/>
    <n v="925831.55999999982"/>
    <s v="Component 2"/>
  </r>
  <r>
    <x v="1"/>
    <x v="0"/>
    <m/>
    <n v="1954768.8699999999"/>
    <s v="Component 3"/>
  </r>
  <r>
    <x v="1"/>
    <x v="0"/>
    <m/>
    <n v="2153616"/>
    <s v="Component 4"/>
  </r>
  <r>
    <x v="1"/>
    <x v="0"/>
    <m/>
    <n v="796282.75"/>
    <s v="Component 5"/>
  </r>
  <r>
    <x v="1"/>
    <x v="0"/>
    <m/>
    <n v="2066008"/>
    <s v="Component 6"/>
  </r>
  <r>
    <x v="2"/>
    <x v="0"/>
    <m/>
    <n v="404875.6"/>
    <s v="Component 1"/>
  </r>
  <r>
    <x v="2"/>
    <x v="0"/>
    <m/>
    <n v="830798.7"/>
    <s v="Component 2"/>
  </r>
  <r>
    <x v="2"/>
    <x v="0"/>
    <m/>
    <n v="2022844.58"/>
    <s v="Component 3"/>
  </r>
  <r>
    <x v="2"/>
    <x v="0"/>
    <m/>
    <n v="955314"/>
    <s v="Component 4"/>
  </r>
  <r>
    <x v="2"/>
    <x v="0"/>
    <m/>
    <n v="998481.35"/>
    <s v="Component 5"/>
  </r>
  <r>
    <x v="2"/>
    <x v="0"/>
    <m/>
    <n v="2980589"/>
    <s v="Component 6"/>
  </r>
  <r>
    <x v="3"/>
    <x v="0"/>
    <m/>
    <n v="758612.40000000014"/>
    <s v="Component 1"/>
  </r>
  <r>
    <x v="3"/>
    <x v="0"/>
    <m/>
    <n v="989612.88"/>
    <s v="Component 2"/>
  </r>
  <r>
    <x v="3"/>
    <x v="0"/>
    <m/>
    <n v="2277808.23"/>
    <s v="Component 3"/>
  </r>
  <r>
    <x v="3"/>
    <x v="0"/>
    <m/>
    <n v="1879658"/>
    <s v="Component 4"/>
  </r>
  <r>
    <x v="3"/>
    <x v="0"/>
    <m/>
    <n v="940346.5"/>
    <s v="Component 5"/>
  </r>
  <r>
    <x v="3"/>
    <x v="0"/>
    <m/>
    <n v="2479972"/>
    <s v="Component 6"/>
  </r>
  <r>
    <x v="4"/>
    <x v="0"/>
    <m/>
    <n v="661583.20000000007"/>
    <s v="Component 1"/>
  </r>
  <r>
    <x v="4"/>
    <x v="0"/>
    <m/>
    <n v="957947.75999999989"/>
    <s v="Component 2"/>
  </r>
  <r>
    <x v="4"/>
    <x v="0"/>
    <m/>
    <n v="2363213.31"/>
    <s v="Component 3"/>
  </r>
  <r>
    <x v="4"/>
    <x v="0"/>
    <m/>
    <n v="1875578"/>
    <s v="Component 4"/>
  </r>
  <r>
    <x v="4"/>
    <x v="0"/>
    <m/>
    <n v="1080370"/>
    <s v="Component 5"/>
  </r>
  <r>
    <x v="4"/>
    <x v="0"/>
    <m/>
    <n v="2306429"/>
    <s v="Component 6"/>
  </r>
  <r>
    <x v="5"/>
    <x v="0"/>
    <m/>
    <n v="563456.80000000005"/>
    <s v="Component 1"/>
  </r>
  <r>
    <x v="5"/>
    <x v="0"/>
    <m/>
    <n v="838781.94"/>
    <s v="Component 2"/>
  </r>
  <r>
    <x v="5"/>
    <x v="0"/>
    <m/>
    <n v="1794753.0600000003"/>
    <s v="Component 3"/>
  </r>
  <r>
    <x v="5"/>
    <x v="0"/>
    <m/>
    <n v="1493282"/>
    <s v="Component 4"/>
  </r>
  <r>
    <x v="5"/>
    <x v="0"/>
    <m/>
    <n v="894125.59999999986"/>
    <s v="Component 5"/>
  </r>
  <r>
    <x v="5"/>
    <x v="0"/>
    <m/>
    <n v="2065456"/>
    <s v="Component 6"/>
  </r>
  <r>
    <x v="6"/>
    <x v="0"/>
    <m/>
    <n v="704544.79999999993"/>
    <s v="Component 1"/>
  </r>
  <r>
    <x v="6"/>
    <x v="0"/>
    <m/>
    <n v="934816.88000000012"/>
    <s v="Component 2"/>
  </r>
  <r>
    <x v="6"/>
    <x v="0"/>
    <m/>
    <n v="2350592.4800000004"/>
    <s v="Component 3"/>
  </r>
  <r>
    <x v="6"/>
    <x v="0"/>
    <m/>
    <n v="1982123"/>
    <s v="Component 4"/>
  </r>
  <r>
    <x v="6"/>
    <x v="0"/>
    <m/>
    <n v="1144563.5999999999"/>
    <s v="Component 5"/>
  </r>
  <r>
    <x v="6"/>
    <x v="0"/>
    <m/>
    <n v="2276895"/>
    <s v="Component 6"/>
  </r>
  <r>
    <x v="7"/>
    <x v="0"/>
    <m/>
    <n v="729079.2"/>
    <s v="Component 1"/>
  </r>
  <r>
    <x v="7"/>
    <x v="0"/>
    <m/>
    <n v="822659.91999999993"/>
    <s v="Component 2"/>
  </r>
  <r>
    <x v="7"/>
    <x v="0"/>
    <m/>
    <n v="1968576.92"/>
    <s v="Component 3"/>
  </r>
  <r>
    <x v="7"/>
    <x v="0"/>
    <m/>
    <n v="2143001"/>
    <s v="Component 4"/>
  </r>
  <r>
    <x v="7"/>
    <x v="0"/>
    <m/>
    <n v="917779.70000000007"/>
    <s v="Component 5"/>
  </r>
  <r>
    <x v="7"/>
    <x v="0"/>
    <m/>
    <n v="2131550"/>
    <s v="Component 6"/>
  </r>
  <r>
    <x v="8"/>
    <x v="0"/>
    <m/>
    <n v="715560.8"/>
    <s v="Component 1"/>
  </r>
  <r>
    <x v="8"/>
    <x v="0"/>
    <m/>
    <n v="843424.5"/>
    <s v="Component 2"/>
  </r>
  <r>
    <x v="8"/>
    <x v="0"/>
    <m/>
    <n v="2132295.12"/>
    <s v="Component 3"/>
  </r>
  <r>
    <x v="8"/>
    <x v="0"/>
    <m/>
    <n v="1633814"/>
    <s v="Component 4"/>
  </r>
  <r>
    <x v="8"/>
    <x v="0"/>
    <m/>
    <n v="845158"/>
    <s v="Component 5"/>
  </r>
  <r>
    <x v="8"/>
    <x v="0"/>
    <m/>
    <n v="1805512"/>
    <s v="Component 6"/>
  </r>
  <r>
    <x v="9"/>
    <x v="0"/>
    <m/>
    <n v="851001.59999999986"/>
    <s v="Component 1"/>
  </r>
  <r>
    <x v="9"/>
    <x v="0"/>
    <m/>
    <n v="851028.88000000012"/>
    <s v="Component 2"/>
  </r>
  <r>
    <x v="9"/>
    <x v="0"/>
    <m/>
    <n v="1972135.2799999998"/>
    <s v="Component 3"/>
  </r>
  <r>
    <x v="9"/>
    <x v="0"/>
    <m/>
    <n v="1886144"/>
    <s v="Component 4"/>
  </r>
  <r>
    <x v="9"/>
    <x v="0"/>
    <m/>
    <n v="790023.3"/>
    <s v="Component 5"/>
  </r>
  <r>
    <x v="9"/>
    <x v="0"/>
    <m/>
    <n v="1785537"/>
    <s v="Component 6"/>
  </r>
  <r>
    <x v="10"/>
    <x v="0"/>
    <m/>
    <n v="636362.39999999991"/>
    <s v="Component 1"/>
  </r>
  <r>
    <x v="10"/>
    <x v="0"/>
    <m/>
    <n v="790902.6399999999"/>
    <s v="Component 2"/>
  </r>
  <r>
    <x v="10"/>
    <x v="0"/>
    <m/>
    <n v="1931439.8200000003"/>
    <s v="Component 3"/>
  </r>
  <r>
    <x v="10"/>
    <x v="0"/>
    <m/>
    <n v="2181323"/>
    <s v="Component 4"/>
  </r>
  <r>
    <x v="10"/>
    <x v="0"/>
    <m/>
    <n v="920426"/>
    <s v="Component 5"/>
  </r>
  <r>
    <x v="10"/>
    <x v="0"/>
    <m/>
    <n v="1835445"/>
    <s v="Component 6"/>
  </r>
  <r>
    <x v="11"/>
    <x v="0"/>
    <m/>
    <n v="918443.20000000019"/>
    <s v="Component 1"/>
  </r>
  <r>
    <x v="11"/>
    <x v="0"/>
    <m/>
    <n v="825855.3"/>
    <s v="Component 2"/>
  </r>
  <r>
    <x v="11"/>
    <x v="0"/>
    <m/>
    <n v="1778721.1199999999"/>
    <s v="Component 3"/>
  </r>
  <r>
    <x v="11"/>
    <x v="0"/>
    <m/>
    <n v="1666860"/>
    <s v="Component 4"/>
  </r>
  <r>
    <x v="11"/>
    <x v="0"/>
    <m/>
    <n v="735751.39999999991"/>
    <s v="Component 5"/>
  </r>
  <r>
    <x v="11"/>
    <x v="0"/>
    <m/>
    <n v="1617142"/>
    <s v="Component 6"/>
  </r>
  <r>
    <x v="0"/>
    <x v="2"/>
    <m/>
    <n v="281426.48600000003"/>
    <m/>
  </r>
  <r>
    <x v="1"/>
    <x v="2"/>
    <m/>
    <n v="249455.20200000002"/>
    <m/>
  </r>
  <r>
    <x v="2"/>
    <x v="2"/>
    <m/>
    <n v="209980.07199999999"/>
    <m/>
  </r>
  <r>
    <x v="3"/>
    <x v="2"/>
    <m/>
    <n v="283543.636"/>
    <m/>
  </r>
  <r>
    <x v="4"/>
    <x v="2"/>
    <m/>
    <n v="230570.97600000002"/>
    <m/>
  </r>
  <r>
    <x v="5"/>
    <x v="2"/>
    <m/>
    <n v="208351.96799999999"/>
    <m/>
  </r>
  <r>
    <x v="6"/>
    <x v="2"/>
    <m/>
    <n v="237421.22999999998"/>
    <m/>
  </r>
  <r>
    <x v="7"/>
    <x v="2"/>
    <m/>
    <n v="221898.774"/>
    <m/>
  </r>
  <r>
    <x v="8"/>
    <x v="2"/>
    <m/>
    <n v="225410.03999999998"/>
    <m/>
  </r>
  <r>
    <x v="9"/>
    <x v="2"/>
    <m/>
    <n v="215565.64799999999"/>
    <m/>
  </r>
  <r>
    <x v="10"/>
    <x v="2"/>
    <m/>
    <n v="236400.636"/>
    <m/>
  </r>
  <r>
    <x v="11"/>
    <x v="2"/>
    <m/>
    <n v="223400.32000000001"/>
    <m/>
  </r>
  <r>
    <x v="12"/>
    <x v="3"/>
    <n v="4770969.0840000007"/>
    <m/>
    <m/>
  </r>
  <r>
    <x v="12"/>
    <x v="4"/>
    <n v="1482334.9920000001"/>
    <m/>
    <m/>
  </r>
  <r>
    <x v="12"/>
    <x v="5"/>
    <n v="4309549.4400000004"/>
    <m/>
    <m/>
  </r>
  <r>
    <x v="13"/>
    <x v="3"/>
    <n v="4666962.2180000003"/>
    <m/>
    <m/>
  </r>
  <r>
    <x v="13"/>
    <x v="4"/>
    <n v="2004069.5620000002"/>
    <m/>
    <m/>
  </r>
  <r>
    <x v="13"/>
    <x v="5"/>
    <n v="2417474.4720000001"/>
    <m/>
    <m/>
  </r>
  <r>
    <x v="14"/>
    <x v="3"/>
    <n v="2117188.1160000004"/>
    <m/>
    <m/>
  </r>
  <r>
    <x v="14"/>
    <x v="4"/>
    <n v="2355624.1800000002"/>
    <m/>
    <m/>
  </r>
  <r>
    <x v="14"/>
    <x v="5"/>
    <n v="3903979.2060000002"/>
    <m/>
    <m/>
  </r>
  <r>
    <x v="15"/>
    <x v="3"/>
    <n v="4326032.8160000006"/>
    <m/>
    <m/>
  </r>
  <r>
    <x v="15"/>
    <x v="4"/>
    <n v="1590974.44"/>
    <m/>
    <m/>
  </r>
  <r>
    <x v="15"/>
    <x v="5"/>
    <n v="3955969.4400000004"/>
    <m/>
    <m/>
  </r>
  <r>
    <x v="16"/>
    <x v="3"/>
    <n v="3681710.2239999999"/>
    <m/>
    <m/>
  </r>
  <r>
    <x v="16"/>
    <x v="4"/>
    <n v="1994576.2320000001"/>
    <m/>
    <m/>
  </r>
  <r>
    <x v="16"/>
    <x v="5"/>
    <n v="3654598.0800000005"/>
    <m/>
    <m/>
  </r>
  <r>
    <x v="17"/>
    <x v="3"/>
    <n v="3292663.2179999999"/>
    <m/>
    <m/>
  </r>
  <r>
    <x v="17"/>
    <x v="4"/>
    <n v="1619163.3319999999"/>
    <m/>
    <m/>
  </r>
  <r>
    <x v="17"/>
    <x v="5"/>
    <n v="3096215.0079999994"/>
    <m/>
    <m/>
  </r>
  <r>
    <x v="18"/>
    <x v="3"/>
    <n v="3827758.08"/>
    <m/>
    <m/>
  </r>
  <r>
    <x v="18"/>
    <x v="4"/>
    <n v="2024423.04"/>
    <m/>
    <m/>
  </r>
  <r>
    <x v="18"/>
    <x v="5"/>
    <n v="3772498.5900000003"/>
    <m/>
    <m/>
  </r>
  <r>
    <x v="19"/>
    <x v="3"/>
    <n v="3953331.426"/>
    <m/>
    <m/>
  </r>
  <r>
    <x v="19"/>
    <x v="4"/>
    <n v="2794247.3119999999"/>
    <m/>
    <m/>
  </r>
  <r>
    <x v="19"/>
    <x v="5"/>
    <n v="1930276.196"/>
    <m/>
    <m/>
  </r>
  <r>
    <x v="20"/>
    <x v="3"/>
    <n v="3977558.8000000003"/>
    <m/>
    <m/>
  </r>
  <r>
    <x v="20"/>
    <x v="4"/>
    <n v="2124407.6"/>
    <m/>
    <m/>
  </r>
  <r>
    <x v="20"/>
    <x v="5"/>
    <n v="2306955.6"/>
    <m/>
    <m/>
  </r>
  <r>
    <x v="21"/>
    <x v="3"/>
    <n v="4202246.34"/>
    <m/>
    <m/>
  </r>
  <r>
    <x v="21"/>
    <x v="4"/>
    <n v="1979786.2320000001"/>
    <m/>
    <m/>
  </r>
  <r>
    <x v="21"/>
    <x v="5"/>
    <n v="2185728.3960000002"/>
    <m/>
    <m/>
  </r>
  <r>
    <x v="22"/>
    <x v="3"/>
    <n v="3820047.9939999999"/>
    <m/>
    <m/>
  </r>
  <r>
    <x v="22"/>
    <x v="4"/>
    <n v="1193522.0620000002"/>
    <m/>
    <m/>
  </r>
  <r>
    <x v="22"/>
    <x v="5"/>
    <n v="3183482.22"/>
    <m/>
    <m/>
  </r>
  <r>
    <x v="23"/>
    <x v="3"/>
    <n v="4234911.7359999996"/>
    <m/>
    <m/>
  </r>
  <r>
    <x v="23"/>
    <x v="4"/>
    <n v="1647054.2479999999"/>
    <m/>
    <m/>
  </r>
  <r>
    <x v="23"/>
    <x v="5"/>
    <n v="2238596.2560000001"/>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3802085.6760000004"/>
    <n v="2158609.2720000003"/>
    <n v="3080214.0240000002"/>
    <n v="2652752.3760000002"/>
    <n v="3472739.7840000005"/>
    <n v="2175367.3680000002"/>
    <n v="2609434.5480000004"/>
    <n v="1627946.5740000003"/>
    <n v="1943756.4420000003"/>
    <n v="2066553.7620000003"/>
    <n v="2410365.6540000006"/>
    <n v="1990773.1560000002"/>
  </r>
  <r>
    <x v="1"/>
    <n v="542431.17599999998"/>
    <n v="693000.87"/>
    <n v="626216.49200000009"/>
    <n v="918233.26400000008"/>
    <n v="594838.83600000001"/>
    <n v="339151.61600000004"/>
    <n v="871011.75200000009"/>
    <n v="1160638.2760000001"/>
    <n v="962314.08000000007"/>
    <n v="341749.31400000001"/>
    <n v="621150.64200000011"/>
    <n v="322188.84000000003"/>
  </r>
  <r>
    <x v="0"/>
    <n v="507463.76400000002"/>
    <n v="258045.85600000003"/>
    <n v="826197.97200000007"/>
    <n v="1292684.6640000001"/>
    <n v="184109.49600000001"/>
    <n v="927360.24800000002"/>
    <n v="1169056.0980000002"/>
    <n v="303428.73400000005"/>
    <n v="362284.50600000005"/>
    <n v="120585.02400000002"/>
    <n v="769844.28600000008"/>
    <n v="247718.89200000002"/>
  </r>
  <r>
    <x v="2"/>
    <n v="503729.28"/>
    <n v="1168469.3160000001"/>
    <n v="742690.20600000012"/>
    <n v="729958.17599999998"/>
    <n v="527983.18200000003"/>
    <n v="631143.38400000008"/>
    <n v="1153649.2240000002"/>
    <n v="1167354.1800000002"/>
    <n v="962348.4040000001"/>
    <n v="559045.33799999999"/>
    <n v="492322.68400000007"/>
    <n v="612818.25600000005"/>
  </r>
  <r>
    <x v="1"/>
    <n v="1003104.7320000001"/>
    <n v="1103898.3660000002"/>
    <n v="295462.72200000001"/>
    <n v="1007699.1920000002"/>
    <n v="506414.53"/>
    <n v="592884.73600000003"/>
    <n v="657977.64800000004"/>
    <n v="676292.30800000008"/>
    <n v="1226818.2660000001"/>
    <n v="874464.92999999993"/>
    <n v="872123.07000000007"/>
    <n v="447512.68800000002"/>
  </r>
  <r>
    <x v="2"/>
    <n v="414301.39200000005"/>
    <n v="437061.36600000004"/>
    <n v="451142.36400000006"/>
    <n v="407096.68800000002"/>
    <n v="451763.44200000004"/>
    <n v="385696.70400000009"/>
    <n v="439512.08000000007"/>
    <n v="464131.94400000008"/>
    <n v="412372.39"/>
    <n v="447806.51400000002"/>
    <n v="407584.84200000006"/>
    <n v="410076.78400000004"/>
  </r>
  <r>
    <x v="1"/>
    <n v="1091284.656"/>
    <n v="699427.22999999986"/>
    <n v="372865.75066666602"/>
    <n v="345962.48466666648"/>
    <n v="817727.86066666641"/>
    <n v="776408.67799999996"/>
    <n v="1167437.362666666"/>
    <n v="820385.08266666613"/>
    <n v="247688.78599999967"/>
    <n v="851886.81066666672"/>
    <n v="741423.15333333332"/>
    <n v="896130.98266666662"/>
  </r>
  <r>
    <x v="2"/>
    <n v="564304.32000000007"/>
    <n v="397784.016"/>
    <n v="1163431.5600000003"/>
    <n v="449174.17600000004"/>
    <n v="1016220.1380000002"/>
    <n v="606141.81600000011"/>
    <n v="434913.00000000006"/>
    <n v="1164544.4520000003"/>
    <n v="748727.946"/>
    <n v="974372.76"/>
    <n v="292233.50800000003"/>
    <n v="624073.16400000011"/>
  </r>
  <r>
    <x v="1"/>
    <n v="1214153.4720000001"/>
    <n v="1012264.2059999998"/>
    <n v="561297.59066666604"/>
    <n v="932609.05266666657"/>
    <n v="1065127.3246666663"/>
    <n v="997180.00599999994"/>
    <n v="748692.61066666595"/>
    <n v="1075011.9726666661"/>
    <n v="931046.34399999981"/>
    <n v="897470.39466666663"/>
    <n v="1138150.4493333334"/>
    <n v="1093926.1786666666"/>
  </r>
  <r>
    <x v="1"/>
    <n v="919995.04800000007"/>
    <n v="1095057.5799999998"/>
    <n v="289029.55066666601"/>
    <n v="846422.21266666648"/>
    <n v="844988.09266666637"/>
    <n v="443840.86999999988"/>
    <n v="395248.6746666659"/>
    <n v="480389.33866666612"/>
    <n v="400319.55399999971"/>
    <n v="1223316.4806666668"/>
    <n v="778330.86333333328"/>
    <n v="1120563.838666666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n v="2424273"/>
    <n v="3772578"/>
    <n v="2832624"/>
    <n v="3776886"/>
    <n v="3504204"/>
    <n v="3161070"/>
    <n v="1654350"/>
    <n v="2098719"/>
    <n v="2665260"/>
    <n v="3494754"/>
    <n v="2085210"/>
  </r>
  <r>
    <x v="1"/>
    <x v="1"/>
    <x v="1"/>
    <n v="1025715"/>
    <n v="1050962"/>
    <n v="1429818"/>
    <n v="902070"/>
    <n v="515645"/>
    <n v="1019031"/>
    <n v="1355424"/>
    <n v="1397760"/>
    <n v="425961"/>
    <n v="761550"/>
    <n v="457200"/>
  </r>
  <r>
    <x v="2"/>
    <x v="0"/>
    <x v="2"/>
    <n v="273400"/>
    <n v="1217721"/>
    <n v="1466607"/>
    <n v="173788"/>
    <n v="1584380"/>
    <n v="1750932"/>
    <n v="444024"/>
    <n v="383184"/>
    <n v="173664"/>
    <n v="846141"/>
    <n v="369024"/>
  </r>
  <r>
    <x v="3"/>
    <x v="2"/>
    <x v="3"/>
    <n v="1348382"/>
    <n v="861150"/>
    <n v="1073682"/>
    <n v="846009"/>
    <n v="915151"/>
    <n v="1990443"/>
    <n v="1462450"/>
    <n v="1400236"/>
    <n v="947030"/>
    <n v="829568"/>
    <n v="976488"/>
  </r>
  <r>
    <x v="4"/>
    <x v="1"/>
    <x v="4"/>
    <n v="1827738"/>
    <n v="421857"/>
    <n v="1250755"/>
    <n v="567120"/>
    <n v="804344"/>
    <n v="754700"/>
    <n v="756884"/>
    <n v="1976853"/>
    <n v="1398420"/>
    <n v="1112020"/>
    <n v="677376"/>
  </r>
  <r>
    <x v="5"/>
    <x v="2"/>
    <x v="5"/>
    <n v="483771"/>
    <n v="585872"/>
    <n v="558195"/>
    <n v="713388"/>
    <n v="675328"/>
    <n v="670390"/>
    <n v="708324"/>
    <n v="682770"/>
    <n v="487665"/>
    <n v="718977"/>
    <n v="567736"/>
  </r>
  <r>
    <x v="6"/>
    <x v="1"/>
    <x v="6"/>
    <n v="1282260"/>
    <n v="446978"/>
    <n v="440505"/>
    <n v="933504"/>
    <n v="1159740"/>
    <n v="1764378"/>
    <n v="1162070"/>
    <n v="489124"/>
    <n v="1149234"/>
    <n v="756560"/>
    <n v="1199400"/>
  </r>
  <r>
    <x v="7"/>
    <x v="2"/>
    <x v="7"/>
    <n v="543344"/>
    <n v="1402960"/>
    <n v="671880"/>
    <n v="1392341"/>
    <n v="1177393"/>
    <n v="522000"/>
    <n v="1618086"/>
    <n v="1051848"/>
    <n v="1391220"/>
    <n v="415476"/>
    <n v="1075932"/>
  </r>
  <r>
    <x v="8"/>
    <x v="1"/>
    <x v="8"/>
    <n v="1502664"/>
    <n v="664416"/>
    <n v="1658016"/>
    <n v="1233648"/>
    <n v="1641031"/>
    <n v="907731"/>
    <n v="1299942"/>
    <n v="1452928"/>
    <n v="1125402"/>
    <n v="1233232"/>
    <n v="1748626"/>
  </r>
  <r>
    <x v="9"/>
    <x v="1"/>
    <x v="9"/>
    <n v="2014920"/>
    <n v="372166"/>
    <n v="1096316"/>
    <n v="1338336"/>
    <n v="600600"/>
    <n v="577216"/>
    <n v="605178"/>
    <n v="554164"/>
    <n v="1589335"/>
    <n v="1111460"/>
    <n v="164057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2">
  <r>
    <x v="0"/>
    <x v="0"/>
    <x v="0"/>
    <m/>
    <x v="0"/>
    <m/>
    <n v="7120000"/>
    <n v="-7120000"/>
    <m/>
    <m/>
    <m/>
    <m/>
    <s v="Supplier A"/>
  </r>
  <r>
    <x v="0"/>
    <x v="0"/>
    <x v="0"/>
    <m/>
    <x v="1"/>
    <n v="7120000"/>
    <m/>
    <n v="7120000"/>
    <m/>
    <m/>
    <m/>
    <m/>
    <s v="Supplier A"/>
  </r>
  <r>
    <x v="0"/>
    <x v="0"/>
    <x v="0"/>
    <m/>
    <x v="0"/>
    <m/>
    <n v="6434000"/>
    <n v="-6434000"/>
    <m/>
    <m/>
    <m/>
    <m/>
    <s v="Supplier B"/>
  </r>
  <r>
    <x v="0"/>
    <x v="0"/>
    <x v="0"/>
    <m/>
    <x v="1"/>
    <n v="6434000"/>
    <m/>
    <n v="6434000"/>
    <m/>
    <m/>
    <m/>
    <m/>
    <s v="Supplier B"/>
  </r>
  <r>
    <x v="0"/>
    <x v="0"/>
    <x v="0"/>
    <m/>
    <x v="0"/>
    <m/>
    <n v="8279695"/>
    <n v="-8279695"/>
    <m/>
    <m/>
    <m/>
    <m/>
    <s v="Supplier D"/>
  </r>
  <r>
    <x v="0"/>
    <x v="0"/>
    <x v="0"/>
    <m/>
    <x v="1"/>
    <n v="8279695"/>
    <m/>
    <n v="8279695"/>
    <m/>
    <m/>
    <m/>
    <m/>
    <s v="Supplier D"/>
  </r>
  <r>
    <x v="1"/>
    <x v="1"/>
    <x v="0"/>
    <m/>
    <x v="0"/>
    <m/>
    <n v="3650000"/>
    <n v="-3650000"/>
    <m/>
    <m/>
    <m/>
    <s v="Component 1"/>
    <s v="Supplier A"/>
  </r>
  <r>
    <x v="1"/>
    <x v="1"/>
    <x v="0"/>
    <m/>
    <x v="0"/>
    <m/>
    <n v="4124000"/>
    <n v="-4124000"/>
    <m/>
    <m/>
    <m/>
    <s v="Component 4"/>
    <s v="Supplier B"/>
  </r>
  <r>
    <x v="1"/>
    <x v="1"/>
    <x v="0"/>
    <m/>
    <x v="0"/>
    <m/>
    <n v="5576000"/>
    <n v="-5576000"/>
    <m/>
    <m/>
    <m/>
    <s v="Component 5"/>
    <s v="Supplier D"/>
  </r>
  <r>
    <x v="2"/>
    <x v="2"/>
    <x v="0"/>
    <m/>
    <x v="2"/>
    <m/>
    <n v="2000000"/>
    <n v="-2000000"/>
    <m/>
    <m/>
    <m/>
    <s v="Product B"/>
    <s v="Client 4"/>
  </r>
  <r>
    <x v="2"/>
    <x v="2"/>
    <x v="0"/>
    <m/>
    <x v="3"/>
    <n v="2000000"/>
    <m/>
    <n v="2000000"/>
    <m/>
    <m/>
    <m/>
    <s v="Product B"/>
    <s v="Client 4"/>
  </r>
  <r>
    <x v="1"/>
    <x v="1"/>
    <x v="0"/>
    <m/>
    <x v="2"/>
    <n v="2000000"/>
    <m/>
    <n v="2000000"/>
    <m/>
    <m/>
    <m/>
    <s v="Product B"/>
    <s v="Client 4"/>
  </r>
  <r>
    <x v="1"/>
    <x v="1"/>
    <x v="0"/>
    <m/>
    <x v="3"/>
    <n v="6455000"/>
    <m/>
    <n v="6455000"/>
    <m/>
    <m/>
    <m/>
    <m/>
    <m/>
  </r>
  <r>
    <x v="1"/>
    <x v="1"/>
    <x v="0"/>
    <m/>
    <x v="4"/>
    <n v="9045000"/>
    <m/>
    <n v="9045000"/>
    <m/>
    <m/>
    <m/>
    <m/>
    <m/>
  </r>
  <r>
    <x v="1"/>
    <x v="1"/>
    <x v="0"/>
    <n v="22000001"/>
    <x v="5"/>
    <m/>
    <n v="256500"/>
    <n v="-256500"/>
    <m/>
    <m/>
    <s v="Transfer of opening stock balance for Component 1"/>
    <s v="Component 1"/>
    <m/>
  </r>
  <r>
    <x v="1"/>
    <x v="1"/>
    <x v="0"/>
    <n v="22000001"/>
    <x v="5"/>
    <m/>
    <n v="582300"/>
    <n v="-582300"/>
    <m/>
    <m/>
    <s v="Transfer of opening stock balance for Component 2"/>
    <s v="Component 2"/>
    <m/>
  </r>
  <r>
    <x v="1"/>
    <x v="1"/>
    <x v="0"/>
    <n v="22000001"/>
    <x v="5"/>
    <m/>
    <n v="901113"/>
    <n v="-901113"/>
    <m/>
    <m/>
    <s v="Transfer of opening stock balance for Component 3"/>
    <s v="Component 3"/>
    <m/>
  </r>
  <r>
    <x v="1"/>
    <x v="1"/>
    <x v="0"/>
    <n v="22000001"/>
    <x v="5"/>
    <m/>
    <n v="390663"/>
    <n v="-390663"/>
    <m/>
    <m/>
    <s v="Transfer of opening stock balance for Component 4"/>
    <s v="Component 4"/>
    <m/>
  </r>
  <r>
    <x v="1"/>
    <x v="1"/>
    <x v="0"/>
    <n v="22000001"/>
    <x v="5"/>
    <m/>
    <n v="330066"/>
    <n v="-330066"/>
    <m/>
    <m/>
    <s v="Transfer of opening stock balance for Component 5"/>
    <s v="Component 5"/>
    <m/>
  </r>
  <r>
    <x v="1"/>
    <x v="1"/>
    <x v="0"/>
    <n v="22000001"/>
    <x v="5"/>
    <m/>
    <n v="554439"/>
    <n v="-554439"/>
    <m/>
    <m/>
    <s v="Transfer of opening stock balance for Component 6"/>
    <s v="Component 6"/>
    <m/>
  </r>
  <r>
    <x v="1"/>
    <x v="1"/>
    <x v="0"/>
    <m/>
    <x v="6"/>
    <n v="45000000"/>
    <m/>
    <n v="45000000"/>
    <m/>
    <m/>
    <m/>
    <m/>
    <m/>
  </r>
  <r>
    <x v="1"/>
    <x v="1"/>
    <x v="0"/>
    <n v="22000001"/>
    <x v="7"/>
    <n v="256500"/>
    <m/>
    <n v="256500"/>
    <m/>
    <m/>
    <s v="Transfer of opening stock balance for Component 1"/>
    <s v="Component 1"/>
    <s v="Component 1"/>
  </r>
  <r>
    <x v="1"/>
    <x v="1"/>
    <x v="0"/>
    <n v="22000001"/>
    <x v="7"/>
    <n v="582300"/>
    <m/>
    <n v="582300"/>
    <m/>
    <m/>
    <s v="Transfer of opening stock balance for Component 2"/>
    <s v="Component 2"/>
    <s v="Component 2"/>
  </r>
  <r>
    <x v="1"/>
    <x v="1"/>
    <x v="0"/>
    <n v="22000001"/>
    <x v="7"/>
    <n v="901113"/>
    <m/>
    <n v="901113"/>
    <m/>
    <m/>
    <s v="Transfer of opening stock balance for Component 3"/>
    <s v="Component 3"/>
    <s v="Component 3"/>
  </r>
  <r>
    <x v="1"/>
    <x v="1"/>
    <x v="0"/>
    <n v="22000001"/>
    <x v="7"/>
    <n v="390663"/>
    <m/>
    <n v="390663"/>
    <m/>
    <m/>
    <s v="Transfer of opening stock balance for Component 4"/>
    <s v="Component 4"/>
    <s v="Component 4"/>
  </r>
  <r>
    <x v="1"/>
    <x v="1"/>
    <x v="0"/>
    <n v="22000001"/>
    <x v="7"/>
    <n v="330066"/>
    <m/>
    <n v="330066"/>
    <m/>
    <m/>
    <s v="Transfer of opening stock balance for Component 5"/>
    <s v="Component 5"/>
    <s v="Component 5"/>
  </r>
  <r>
    <x v="1"/>
    <x v="1"/>
    <x v="0"/>
    <n v="22000001"/>
    <x v="7"/>
    <n v="554439"/>
    <m/>
    <n v="554439"/>
    <m/>
    <m/>
    <s v="Transfer of opening stock balance for Component 6"/>
    <s v="Component 6"/>
    <s v="Component 6"/>
  </r>
  <r>
    <x v="1"/>
    <x v="1"/>
    <x v="0"/>
    <m/>
    <x v="5"/>
    <m/>
    <n v="2000000"/>
    <n v="-2000000"/>
    <m/>
    <m/>
    <m/>
    <m/>
    <m/>
  </r>
  <r>
    <x v="1"/>
    <x v="1"/>
    <x v="0"/>
    <m/>
    <x v="5"/>
    <n v="13350000"/>
    <m/>
    <n v="13350000"/>
    <m/>
    <m/>
    <m/>
    <m/>
    <m/>
  </r>
  <r>
    <x v="1"/>
    <x v="1"/>
    <x v="0"/>
    <m/>
    <x v="8"/>
    <m/>
    <n v="50000000"/>
    <n v="-50000000"/>
    <m/>
    <m/>
    <m/>
    <m/>
    <m/>
  </r>
  <r>
    <x v="1"/>
    <x v="1"/>
    <x v="0"/>
    <m/>
    <x v="9"/>
    <m/>
    <n v="10500000"/>
    <n v="-10500000"/>
    <m/>
    <m/>
    <m/>
    <m/>
    <m/>
  </r>
  <r>
    <x v="3"/>
    <x v="1"/>
    <x v="0"/>
    <m/>
    <x v="0"/>
    <m/>
    <n v="760000"/>
    <n v="-760000"/>
    <m/>
    <m/>
    <m/>
    <s v="Component 1"/>
    <s v="Supplier A"/>
  </r>
  <r>
    <x v="3"/>
    <x v="1"/>
    <x v="0"/>
    <m/>
    <x v="0"/>
    <m/>
    <n v="810000"/>
    <n v="-810000"/>
    <m/>
    <m/>
    <m/>
    <s v="Component 2"/>
    <s v="Supplier A"/>
  </r>
  <r>
    <x v="3"/>
    <x v="1"/>
    <x v="0"/>
    <m/>
    <x v="0"/>
    <m/>
    <n v="1900000"/>
    <n v="-1900000"/>
    <m/>
    <m/>
    <m/>
    <s v="Component 3"/>
    <s v="Supplier A"/>
  </r>
  <r>
    <x v="3"/>
    <x v="1"/>
    <x v="0"/>
    <m/>
    <x v="0"/>
    <m/>
    <n v="2310000"/>
    <n v="-2310000"/>
    <m/>
    <m/>
    <m/>
    <s v="Component 4"/>
    <s v="Supplier B"/>
  </r>
  <r>
    <x v="3"/>
    <x v="1"/>
    <x v="0"/>
    <m/>
    <x v="0"/>
    <m/>
    <n v="720000"/>
    <n v="-720000"/>
    <m/>
    <m/>
    <m/>
    <s v="Component 5"/>
    <s v="Supplier D"/>
  </r>
  <r>
    <x v="3"/>
    <x v="1"/>
    <x v="0"/>
    <m/>
    <x v="0"/>
    <m/>
    <n v="1983695"/>
    <n v="-1983695"/>
    <m/>
    <m/>
    <m/>
    <s v="Component 6"/>
    <s v="Supplier D"/>
  </r>
  <r>
    <x v="3"/>
    <x v="1"/>
    <x v="0"/>
    <m/>
    <x v="7"/>
    <n v="760000"/>
    <m/>
    <n v="760000"/>
    <m/>
    <m/>
    <m/>
    <s v="Component 1"/>
    <s v="Supplier A"/>
  </r>
  <r>
    <x v="3"/>
    <x v="1"/>
    <x v="0"/>
    <m/>
    <x v="7"/>
    <n v="810000"/>
    <m/>
    <n v="810000"/>
    <m/>
    <m/>
    <m/>
    <s v="Component 2"/>
    <s v="Supplier A"/>
  </r>
  <r>
    <x v="3"/>
    <x v="1"/>
    <x v="0"/>
    <m/>
    <x v="7"/>
    <n v="1900000"/>
    <m/>
    <n v="1900000"/>
    <m/>
    <m/>
    <m/>
    <s v="Component 3"/>
    <s v="Supplier A"/>
  </r>
  <r>
    <x v="3"/>
    <x v="1"/>
    <x v="0"/>
    <m/>
    <x v="7"/>
    <n v="2310000"/>
    <m/>
    <n v="2310000"/>
    <m/>
    <m/>
    <m/>
    <s v="Component 4"/>
    <s v="Supplier B"/>
  </r>
  <r>
    <x v="3"/>
    <x v="1"/>
    <x v="0"/>
    <m/>
    <x v="7"/>
    <n v="720000"/>
    <m/>
    <n v="720000"/>
    <m/>
    <m/>
    <m/>
    <s v="Component 5"/>
    <s v="Supplier D"/>
  </r>
  <r>
    <x v="3"/>
    <x v="1"/>
    <x v="0"/>
    <m/>
    <x v="7"/>
    <n v="1983695"/>
    <m/>
    <n v="1983695"/>
    <m/>
    <m/>
    <m/>
    <s v="Component 6"/>
    <s v="Supplier D"/>
  </r>
  <r>
    <x v="4"/>
    <x v="1"/>
    <x v="0"/>
    <m/>
    <x v="10"/>
    <n v="858169.20000000007"/>
    <m/>
    <n v="858169.20000000007"/>
    <m/>
    <m/>
    <m/>
    <s v="Supplier A"/>
    <s v="Component 1"/>
  </r>
  <r>
    <x v="4"/>
    <x v="1"/>
    <x v="0"/>
    <m/>
    <x v="10"/>
    <n v="975874.68"/>
    <m/>
    <n v="975874.68"/>
    <m/>
    <m/>
    <m/>
    <s v="Supplier A"/>
    <s v="Component 2"/>
  </r>
  <r>
    <x v="4"/>
    <x v="1"/>
    <x v="0"/>
    <m/>
    <x v="10"/>
    <n v="2491318.9500000002"/>
    <m/>
    <n v="2491318.9500000002"/>
    <m/>
    <m/>
    <m/>
    <s v="Supplier A"/>
    <s v="Component 3"/>
  </r>
  <r>
    <x v="4"/>
    <x v="1"/>
    <x v="0"/>
    <m/>
    <x v="10"/>
    <n v="2371257"/>
    <m/>
    <n v="2371257"/>
    <m/>
    <m/>
    <m/>
    <s v="Supplier B"/>
    <s v="Component 4"/>
  </r>
  <r>
    <x v="4"/>
    <x v="1"/>
    <x v="0"/>
    <m/>
    <x v="10"/>
    <n v="1048003.2000000001"/>
    <m/>
    <n v="1048003.2000000001"/>
    <m/>
    <m/>
    <m/>
    <s v="Supplier D"/>
    <s v="Component 5"/>
  </r>
  <r>
    <x v="4"/>
    <x v="1"/>
    <x v="0"/>
    <m/>
    <x v="10"/>
    <n v="2536804"/>
    <m/>
    <n v="2536804"/>
    <m/>
    <m/>
    <m/>
    <s v="Supplier D"/>
    <s v="Component 6"/>
  </r>
  <r>
    <x v="4"/>
    <x v="1"/>
    <x v="0"/>
    <m/>
    <x v="10"/>
    <m/>
    <n v="858169.20000000007"/>
    <n v="-858169.20000000007"/>
    <m/>
    <m/>
    <m/>
    <m/>
    <s v="Component 1"/>
  </r>
  <r>
    <x v="4"/>
    <x v="1"/>
    <x v="0"/>
    <m/>
    <x v="10"/>
    <m/>
    <n v="975874.68"/>
    <n v="-975874.68"/>
    <m/>
    <m/>
    <m/>
    <m/>
    <s v="Component 2"/>
  </r>
  <r>
    <x v="4"/>
    <x v="1"/>
    <x v="0"/>
    <m/>
    <x v="10"/>
    <m/>
    <n v="2491318.9500000002"/>
    <n v="-2491318.9500000002"/>
    <m/>
    <m/>
    <m/>
    <m/>
    <s v="Component 3"/>
  </r>
  <r>
    <x v="4"/>
    <x v="1"/>
    <x v="0"/>
    <m/>
    <x v="10"/>
    <m/>
    <n v="2371257.4859999996"/>
    <n v="-2371257.4859999996"/>
    <m/>
    <m/>
    <m/>
    <m/>
    <s v="Component 4"/>
  </r>
  <r>
    <x v="4"/>
    <x v="1"/>
    <x v="0"/>
    <m/>
    <x v="10"/>
    <m/>
    <n v="1048003.2000000001"/>
    <n v="-1048003.2000000001"/>
    <m/>
    <m/>
    <m/>
    <m/>
    <s v="Component 5"/>
  </r>
  <r>
    <x v="4"/>
    <x v="1"/>
    <x v="0"/>
    <m/>
    <x v="10"/>
    <m/>
    <n v="2536804"/>
    <n v="-2536804"/>
    <m/>
    <m/>
    <m/>
    <m/>
    <s v="Component 6"/>
  </r>
  <r>
    <x v="4"/>
    <x v="1"/>
    <x v="0"/>
    <m/>
    <x v="7"/>
    <m/>
    <n v="858169.20000000007"/>
    <n v="-858169.20000000007"/>
    <m/>
    <m/>
    <m/>
    <s v="Component 1"/>
    <s v="Supplier A"/>
  </r>
  <r>
    <x v="4"/>
    <x v="1"/>
    <x v="0"/>
    <m/>
    <x v="7"/>
    <m/>
    <n v="975874.68"/>
    <n v="-975874.68"/>
    <m/>
    <m/>
    <m/>
    <s v="Component 2"/>
    <s v="Supplier A"/>
  </r>
  <r>
    <x v="4"/>
    <x v="1"/>
    <x v="0"/>
    <m/>
    <x v="7"/>
    <m/>
    <n v="2491318.9500000002"/>
    <n v="-2491318.9500000002"/>
    <m/>
    <m/>
    <m/>
    <s v="Component 3"/>
    <s v="Supplier A"/>
  </r>
  <r>
    <x v="4"/>
    <x v="1"/>
    <x v="0"/>
    <m/>
    <x v="7"/>
    <m/>
    <n v="2371257"/>
    <n v="-2371257"/>
    <m/>
    <m/>
    <m/>
    <s v="Component 4"/>
    <s v="Supplier B"/>
  </r>
  <r>
    <x v="4"/>
    <x v="1"/>
    <x v="0"/>
    <m/>
    <x v="7"/>
    <m/>
    <n v="1048003.2000000001"/>
    <n v="-1048003.2000000001"/>
    <m/>
    <m/>
    <m/>
    <s v="Component 5"/>
    <s v="Supplier D"/>
  </r>
  <r>
    <x v="4"/>
    <x v="1"/>
    <x v="0"/>
    <m/>
    <x v="7"/>
    <m/>
    <n v="2536804"/>
    <n v="-2536804"/>
    <m/>
    <m/>
    <m/>
    <s v="Component 6"/>
    <s v="Supplier D"/>
  </r>
  <r>
    <x v="5"/>
    <x v="1"/>
    <x v="0"/>
    <m/>
    <x v="11"/>
    <n v="4770969.0840000007"/>
    <m/>
    <n v="4770969.0840000007"/>
    <m/>
    <m/>
    <m/>
    <m/>
    <m/>
  </r>
  <r>
    <x v="5"/>
    <x v="1"/>
    <x v="0"/>
    <m/>
    <x v="12"/>
    <n v="1482334.9920000001"/>
    <m/>
    <n v="1482334.9920000001"/>
    <m/>
    <m/>
    <m/>
    <m/>
    <m/>
  </r>
  <r>
    <x v="5"/>
    <x v="1"/>
    <x v="0"/>
    <m/>
    <x v="13"/>
    <n v="4309549.4400000004"/>
    <m/>
    <n v="4309549.4400000004"/>
    <m/>
    <m/>
    <m/>
    <m/>
    <m/>
  </r>
  <r>
    <x v="5"/>
    <x v="1"/>
    <x v="0"/>
    <m/>
    <x v="14"/>
    <m/>
    <n v="281426"/>
    <n v="-281426"/>
    <m/>
    <m/>
    <m/>
    <m/>
    <m/>
  </r>
  <r>
    <x v="6"/>
    <x v="1"/>
    <x v="0"/>
    <m/>
    <x v="2"/>
    <n v="1839104"/>
    <m/>
    <n v="1839104"/>
    <m/>
    <m/>
    <m/>
    <s v="Product A"/>
    <s v="Client 9"/>
  </r>
  <r>
    <x v="6"/>
    <x v="1"/>
    <x v="0"/>
    <m/>
    <x v="10"/>
    <n v="1214153.4720000001"/>
    <m/>
    <n v="1214153.4720000001"/>
    <m/>
    <m/>
    <m/>
    <m/>
    <s v="Product A"/>
  </r>
  <r>
    <x v="6"/>
    <x v="1"/>
    <x v="0"/>
    <m/>
    <x v="11"/>
    <m/>
    <n v="1214153.4720000001"/>
    <n v="-1214153.4720000001"/>
    <m/>
    <m/>
    <m/>
    <m/>
    <s v="Product A"/>
  </r>
  <r>
    <x v="6"/>
    <x v="1"/>
    <x v="0"/>
    <m/>
    <x v="15"/>
    <m/>
    <n v="1839104"/>
    <n v="-1839104"/>
    <m/>
    <m/>
    <m/>
    <s v="Product A"/>
    <s v="Client 9"/>
  </r>
  <r>
    <x v="7"/>
    <x v="1"/>
    <x v="0"/>
    <m/>
    <x v="2"/>
    <n v="1756304"/>
    <m/>
    <n v="1756304"/>
    <m/>
    <m/>
    <m/>
    <s v="Product A"/>
    <s v="Client 7"/>
  </r>
  <r>
    <x v="7"/>
    <x v="1"/>
    <x v="0"/>
    <m/>
    <x v="10"/>
    <n v="1091284.656"/>
    <m/>
    <n v="1091284.656"/>
    <m/>
    <m/>
    <m/>
    <m/>
    <s v="Product A"/>
  </r>
  <r>
    <x v="7"/>
    <x v="1"/>
    <x v="0"/>
    <m/>
    <x v="11"/>
    <m/>
    <n v="1091284.656"/>
    <n v="-1091284.656"/>
    <m/>
    <m/>
    <m/>
    <m/>
    <s v="Product A"/>
  </r>
  <r>
    <x v="7"/>
    <x v="1"/>
    <x v="0"/>
    <m/>
    <x v="15"/>
    <m/>
    <n v="1756304"/>
    <n v="-1756304"/>
    <m/>
    <m/>
    <m/>
    <s v="Product A"/>
    <s v="Client 7"/>
  </r>
  <r>
    <x v="8"/>
    <x v="1"/>
    <x v="0"/>
    <m/>
    <x v="2"/>
    <n v="872984"/>
    <m/>
    <n v="872984"/>
    <m/>
    <m/>
    <m/>
    <s v="Product A"/>
    <s v="Client 2"/>
  </r>
  <r>
    <x v="8"/>
    <x v="1"/>
    <x v="0"/>
    <m/>
    <x v="2"/>
    <n v="644640"/>
    <m/>
    <n v="644640"/>
    <m/>
    <m/>
    <m/>
    <s v="Product B"/>
    <s v="Client 4"/>
  </r>
  <r>
    <x v="8"/>
    <x v="1"/>
    <x v="0"/>
    <m/>
    <x v="10"/>
    <n v="542431.17599999998"/>
    <m/>
    <n v="542431.17599999998"/>
    <m/>
    <m/>
    <m/>
    <m/>
    <s v="Product A"/>
  </r>
  <r>
    <x v="8"/>
    <x v="1"/>
    <x v="0"/>
    <m/>
    <x v="10"/>
    <n v="503729.28"/>
    <m/>
    <n v="503729.28"/>
    <m/>
    <m/>
    <m/>
    <m/>
    <s v="Product B"/>
  </r>
  <r>
    <x v="8"/>
    <x v="1"/>
    <x v="0"/>
    <m/>
    <x v="11"/>
    <m/>
    <n v="542431.17599999998"/>
    <n v="-542431.17599999998"/>
    <m/>
    <m/>
    <m/>
    <m/>
    <s v="Product A"/>
  </r>
  <r>
    <x v="8"/>
    <x v="1"/>
    <x v="0"/>
    <m/>
    <x v="12"/>
    <m/>
    <n v="503729.28"/>
    <n v="-503729.28"/>
    <m/>
    <m/>
    <m/>
    <m/>
    <s v="Product B"/>
  </r>
  <r>
    <x v="8"/>
    <x v="1"/>
    <x v="0"/>
    <m/>
    <x v="15"/>
    <m/>
    <n v="872984"/>
    <n v="-872984"/>
    <m/>
    <m/>
    <m/>
    <s v="Product A"/>
    <s v="Client 2"/>
  </r>
  <r>
    <x v="8"/>
    <x v="1"/>
    <x v="0"/>
    <m/>
    <x v="15"/>
    <m/>
    <n v="644640"/>
    <n v="-644640"/>
    <m/>
    <m/>
    <m/>
    <s v="Product B"/>
    <s v="Client 4"/>
  </r>
  <r>
    <x v="9"/>
    <x v="1"/>
    <x v="0"/>
    <m/>
    <x v="2"/>
    <n v="1115827"/>
    <m/>
    <n v="1115827"/>
    <m/>
    <m/>
    <m/>
    <s v="Product A"/>
    <s v="Client 5"/>
  </r>
  <r>
    <x v="9"/>
    <x v="1"/>
    <x v="0"/>
    <m/>
    <x v="10"/>
    <n v="1003104.7320000001"/>
    <m/>
    <n v="1003104.7320000001"/>
    <m/>
    <m/>
    <m/>
    <m/>
    <s v="Product A"/>
  </r>
  <r>
    <x v="9"/>
    <x v="1"/>
    <x v="0"/>
    <m/>
    <x v="11"/>
    <m/>
    <n v="1003104.7320000001"/>
    <n v="-1003104.7320000001"/>
    <m/>
    <m/>
    <m/>
    <m/>
    <s v="Product A"/>
  </r>
  <r>
    <x v="9"/>
    <x v="1"/>
    <x v="0"/>
    <m/>
    <x v="15"/>
    <m/>
    <n v="1115827"/>
    <n v="-1115827"/>
    <m/>
    <m/>
    <m/>
    <s v="Product A"/>
    <s v="Client 5"/>
  </r>
  <r>
    <x v="10"/>
    <x v="1"/>
    <x v="0"/>
    <m/>
    <x v="2"/>
    <n v="1110474"/>
    <m/>
    <n v="1110474"/>
    <m/>
    <m/>
    <m/>
    <s v="Product A"/>
    <s v="Client 10"/>
  </r>
  <r>
    <x v="10"/>
    <x v="1"/>
    <x v="0"/>
    <m/>
    <x v="10"/>
    <n v="919995.04800000007"/>
    <m/>
    <n v="919995.04800000007"/>
    <m/>
    <m/>
    <m/>
    <m/>
    <s v="Product A"/>
  </r>
  <r>
    <x v="10"/>
    <x v="1"/>
    <x v="0"/>
    <m/>
    <x v="11"/>
    <m/>
    <n v="919995.04800000007"/>
    <n v="-919995.04800000007"/>
    <m/>
    <m/>
    <m/>
    <m/>
    <s v="Product A"/>
  </r>
  <r>
    <x v="10"/>
    <x v="1"/>
    <x v="0"/>
    <m/>
    <x v="15"/>
    <m/>
    <n v="1110474"/>
    <n v="-1110474"/>
    <m/>
    <m/>
    <m/>
    <s v="Product A"/>
    <s v="Client 10"/>
  </r>
  <r>
    <x v="11"/>
    <x v="1"/>
    <x v="0"/>
    <m/>
    <x v="2"/>
    <n v="601126"/>
    <m/>
    <n v="601126"/>
    <m/>
    <m/>
    <m/>
    <s v="Product C"/>
    <s v="Client 3"/>
  </r>
  <r>
    <x v="11"/>
    <x v="1"/>
    <x v="0"/>
    <m/>
    <x v="10"/>
    <n v="507463.76400000002"/>
    <m/>
    <n v="507463.76400000002"/>
    <m/>
    <m/>
    <m/>
    <m/>
    <s v="Product C"/>
  </r>
  <r>
    <x v="11"/>
    <x v="1"/>
    <x v="0"/>
    <m/>
    <x v="13"/>
    <m/>
    <n v="507463.76400000002"/>
    <n v="-507463.76400000002"/>
    <m/>
    <m/>
    <m/>
    <m/>
    <s v="Product C"/>
  </r>
  <r>
    <x v="11"/>
    <x v="1"/>
    <x v="0"/>
    <m/>
    <x v="15"/>
    <m/>
    <n v="601126"/>
    <n v="-601126"/>
    <m/>
    <m/>
    <m/>
    <s v="Product C"/>
    <s v="Client 3"/>
  </r>
  <r>
    <x v="12"/>
    <x v="1"/>
    <x v="0"/>
    <m/>
    <x v="2"/>
    <n v="550988"/>
    <m/>
    <n v="550988"/>
    <m/>
    <m/>
    <m/>
    <s v="Product B"/>
    <s v="Client 6"/>
  </r>
  <r>
    <x v="12"/>
    <x v="1"/>
    <x v="0"/>
    <m/>
    <x v="10"/>
    <n v="414301.39200000005"/>
    <m/>
    <n v="414301.39200000005"/>
    <m/>
    <m/>
    <m/>
    <m/>
    <s v="Product B"/>
  </r>
  <r>
    <x v="12"/>
    <x v="1"/>
    <x v="0"/>
    <m/>
    <x v="12"/>
    <m/>
    <n v="414301.39200000005"/>
    <n v="-414301.39200000005"/>
    <m/>
    <m/>
    <m/>
    <m/>
    <s v="Product B"/>
  </r>
  <r>
    <x v="12"/>
    <x v="1"/>
    <x v="0"/>
    <m/>
    <x v="15"/>
    <m/>
    <n v="550988"/>
    <n v="-550988"/>
    <m/>
    <m/>
    <m/>
    <s v="Product B"/>
    <s v="Client 6"/>
  </r>
  <r>
    <x v="13"/>
    <x v="1"/>
    <x v="0"/>
    <m/>
    <x v="2"/>
    <n v="4248900"/>
    <m/>
    <n v="4248900"/>
    <m/>
    <m/>
    <m/>
    <s v="Product C"/>
    <s v="Client 1"/>
  </r>
  <r>
    <x v="13"/>
    <x v="1"/>
    <x v="0"/>
    <m/>
    <x v="10"/>
    <n v="3802085.6760000004"/>
    <m/>
    <n v="3802085.6760000004"/>
    <m/>
    <m/>
    <m/>
    <m/>
    <s v="Product C"/>
  </r>
  <r>
    <x v="13"/>
    <x v="1"/>
    <x v="0"/>
    <m/>
    <x v="13"/>
    <m/>
    <n v="3802085.6760000004"/>
    <n v="-3802085.6760000004"/>
    <m/>
    <m/>
    <m/>
    <m/>
    <s v="Product C"/>
  </r>
  <r>
    <x v="13"/>
    <x v="1"/>
    <x v="0"/>
    <m/>
    <x v="15"/>
    <m/>
    <n v="4248900"/>
    <n v="-4248900"/>
    <m/>
    <m/>
    <m/>
    <s v="Product C"/>
    <s v="Client 1"/>
  </r>
  <r>
    <x v="14"/>
    <x v="1"/>
    <x v="0"/>
    <m/>
    <x v="2"/>
    <n v="1005360"/>
    <m/>
    <n v="1005360"/>
    <m/>
    <m/>
    <m/>
    <s v="Product B"/>
    <s v="Client 8"/>
  </r>
  <r>
    <x v="14"/>
    <x v="1"/>
    <x v="0"/>
    <m/>
    <x v="10"/>
    <n v="564304.32000000007"/>
    <m/>
    <n v="564304.32000000007"/>
    <m/>
    <m/>
    <m/>
    <m/>
    <s v="Product B"/>
  </r>
  <r>
    <x v="14"/>
    <x v="1"/>
    <x v="0"/>
    <m/>
    <x v="12"/>
    <m/>
    <n v="564304.32000000007"/>
    <n v="-564304.32000000007"/>
    <m/>
    <m/>
    <m/>
    <m/>
    <s v="Product B"/>
  </r>
  <r>
    <x v="14"/>
    <x v="1"/>
    <x v="0"/>
    <m/>
    <x v="15"/>
    <m/>
    <n v="1005360"/>
    <n v="-1005360"/>
    <m/>
    <m/>
    <m/>
    <s v="Product B"/>
    <s v="Client 8"/>
  </r>
  <r>
    <x v="15"/>
    <x v="1"/>
    <x v="0"/>
    <m/>
    <x v="16"/>
    <n v="795212"/>
    <m/>
    <n v="795212"/>
    <m/>
    <m/>
    <m/>
    <m/>
    <m/>
  </r>
  <r>
    <x v="15"/>
    <x v="1"/>
    <x v="0"/>
    <m/>
    <x v="3"/>
    <m/>
    <n v="281426"/>
    <n v="-281426"/>
    <m/>
    <m/>
    <m/>
    <m/>
    <m/>
  </r>
  <r>
    <x v="15"/>
    <x v="1"/>
    <x v="0"/>
    <m/>
    <x v="3"/>
    <m/>
    <n v="991135"/>
    <n v="-991135"/>
    <m/>
    <m/>
    <m/>
    <m/>
    <m/>
  </r>
  <r>
    <x v="15"/>
    <x v="1"/>
    <x v="0"/>
    <m/>
    <x v="3"/>
    <m/>
    <n v="778137"/>
    <n v="-778137"/>
    <m/>
    <m/>
    <m/>
    <m/>
    <m/>
  </r>
  <r>
    <x v="15"/>
    <x v="1"/>
    <x v="0"/>
    <m/>
    <x v="3"/>
    <m/>
    <n v="795212"/>
    <n v="-795212"/>
    <m/>
    <m/>
    <m/>
    <m/>
    <m/>
  </r>
  <r>
    <x v="15"/>
    <x v="1"/>
    <x v="0"/>
    <m/>
    <x v="3"/>
    <n v="1222608"/>
    <m/>
    <n v="1222608"/>
    <m/>
    <m/>
    <m/>
    <m/>
    <m/>
  </r>
  <r>
    <x v="15"/>
    <x v="1"/>
    <x v="0"/>
    <m/>
    <x v="3"/>
    <m/>
    <n v="1223814"/>
    <n v="-1223814"/>
    <m/>
    <m/>
    <m/>
    <m/>
    <m/>
  </r>
  <r>
    <x v="15"/>
    <x v="1"/>
    <x v="0"/>
    <m/>
    <x v="17"/>
    <n v="778137"/>
    <m/>
    <n v="778137"/>
    <m/>
    <m/>
    <m/>
    <m/>
    <m/>
  </r>
  <r>
    <x v="15"/>
    <x v="1"/>
    <x v="0"/>
    <m/>
    <x v="18"/>
    <n v="1223814"/>
    <m/>
    <n v="1223814"/>
    <m/>
    <m/>
    <m/>
    <m/>
    <m/>
  </r>
  <r>
    <x v="15"/>
    <x v="1"/>
    <x v="0"/>
    <m/>
    <x v="19"/>
    <m/>
    <n v="1222608"/>
    <n v="-1222608"/>
    <m/>
    <m/>
    <m/>
    <m/>
    <m/>
  </r>
  <r>
    <x v="15"/>
    <x v="1"/>
    <x v="0"/>
    <m/>
    <x v="20"/>
    <n v="991135"/>
    <m/>
    <n v="991135"/>
    <m/>
    <m/>
    <m/>
    <m/>
    <m/>
  </r>
  <r>
    <x v="15"/>
    <x v="1"/>
    <x v="0"/>
    <m/>
    <x v="14"/>
    <n v="281426"/>
    <m/>
    <n v="281426"/>
    <m/>
    <m/>
    <m/>
    <m/>
    <m/>
  </r>
  <r>
    <x v="0"/>
    <x v="0"/>
    <x v="0"/>
    <m/>
    <x v="3"/>
    <n v="6455000"/>
    <m/>
    <n v="6455000"/>
    <m/>
    <m/>
    <m/>
    <m/>
    <m/>
  </r>
  <r>
    <x v="0"/>
    <x v="0"/>
    <x v="0"/>
    <m/>
    <x v="4"/>
    <n v="9045000"/>
    <m/>
    <n v="9045000"/>
    <m/>
    <m/>
    <m/>
    <m/>
    <m/>
  </r>
  <r>
    <x v="0"/>
    <x v="0"/>
    <x v="0"/>
    <m/>
    <x v="6"/>
    <n v="45000000"/>
    <m/>
    <n v="45000000"/>
    <m/>
    <m/>
    <m/>
    <m/>
    <m/>
  </r>
  <r>
    <x v="0"/>
    <x v="0"/>
    <x v="0"/>
    <m/>
    <x v="8"/>
    <m/>
    <n v="50000000"/>
    <n v="-50000000"/>
    <m/>
    <m/>
    <m/>
    <m/>
    <m/>
  </r>
  <r>
    <x v="0"/>
    <x v="0"/>
    <x v="0"/>
    <m/>
    <x v="9"/>
    <m/>
    <n v="10500000"/>
    <n v="-10500000"/>
    <m/>
    <m/>
    <m/>
    <m/>
    <m/>
  </r>
  <r>
    <x v="16"/>
    <x v="0"/>
    <x v="0"/>
    <m/>
    <x v="0"/>
    <m/>
    <n v="800000"/>
    <n v="-800000"/>
    <m/>
    <m/>
    <m/>
    <s v="Component 1"/>
    <s v="Supplier A"/>
  </r>
  <r>
    <x v="16"/>
    <x v="0"/>
    <x v="0"/>
    <m/>
    <x v="0"/>
    <m/>
    <n v="945000"/>
    <n v="-945000"/>
    <m/>
    <m/>
    <m/>
    <s v="Component 2"/>
    <s v="Supplier A"/>
  </r>
  <r>
    <x v="16"/>
    <x v="0"/>
    <x v="0"/>
    <m/>
    <x v="0"/>
    <m/>
    <n v="1800000"/>
    <n v="-1800000"/>
    <m/>
    <m/>
    <m/>
    <s v="Component 3"/>
    <s v="Supplier A"/>
  </r>
  <r>
    <x v="16"/>
    <x v="0"/>
    <x v="0"/>
    <m/>
    <x v="0"/>
    <m/>
    <n v="1980000"/>
    <n v="-1980000"/>
    <m/>
    <m/>
    <m/>
    <s v="Component 4"/>
    <s v="Supplier B"/>
  </r>
  <r>
    <x v="16"/>
    <x v="0"/>
    <x v="0"/>
    <m/>
    <x v="0"/>
    <m/>
    <n v="855000"/>
    <n v="-855000"/>
    <m/>
    <m/>
    <m/>
    <s v="Component 5"/>
    <s v="Supplier D"/>
  </r>
  <r>
    <x v="16"/>
    <x v="0"/>
    <x v="0"/>
    <m/>
    <x v="0"/>
    <m/>
    <n v="2192505"/>
    <n v="-2192505"/>
    <m/>
    <m/>
    <m/>
    <s v="Component 6"/>
    <s v="Supplier D"/>
  </r>
  <r>
    <x v="16"/>
    <x v="0"/>
    <x v="0"/>
    <m/>
    <x v="7"/>
    <n v="800000"/>
    <m/>
    <n v="800000"/>
    <m/>
    <m/>
    <m/>
    <s v="Component 1"/>
    <s v="Supplier A"/>
  </r>
  <r>
    <x v="16"/>
    <x v="0"/>
    <x v="0"/>
    <m/>
    <x v="7"/>
    <n v="945000"/>
    <m/>
    <n v="945000"/>
    <m/>
    <m/>
    <m/>
    <s v="Component 2"/>
    <s v="Supplier A"/>
  </r>
  <r>
    <x v="16"/>
    <x v="0"/>
    <x v="0"/>
    <m/>
    <x v="7"/>
    <n v="1800000"/>
    <m/>
    <n v="1800000"/>
    <m/>
    <m/>
    <m/>
    <s v="Component 3"/>
    <s v="Supplier A"/>
  </r>
  <r>
    <x v="16"/>
    <x v="0"/>
    <x v="0"/>
    <m/>
    <x v="7"/>
    <n v="1980000"/>
    <m/>
    <n v="1980000"/>
    <m/>
    <m/>
    <m/>
    <s v="Component 4"/>
    <s v="Supplier B"/>
  </r>
  <r>
    <x v="16"/>
    <x v="0"/>
    <x v="0"/>
    <m/>
    <x v="7"/>
    <n v="855000"/>
    <m/>
    <n v="855000"/>
    <m/>
    <m/>
    <m/>
    <s v="Component 5"/>
    <s v="Supplier D"/>
  </r>
  <r>
    <x v="16"/>
    <x v="0"/>
    <x v="0"/>
    <m/>
    <x v="7"/>
    <n v="2192505"/>
    <m/>
    <n v="2192505"/>
    <m/>
    <m/>
    <m/>
    <s v="Component 6"/>
    <s v="Supplier D"/>
  </r>
  <r>
    <x v="17"/>
    <x v="0"/>
    <x v="0"/>
    <m/>
    <x v="10"/>
    <n v="927914.8"/>
    <m/>
    <n v="927914.8"/>
    <m/>
    <m/>
    <m/>
    <s v="Supplier A"/>
    <s v="Component 1"/>
  </r>
  <r>
    <x v="17"/>
    <x v="0"/>
    <x v="0"/>
    <m/>
    <x v="10"/>
    <n v="925831.55999999982"/>
    <m/>
    <n v="925831.55999999982"/>
    <m/>
    <m/>
    <m/>
    <s v="Supplier A"/>
    <s v="Component 2"/>
  </r>
  <r>
    <x v="17"/>
    <x v="0"/>
    <x v="0"/>
    <m/>
    <x v="10"/>
    <n v="1954768.8699999999"/>
    <m/>
    <n v="1954768.8699999999"/>
    <m/>
    <m/>
    <m/>
    <s v="Supplier A"/>
    <s v="Component 3"/>
  </r>
  <r>
    <x v="17"/>
    <x v="0"/>
    <x v="0"/>
    <m/>
    <x v="10"/>
    <n v="2153616"/>
    <m/>
    <n v="2153616"/>
    <m/>
    <m/>
    <m/>
    <s v="Supplier B"/>
    <s v="Component 4"/>
  </r>
  <r>
    <x v="17"/>
    <x v="0"/>
    <x v="0"/>
    <m/>
    <x v="10"/>
    <n v="796282.75"/>
    <m/>
    <n v="796282.75"/>
    <m/>
    <m/>
    <m/>
    <s v="Supplier D"/>
    <s v="Component 5"/>
  </r>
  <r>
    <x v="17"/>
    <x v="0"/>
    <x v="0"/>
    <m/>
    <x v="10"/>
    <n v="2066008"/>
    <m/>
    <n v="2066008"/>
    <m/>
    <m/>
    <m/>
    <s v="Supplier D"/>
    <s v="Component 6"/>
  </r>
  <r>
    <x v="17"/>
    <x v="0"/>
    <x v="0"/>
    <m/>
    <x v="10"/>
    <m/>
    <n v="927914.8"/>
    <n v="-927914.8"/>
    <m/>
    <m/>
    <m/>
    <m/>
    <s v="Component 1"/>
  </r>
  <r>
    <x v="17"/>
    <x v="0"/>
    <x v="0"/>
    <m/>
    <x v="10"/>
    <m/>
    <n v="925831.55999999982"/>
    <n v="-925831.55999999982"/>
    <m/>
    <m/>
    <m/>
    <m/>
    <s v="Component 2"/>
  </r>
  <r>
    <x v="17"/>
    <x v="0"/>
    <x v="0"/>
    <m/>
    <x v="10"/>
    <m/>
    <n v="1954768.8699999999"/>
    <n v="-1954768.8699999999"/>
    <m/>
    <m/>
    <m/>
    <m/>
    <s v="Component 3"/>
  </r>
  <r>
    <x v="17"/>
    <x v="0"/>
    <x v="0"/>
    <m/>
    <x v="10"/>
    <m/>
    <n v="2153616"/>
    <n v="-2153616"/>
    <m/>
    <m/>
    <m/>
    <m/>
    <s v="Component 4"/>
  </r>
  <r>
    <x v="17"/>
    <x v="0"/>
    <x v="0"/>
    <m/>
    <x v="10"/>
    <m/>
    <n v="796282.75"/>
    <n v="-796282.75"/>
    <m/>
    <m/>
    <m/>
    <m/>
    <s v="Component 5"/>
  </r>
  <r>
    <x v="17"/>
    <x v="0"/>
    <x v="0"/>
    <m/>
    <x v="10"/>
    <m/>
    <n v="2066008"/>
    <n v="-2066008"/>
    <m/>
    <m/>
    <m/>
    <m/>
    <s v="Component 6"/>
  </r>
  <r>
    <x v="17"/>
    <x v="0"/>
    <x v="0"/>
    <m/>
    <x v="7"/>
    <m/>
    <n v="927914.8"/>
    <n v="-927914.8"/>
    <m/>
    <m/>
    <m/>
    <s v="Component 1"/>
    <s v="Supplier A"/>
  </r>
  <r>
    <x v="17"/>
    <x v="0"/>
    <x v="0"/>
    <m/>
    <x v="7"/>
    <m/>
    <n v="925831.55999999982"/>
    <n v="-925831.55999999982"/>
    <m/>
    <m/>
    <m/>
    <s v="Component 2"/>
    <s v="Supplier A"/>
  </r>
  <r>
    <x v="17"/>
    <x v="0"/>
    <x v="0"/>
    <m/>
    <x v="7"/>
    <m/>
    <n v="1954768.8699999999"/>
    <n v="-1954768.8699999999"/>
    <m/>
    <m/>
    <m/>
    <s v="Component 3"/>
    <s v="Supplier A"/>
  </r>
  <r>
    <x v="17"/>
    <x v="0"/>
    <x v="0"/>
    <m/>
    <x v="7"/>
    <m/>
    <n v="2153616"/>
    <n v="-2153616"/>
    <m/>
    <m/>
    <m/>
    <s v="Component 4"/>
    <s v="Supplier B"/>
  </r>
  <r>
    <x v="17"/>
    <x v="0"/>
    <x v="0"/>
    <m/>
    <x v="7"/>
    <m/>
    <n v="796282.75"/>
    <n v="-796282.75"/>
    <m/>
    <m/>
    <m/>
    <s v="Component 5"/>
    <s v="Supplier D"/>
  </r>
  <r>
    <x v="17"/>
    <x v="0"/>
    <x v="0"/>
    <m/>
    <x v="7"/>
    <m/>
    <n v="2066008"/>
    <n v="-2066008"/>
    <m/>
    <m/>
    <m/>
    <s v="Component 6"/>
    <s v="Supplier D"/>
  </r>
  <r>
    <x v="18"/>
    <x v="0"/>
    <x v="0"/>
    <m/>
    <x v="2"/>
    <n v="543344"/>
    <m/>
    <n v="543344"/>
    <m/>
    <m/>
    <m/>
    <s v="Product B"/>
    <s v="Client 8"/>
  </r>
  <r>
    <x v="18"/>
    <x v="0"/>
    <x v="0"/>
    <m/>
    <x v="10"/>
    <n v="397784.016"/>
    <m/>
    <n v="397784.016"/>
    <m/>
    <m/>
    <m/>
    <m/>
    <s v="Product B"/>
  </r>
  <r>
    <x v="18"/>
    <x v="0"/>
    <x v="0"/>
    <m/>
    <x v="11"/>
    <n v="4603648.2519999994"/>
    <m/>
    <n v="4603648.2519999994"/>
    <m/>
    <m/>
    <m/>
    <m/>
    <m/>
  </r>
  <r>
    <x v="18"/>
    <x v="0"/>
    <x v="0"/>
    <m/>
    <x v="12"/>
    <n v="2003314.6980000001"/>
    <m/>
    <n v="2003314.6980000001"/>
    <m/>
    <m/>
    <m/>
    <m/>
    <m/>
  </r>
  <r>
    <x v="18"/>
    <x v="0"/>
    <x v="0"/>
    <m/>
    <x v="12"/>
    <m/>
    <n v="397784.016"/>
    <n v="-397784.016"/>
    <m/>
    <m/>
    <m/>
    <m/>
    <s v="Product B"/>
  </r>
  <r>
    <x v="18"/>
    <x v="0"/>
    <x v="0"/>
    <m/>
    <x v="13"/>
    <n v="2416655.1280000005"/>
    <m/>
    <n v="2416655.1280000005"/>
    <m/>
    <m/>
    <m/>
    <m/>
    <m/>
  </r>
  <r>
    <x v="18"/>
    <x v="0"/>
    <x v="0"/>
    <m/>
    <x v="15"/>
    <m/>
    <n v="543344"/>
    <n v="-543344"/>
    <m/>
    <m/>
    <m/>
    <s v="Product B"/>
    <s v="Client 8"/>
  </r>
  <r>
    <x v="18"/>
    <x v="0"/>
    <x v="0"/>
    <m/>
    <x v="14"/>
    <m/>
    <n v="199196.098"/>
    <n v="-199196.098"/>
    <m/>
    <m/>
    <m/>
    <m/>
    <m/>
  </r>
  <r>
    <x v="19"/>
    <x v="0"/>
    <x v="0"/>
    <m/>
    <x v="10"/>
    <n v="258045.85600000003"/>
    <m/>
    <n v="258045.85600000003"/>
    <m/>
    <m/>
    <m/>
    <m/>
    <s v="Product C"/>
  </r>
  <r>
    <x v="19"/>
    <x v="0"/>
    <x v="0"/>
    <m/>
    <x v="13"/>
    <m/>
    <n v="258045.85600000003"/>
    <n v="-258045.85600000003"/>
    <m/>
    <m/>
    <m/>
    <m/>
    <s v="Product C"/>
  </r>
  <r>
    <x v="19"/>
    <x v="0"/>
    <x v="0"/>
    <m/>
    <x v="15"/>
    <m/>
    <n v="273400"/>
    <n v="-273400"/>
    <m/>
    <m/>
    <m/>
    <s v="Product C"/>
    <s v="Client 3"/>
  </r>
  <r>
    <x v="20"/>
    <x v="0"/>
    <x v="0"/>
    <m/>
    <x v="2"/>
    <n v="483771"/>
    <m/>
    <n v="483771"/>
    <m/>
    <m/>
    <m/>
    <s v="Product B"/>
    <s v="Client 6"/>
  </r>
  <r>
    <x v="20"/>
    <x v="0"/>
    <x v="0"/>
    <m/>
    <x v="10"/>
    <n v="437061.36600000004"/>
    <m/>
    <n v="437061.36600000004"/>
    <m/>
    <m/>
    <m/>
    <m/>
    <s v="Product B"/>
  </r>
  <r>
    <x v="20"/>
    <x v="0"/>
    <x v="0"/>
    <m/>
    <x v="12"/>
    <m/>
    <n v="437061.36600000004"/>
    <n v="-437061.36600000004"/>
    <m/>
    <m/>
    <m/>
    <m/>
    <s v="Product B"/>
  </r>
  <r>
    <x v="20"/>
    <x v="0"/>
    <x v="0"/>
    <m/>
    <x v="15"/>
    <m/>
    <n v="483771"/>
    <n v="-483771"/>
    <m/>
    <m/>
    <m/>
    <s v="Product B"/>
    <s v="Client 6"/>
  </r>
  <r>
    <x v="21"/>
    <x v="0"/>
    <x v="0"/>
    <m/>
    <x v="2"/>
    <n v="2424273"/>
    <m/>
    <n v="2424273"/>
    <m/>
    <m/>
    <m/>
    <s v="Product C"/>
    <s v="Client 1"/>
  </r>
  <r>
    <x v="21"/>
    <x v="0"/>
    <x v="0"/>
    <m/>
    <x v="10"/>
    <n v="2158609.2720000003"/>
    <m/>
    <n v="2158609.2720000003"/>
    <m/>
    <m/>
    <m/>
    <m/>
    <s v="Product C"/>
  </r>
  <r>
    <x v="21"/>
    <x v="0"/>
    <x v="0"/>
    <m/>
    <x v="13"/>
    <m/>
    <n v="2158609.2720000003"/>
    <n v="-2158609.2720000003"/>
    <m/>
    <m/>
    <m/>
    <m/>
    <s v="Product C"/>
  </r>
  <r>
    <x v="21"/>
    <x v="0"/>
    <x v="0"/>
    <m/>
    <x v="15"/>
    <m/>
    <n v="2424273"/>
    <n v="-2424273"/>
    <m/>
    <m/>
    <m/>
    <s v="Product C"/>
    <s v="Client 1"/>
  </r>
  <r>
    <x v="22"/>
    <x v="0"/>
    <x v="0"/>
    <m/>
    <x v="2"/>
    <n v="1348382"/>
    <m/>
    <n v="1348382"/>
    <m/>
    <m/>
    <m/>
    <s v="Product B"/>
    <s v="Client 4"/>
  </r>
  <r>
    <x v="22"/>
    <x v="0"/>
    <x v="0"/>
    <m/>
    <x v="2"/>
    <n v="1282260"/>
    <m/>
    <n v="1282260"/>
    <m/>
    <m/>
    <m/>
    <s v="Product A"/>
    <s v="Client 7"/>
  </r>
  <r>
    <x v="22"/>
    <x v="0"/>
    <x v="0"/>
    <m/>
    <x v="10"/>
    <n v="1168469.3160000001"/>
    <m/>
    <n v="1168469.3160000001"/>
    <m/>
    <m/>
    <m/>
    <m/>
    <s v="Product B"/>
  </r>
  <r>
    <x v="22"/>
    <x v="0"/>
    <x v="0"/>
    <m/>
    <x v="10"/>
    <n v="699427.22999999986"/>
    <m/>
    <n v="699427.22999999986"/>
    <m/>
    <m/>
    <m/>
    <m/>
    <s v="Product A"/>
  </r>
  <r>
    <x v="22"/>
    <x v="0"/>
    <x v="0"/>
    <m/>
    <x v="11"/>
    <m/>
    <n v="699427.22999999986"/>
    <n v="-699427.22999999986"/>
    <m/>
    <m/>
    <m/>
    <m/>
    <s v="Product A"/>
  </r>
  <r>
    <x v="22"/>
    <x v="0"/>
    <x v="0"/>
    <m/>
    <x v="12"/>
    <m/>
    <n v="1168469.3160000001"/>
    <n v="-1168469.3160000001"/>
    <m/>
    <m/>
    <m/>
    <m/>
    <s v="Product B"/>
  </r>
  <r>
    <x v="22"/>
    <x v="0"/>
    <x v="0"/>
    <m/>
    <x v="15"/>
    <m/>
    <n v="1348382"/>
    <n v="-1348382"/>
    <m/>
    <m/>
    <m/>
    <s v="Product B"/>
    <s v="Client 4"/>
  </r>
  <r>
    <x v="22"/>
    <x v="0"/>
    <x v="0"/>
    <m/>
    <x v="15"/>
    <m/>
    <n v="1282260"/>
    <n v="-1282260"/>
    <m/>
    <m/>
    <m/>
    <s v="Product A"/>
    <s v="Client 7"/>
  </r>
  <r>
    <x v="23"/>
    <x v="0"/>
    <x v="0"/>
    <m/>
    <x v="2"/>
    <n v="2014920"/>
    <m/>
    <n v="2014920"/>
    <m/>
    <m/>
    <m/>
    <s v="Product A"/>
    <s v="Client 10"/>
  </r>
  <r>
    <x v="23"/>
    <x v="0"/>
    <x v="0"/>
    <m/>
    <x v="10"/>
    <n v="1095057.5799999998"/>
    <m/>
    <n v="1095057.5799999998"/>
    <m/>
    <m/>
    <m/>
    <m/>
    <s v="Product A"/>
  </r>
  <r>
    <x v="23"/>
    <x v="0"/>
    <x v="0"/>
    <m/>
    <x v="11"/>
    <m/>
    <n v="1095057.5799999998"/>
    <n v="-1095057.5799999998"/>
    <m/>
    <m/>
    <m/>
    <m/>
    <s v="Product A"/>
  </r>
  <r>
    <x v="23"/>
    <x v="0"/>
    <x v="0"/>
    <m/>
    <x v="15"/>
    <m/>
    <n v="2014920"/>
    <n v="-2014920"/>
    <m/>
    <m/>
    <m/>
    <s v="Product A"/>
    <s v="Client 10"/>
  </r>
  <r>
    <x v="24"/>
    <x v="0"/>
    <x v="0"/>
    <m/>
    <x v="2"/>
    <n v="1025715"/>
    <m/>
    <n v="1025715"/>
    <m/>
    <m/>
    <m/>
    <s v="Product A"/>
    <s v="Client 2"/>
  </r>
  <r>
    <x v="24"/>
    <x v="0"/>
    <x v="0"/>
    <m/>
    <x v="2"/>
    <n v="1502664"/>
    <m/>
    <n v="1502664"/>
    <m/>
    <m/>
    <m/>
    <s v="Product A"/>
    <s v="Client 9"/>
  </r>
  <r>
    <x v="24"/>
    <x v="0"/>
    <x v="0"/>
    <m/>
    <x v="10"/>
    <n v="693000.87"/>
    <m/>
    <n v="693000.87"/>
    <m/>
    <m/>
    <m/>
    <m/>
    <s v="Product A"/>
  </r>
  <r>
    <x v="24"/>
    <x v="0"/>
    <x v="0"/>
    <m/>
    <x v="10"/>
    <n v="1012264.2059999998"/>
    <m/>
    <n v="1012264.2059999998"/>
    <m/>
    <m/>
    <m/>
    <m/>
    <s v="Product A"/>
  </r>
  <r>
    <x v="24"/>
    <x v="0"/>
    <x v="0"/>
    <m/>
    <x v="11"/>
    <m/>
    <n v="693000.87"/>
    <n v="-693000.87"/>
    <m/>
    <m/>
    <m/>
    <m/>
    <s v="Product A"/>
  </r>
  <r>
    <x v="24"/>
    <x v="0"/>
    <x v="0"/>
    <m/>
    <x v="11"/>
    <m/>
    <n v="1012264.2059999998"/>
    <n v="-1012264.2059999998"/>
    <m/>
    <m/>
    <m/>
    <m/>
    <s v="Product A"/>
  </r>
  <r>
    <x v="24"/>
    <x v="0"/>
    <x v="0"/>
    <m/>
    <x v="15"/>
    <m/>
    <n v="1025715"/>
    <n v="-1025715"/>
    <m/>
    <m/>
    <m/>
    <s v="Product A"/>
    <s v="Client 2"/>
  </r>
  <r>
    <x v="24"/>
    <x v="0"/>
    <x v="0"/>
    <m/>
    <x v="15"/>
    <m/>
    <n v="1502664"/>
    <n v="-1502664"/>
    <m/>
    <m/>
    <m/>
    <s v="Product A"/>
    <s v="Client 9"/>
  </r>
  <r>
    <x v="25"/>
    <x v="0"/>
    <x v="0"/>
    <m/>
    <x v="0"/>
    <n v="760000"/>
    <m/>
    <n v="760000"/>
    <m/>
    <m/>
    <m/>
    <s v="Component 1"/>
    <s v="Supplier A"/>
  </r>
  <r>
    <x v="25"/>
    <x v="0"/>
    <x v="0"/>
    <m/>
    <x v="3"/>
    <m/>
    <n v="760000"/>
    <n v="-760000"/>
    <m/>
    <m/>
    <m/>
    <s v="Component 1"/>
    <s v="Supplier A"/>
  </r>
  <r>
    <x v="26"/>
    <x v="0"/>
    <x v="0"/>
    <m/>
    <x v="2"/>
    <n v="1827738"/>
    <m/>
    <n v="1827738"/>
    <m/>
    <m/>
    <m/>
    <s v="Product A"/>
    <s v="Client 5"/>
  </r>
  <r>
    <x v="26"/>
    <x v="0"/>
    <x v="0"/>
    <m/>
    <x v="10"/>
    <n v="1103898.3660000002"/>
    <m/>
    <n v="1103898.3660000002"/>
    <m/>
    <m/>
    <m/>
    <m/>
    <s v="Product A"/>
  </r>
  <r>
    <x v="26"/>
    <x v="0"/>
    <x v="0"/>
    <m/>
    <x v="11"/>
    <m/>
    <n v="1103898.3660000002"/>
    <n v="-1103898.3660000002"/>
    <m/>
    <m/>
    <m/>
    <m/>
    <s v="Product A"/>
  </r>
  <r>
    <x v="26"/>
    <x v="0"/>
    <x v="0"/>
    <m/>
    <x v="15"/>
    <m/>
    <n v="1827738"/>
    <n v="-1827738"/>
    <m/>
    <m/>
    <m/>
    <s v="Product A"/>
    <s v="Client 5"/>
  </r>
  <r>
    <x v="19"/>
    <x v="0"/>
    <x v="0"/>
    <m/>
    <x v="2"/>
    <n v="273400"/>
    <m/>
    <n v="273400"/>
    <m/>
    <m/>
    <m/>
    <s v="Product C"/>
    <s v="Client 3"/>
  </r>
  <r>
    <x v="27"/>
    <x v="0"/>
    <x v="0"/>
    <m/>
    <x v="16"/>
    <n v="790258"/>
    <m/>
    <n v="790258"/>
    <m/>
    <m/>
    <m/>
    <m/>
    <m/>
  </r>
  <r>
    <x v="27"/>
    <x v="0"/>
    <x v="0"/>
    <m/>
    <x v="3"/>
    <m/>
    <n v="199196.098"/>
    <n v="-199196.098"/>
    <m/>
    <m/>
    <m/>
    <m/>
    <m/>
  </r>
  <r>
    <x v="27"/>
    <x v="0"/>
    <x v="0"/>
    <m/>
    <x v="3"/>
    <n v="601126"/>
    <m/>
    <n v="601126"/>
    <m/>
    <m/>
    <m/>
    <s v="Product C"/>
    <s v="Client 3"/>
  </r>
  <r>
    <x v="27"/>
    <x v="0"/>
    <x v="0"/>
    <m/>
    <x v="3"/>
    <m/>
    <n v="938597"/>
    <n v="-938597"/>
    <m/>
    <m/>
    <m/>
    <m/>
    <m/>
  </r>
  <r>
    <x v="27"/>
    <x v="0"/>
    <x v="0"/>
    <m/>
    <x v="3"/>
    <m/>
    <n v="783888"/>
    <n v="-783888"/>
    <m/>
    <m/>
    <m/>
    <m/>
    <m/>
  </r>
  <r>
    <x v="27"/>
    <x v="0"/>
    <x v="0"/>
    <m/>
    <x v="3"/>
    <m/>
    <n v="790258"/>
    <n v="-790258"/>
    <m/>
    <m/>
    <m/>
    <m/>
    <m/>
  </r>
  <r>
    <x v="27"/>
    <x v="0"/>
    <x v="0"/>
    <m/>
    <x v="3"/>
    <n v="1229651"/>
    <m/>
    <n v="1229651"/>
    <m/>
    <m/>
    <m/>
    <m/>
    <m/>
  </r>
  <r>
    <x v="27"/>
    <x v="0"/>
    <x v="0"/>
    <m/>
    <x v="3"/>
    <m/>
    <n v="1206806"/>
    <n v="-1206806"/>
    <m/>
    <m/>
    <m/>
    <m/>
    <m/>
  </r>
  <r>
    <x v="27"/>
    <x v="0"/>
    <x v="0"/>
    <m/>
    <x v="17"/>
    <n v="783888"/>
    <m/>
    <n v="783888"/>
    <m/>
    <m/>
    <m/>
    <m/>
    <m/>
  </r>
  <r>
    <x v="27"/>
    <x v="0"/>
    <x v="0"/>
    <m/>
    <x v="18"/>
    <n v="1206806"/>
    <m/>
    <n v="1206806"/>
    <m/>
    <m/>
    <m/>
    <m/>
    <m/>
  </r>
  <r>
    <x v="27"/>
    <x v="0"/>
    <x v="0"/>
    <m/>
    <x v="19"/>
    <m/>
    <n v="1229651"/>
    <n v="-1229651"/>
    <m/>
    <m/>
    <m/>
    <m/>
    <m/>
  </r>
  <r>
    <x v="27"/>
    <x v="0"/>
    <x v="0"/>
    <m/>
    <x v="20"/>
    <n v="938597"/>
    <m/>
    <n v="938597"/>
    <m/>
    <m/>
    <m/>
    <m/>
    <m/>
  </r>
  <r>
    <x v="27"/>
    <x v="0"/>
    <x v="0"/>
    <m/>
    <x v="14"/>
    <n v="199196.098"/>
    <m/>
    <n v="199196.098"/>
    <m/>
    <m/>
    <m/>
    <m/>
    <m/>
  </r>
  <r>
    <x v="28"/>
    <x v="3"/>
    <x v="0"/>
    <m/>
    <x v="2"/>
    <m/>
    <n v="644640"/>
    <n v="-644640"/>
    <m/>
    <m/>
    <m/>
    <s v="Product B"/>
    <s v="Client 4"/>
  </r>
  <r>
    <x v="28"/>
    <x v="3"/>
    <x v="0"/>
    <m/>
    <x v="3"/>
    <n v="644640"/>
    <m/>
    <n v="644640"/>
    <m/>
    <m/>
    <m/>
    <s v="Product B"/>
    <s v="Client 4"/>
  </r>
  <r>
    <x v="28"/>
    <x v="3"/>
    <x v="0"/>
    <m/>
    <x v="3"/>
    <n v="6455000"/>
    <m/>
    <n v="6455000"/>
    <m/>
    <m/>
    <m/>
    <m/>
    <m/>
  </r>
  <r>
    <x v="28"/>
    <x v="3"/>
    <x v="0"/>
    <m/>
    <x v="4"/>
    <n v="9045000"/>
    <m/>
    <n v="9045000"/>
    <m/>
    <m/>
    <m/>
    <m/>
    <m/>
  </r>
  <r>
    <x v="28"/>
    <x v="3"/>
    <x v="0"/>
    <m/>
    <x v="6"/>
    <n v="45000000"/>
    <m/>
    <n v="45000000"/>
    <m/>
    <m/>
    <m/>
    <m/>
    <m/>
  </r>
  <r>
    <x v="28"/>
    <x v="3"/>
    <x v="0"/>
    <m/>
    <x v="8"/>
    <m/>
    <n v="50000000"/>
    <n v="-50000000"/>
    <m/>
    <m/>
    <m/>
    <m/>
    <m/>
  </r>
  <r>
    <x v="28"/>
    <x v="3"/>
    <x v="0"/>
    <m/>
    <x v="9"/>
    <m/>
    <n v="10500000"/>
    <n v="-10500000"/>
    <m/>
    <m/>
    <m/>
    <m/>
    <m/>
  </r>
  <r>
    <x v="29"/>
    <x v="3"/>
    <x v="0"/>
    <m/>
    <x v="0"/>
    <m/>
    <n v="760000"/>
    <n v="-760000"/>
    <m/>
    <m/>
    <m/>
    <s v="Component 1"/>
    <s v="Supplier A"/>
  </r>
  <r>
    <x v="29"/>
    <x v="3"/>
    <x v="0"/>
    <m/>
    <x v="0"/>
    <m/>
    <n v="855000"/>
    <n v="-855000"/>
    <m/>
    <m/>
    <m/>
    <s v="Component 2"/>
    <s v="Supplier A"/>
  </r>
  <r>
    <x v="29"/>
    <x v="3"/>
    <x v="0"/>
    <m/>
    <x v="0"/>
    <m/>
    <n v="2000000"/>
    <n v="-2000000"/>
    <m/>
    <m/>
    <m/>
    <s v="Component 3"/>
    <s v="Supplier A"/>
  </r>
  <r>
    <x v="29"/>
    <x v="3"/>
    <x v="0"/>
    <m/>
    <x v="0"/>
    <m/>
    <n v="1980000"/>
    <n v="-1980000"/>
    <m/>
    <m/>
    <m/>
    <s v="Component 4"/>
    <s v="Supplier B"/>
  </r>
  <r>
    <x v="29"/>
    <x v="3"/>
    <x v="0"/>
    <m/>
    <x v="0"/>
    <m/>
    <n v="1020000"/>
    <n v="-1020000"/>
    <m/>
    <m/>
    <m/>
    <s v="Component 5"/>
    <s v="Supplier D"/>
  </r>
  <r>
    <x v="29"/>
    <x v="3"/>
    <x v="0"/>
    <m/>
    <x v="0"/>
    <m/>
    <n v="3300000"/>
    <n v="-3300000"/>
    <m/>
    <m/>
    <m/>
    <s v="Component 6"/>
    <s v="Supplier D"/>
  </r>
  <r>
    <x v="29"/>
    <x v="3"/>
    <x v="0"/>
    <m/>
    <x v="7"/>
    <n v="760000"/>
    <m/>
    <n v="760000"/>
    <m/>
    <m/>
    <m/>
    <s v="Component 1"/>
    <s v="Supplier A"/>
  </r>
  <r>
    <x v="29"/>
    <x v="3"/>
    <x v="0"/>
    <m/>
    <x v="7"/>
    <n v="855000"/>
    <m/>
    <n v="855000"/>
    <m/>
    <m/>
    <m/>
    <s v="Component 2"/>
    <s v="Supplier A"/>
  </r>
  <r>
    <x v="29"/>
    <x v="3"/>
    <x v="0"/>
    <m/>
    <x v="7"/>
    <n v="2000000"/>
    <m/>
    <n v="2000000"/>
    <m/>
    <m/>
    <m/>
    <s v="Component 3"/>
    <s v="Supplier A"/>
  </r>
  <r>
    <x v="29"/>
    <x v="3"/>
    <x v="0"/>
    <m/>
    <x v="7"/>
    <n v="1980000"/>
    <m/>
    <n v="1980000"/>
    <m/>
    <m/>
    <m/>
    <s v="Component 4"/>
    <s v="Supplier B"/>
  </r>
  <r>
    <x v="29"/>
    <x v="3"/>
    <x v="0"/>
    <m/>
    <x v="7"/>
    <n v="1020000"/>
    <m/>
    <n v="1020000"/>
    <m/>
    <m/>
    <m/>
    <s v="Component 5"/>
    <s v="Supplier D"/>
  </r>
  <r>
    <x v="29"/>
    <x v="3"/>
    <x v="0"/>
    <m/>
    <x v="7"/>
    <n v="3300000"/>
    <m/>
    <n v="3300000"/>
    <m/>
    <m/>
    <m/>
    <s v="Component 6"/>
    <s v="Supplier D"/>
  </r>
  <r>
    <x v="30"/>
    <x v="3"/>
    <x v="0"/>
    <m/>
    <x v="10"/>
    <n v="404875.6"/>
    <m/>
    <n v="404875.6"/>
    <m/>
    <m/>
    <m/>
    <s v="Supplier A"/>
    <s v="Component 1"/>
  </r>
  <r>
    <x v="30"/>
    <x v="3"/>
    <x v="0"/>
    <m/>
    <x v="10"/>
    <n v="830798.7"/>
    <m/>
    <n v="830798.7"/>
    <m/>
    <m/>
    <m/>
    <s v="Supplier A"/>
    <s v="Component 2"/>
  </r>
  <r>
    <x v="30"/>
    <x v="3"/>
    <x v="0"/>
    <m/>
    <x v="10"/>
    <n v="2022844.58"/>
    <m/>
    <n v="2022844.58"/>
    <m/>
    <m/>
    <m/>
    <s v="Supplier A"/>
    <s v="Component 3"/>
  </r>
  <r>
    <x v="30"/>
    <x v="3"/>
    <x v="0"/>
    <m/>
    <x v="10"/>
    <n v="955314"/>
    <m/>
    <n v="955314"/>
    <m/>
    <m/>
    <m/>
    <s v="Supplier B"/>
    <s v="Component 4"/>
  </r>
  <r>
    <x v="30"/>
    <x v="3"/>
    <x v="0"/>
    <m/>
    <x v="10"/>
    <n v="998481.35"/>
    <m/>
    <n v="998481.35"/>
    <m/>
    <m/>
    <m/>
    <s v="Supplier D"/>
    <s v="Component 5"/>
  </r>
  <r>
    <x v="30"/>
    <x v="3"/>
    <x v="0"/>
    <m/>
    <x v="10"/>
    <n v="2980589"/>
    <m/>
    <n v="2980589"/>
    <m/>
    <m/>
    <m/>
    <s v="Supplier D"/>
    <s v="Component 6"/>
  </r>
  <r>
    <x v="30"/>
    <x v="3"/>
    <x v="0"/>
    <m/>
    <x v="10"/>
    <m/>
    <n v="404875.6"/>
    <n v="-404875.6"/>
    <m/>
    <m/>
    <m/>
    <m/>
    <s v="Component 1"/>
  </r>
  <r>
    <x v="30"/>
    <x v="3"/>
    <x v="0"/>
    <m/>
    <x v="10"/>
    <m/>
    <n v="830798.7"/>
    <n v="-830798.7"/>
    <m/>
    <m/>
    <m/>
    <m/>
    <s v="Component 2"/>
  </r>
  <r>
    <x v="30"/>
    <x v="3"/>
    <x v="0"/>
    <m/>
    <x v="10"/>
    <m/>
    <n v="2022844.58"/>
    <n v="-2022844.58"/>
    <m/>
    <m/>
    <m/>
    <m/>
    <s v="Component 3"/>
  </r>
  <r>
    <x v="30"/>
    <x v="3"/>
    <x v="0"/>
    <m/>
    <x v="10"/>
    <m/>
    <n v="955314"/>
    <n v="-955314"/>
    <m/>
    <m/>
    <m/>
    <m/>
    <s v="Component 4"/>
  </r>
  <r>
    <x v="30"/>
    <x v="3"/>
    <x v="0"/>
    <m/>
    <x v="10"/>
    <m/>
    <n v="998481.35"/>
    <n v="-998481.35"/>
    <m/>
    <m/>
    <m/>
    <m/>
    <s v="Component 5"/>
  </r>
  <r>
    <x v="30"/>
    <x v="3"/>
    <x v="0"/>
    <m/>
    <x v="10"/>
    <m/>
    <n v="2980589"/>
    <n v="-2980589"/>
    <m/>
    <m/>
    <m/>
    <m/>
    <s v="Component 6"/>
  </r>
  <r>
    <x v="30"/>
    <x v="3"/>
    <x v="0"/>
    <m/>
    <x v="7"/>
    <m/>
    <n v="404875.6"/>
    <n v="-404875.6"/>
    <m/>
    <m/>
    <m/>
    <s v="Component 1"/>
    <s v="Supplier A"/>
  </r>
  <r>
    <x v="30"/>
    <x v="3"/>
    <x v="0"/>
    <m/>
    <x v="7"/>
    <m/>
    <n v="830798.7"/>
    <n v="-830798.7"/>
    <m/>
    <m/>
    <m/>
    <s v="Component 2"/>
    <s v="Supplier A"/>
  </r>
  <r>
    <x v="30"/>
    <x v="3"/>
    <x v="0"/>
    <m/>
    <x v="7"/>
    <m/>
    <n v="2022844.58"/>
    <n v="-2022844.58"/>
    <m/>
    <m/>
    <m/>
    <s v="Component 3"/>
    <s v="Supplier A"/>
  </r>
  <r>
    <x v="30"/>
    <x v="3"/>
    <x v="0"/>
    <m/>
    <x v="7"/>
    <m/>
    <n v="955314"/>
    <n v="-955314"/>
    <m/>
    <m/>
    <m/>
    <s v="Component 4"/>
    <s v="Supplier B"/>
  </r>
  <r>
    <x v="30"/>
    <x v="3"/>
    <x v="0"/>
    <m/>
    <x v="7"/>
    <m/>
    <n v="998481.35"/>
    <n v="-998481.35"/>
    <m/>
    <m/>
    <m/>
    <s v="Component 5"/>
    <s v="Supplier D"/>
  </r>
  <r>
    <x v="30"/>
    <x v="3"/>
    <x v="0"/>
    <m/>
    <x v="7"/>
    <m/>
    <n v="2980589"/>
    <n v="-2980589"/>
    <m/>
    <m/>
    <m/>
    <s v="Component 6"/>
    <s v="Supplier D"/>
  </r>
  <r>
    <x v="31"/>
    <x v="3"/>
    <x v="0"/>
    <m/>
    <x v="2"/>
    <m/>
    <n v="1110474"/>
    <n v="-1110474"/>
    <m/>
    <m/>
    <m/>
    <s v="Product A"/>
    <s v="Client 10"/>
  </r>
  <r>
    <x v="31"/>
    <x v="3"/>
    <x v="0"/>
    <m/>
    <x v="3"/>
    <n v="1110474"/>
    <m/>
    <n v="1110474"/>
    <m/>
    <m/>
    <m/>
    <s v="Product A"/>
    <s v="Client 10"/>
  </r>
  <r>
    <x v="31"/>
    <x v="3"/>
    <x v="0"/>
    <m/>
    <x v="11"/>
    <n v="2144872.1059999983"/>
    <m/>
    <n v="2144872.1059999983"/>
    <m/>
    <m/>
    <m/>
    <m/>
    <m/>
  </r>
  <r>
    <x v="31"/>
    <x v="3"/>
    <x v="0"/>
    <m/>
    <x v="12"/>
    <n v="2357264.1300000004"/>
    <m/>
    <n v="2357264.1300000004"/>
    <m/>
    <m/>
    <m/>
    <m/>
    <m/>
  </r>
  <r>
    <x v="31"/>
    <x v="3"/>
    <x v="0"/>
    <m/>
    <x v="13"/>
    <n v="3906411.9960000003"/>
    <m/>
    <n v="3906411.9960000003"/>
    <m/>
    <m/>
    <m/>
    <m/>
    <m/>
  </r>
  <r>
    <x v="31"/>
    <x v="3"/>
    <x v="0"/>
    <m/>
    <x v="14"/>
    <m/>
    <n v="215645.00200000001"/>
    <n v="-215645.00200000001"/>
    <m/>
    <m/>
    <m/>
    <m/>
    <m/>
  </r>
  <r>
    <x v="32"/>
    <x v="3"/>
    <x v="0"/>
    <m/>
    <x v="2"/>
    <n v="664416"/>
    <m/>
    <n v="664416"/>
    <m/>
    <m/>
    <m/>
    <s v="Product A"/>
    <s v="Client 9"/>
  </r>
  <r>
    <x v="32"/>
    <x v="3"/>
    <x v="0"/>
    <m/>
    <x v="10"/>
    <n v="561297.59066666604"/>
    <m/>
    <n v="561297.59066666604"/>
    <m/>
    <m/>
    <m/>
    <m/>
    <s v="Product A"/>
  </r>
  <r>
    <x v="32"/>
    <x v="3"/>
    <x v="0"/>
    <m/>
    <x v="11"/>
    <m/>
    <n v="561297.59066666604"/>
    <n v="-561297.59066666604"/>
    <m/>
    <m/>
    <m/>
    <m/>
    <s v="Product A"/>
  </r>
  <r>
    <x v="32"/>
    <x v="3"/>
    <x v="0"/>
    <m/>
    <x v="15"/>
    <m/>
    <n v="664416"/>
    <n v="-664416"/>
    <m/>
    <m/>
    <m/>
    <s v="Product A"/>
    <s v="Client 9"/>
  </r>
  <r>
    <x v="33"/>
    <x v="3"/>
    <x v="0"/>
    <m/>
    <x v="0"/>
    <n v="810000"/>
    <m/>
    <n v="810000"/>
    <m/>
    <m/>
    <m/>
    <s v="Component 2"/>
    <s v="Supplier A"/>
  </r>
  <r>
    <x v="33"/>
    <x v="3"/>
    <x v="0"/>
    <m/>
    <x v="2"/>
    <n v="585872"/>
    <m/>
    <n v="585872"/>
    <m/>
    <m/>
    <m/>
    <s v="Product B"/>
    <s v="Client 6"/>
  </r>
  <r>
    <x v="33"/>
    <x v="3"/>
    <x v="0"/>
    <m/>
    <x v="3"/>
    <m/>
    <n v="810000"/>
    <n v="-810000"/>
    <m/>
    <m/>
    <m/>
    <s v="Component 2"/>
    <s v="Supplier A"/>
  </r>
  <r>
    <x v="33"/>
    <x v="3"/>
    <x v="0"/>
    <m/>
    <x v="10"/>
    <n v="451142.36400000006"/>
    <m/>
    <n v="451142.36400000006"/>
    <m/>
    <m/>
    <m/>
    <m/>
    <s v="Product B"/>
  </r>
  <r>
    <x v="33"/>
    <x v="3"/>
    <x v="0"/>
    <m/>
    <x v="12"/>
    <m/>
    <n v="451142.36400000006"/>
    <n v="-451142.36400000006"/>
    <m/>
    <m/>
    <m/>
    <m/>
    <s v="Product B"/>
  </r>
  <r>
    <x v="33"/>
    <x v="3"/>
    <x v="0"/>
    <m/>
    <x v="15"/>
    <m/>
    <n v="585872"/>
    <n v="-585872"/>
    <m/>
    <m/>
    <m/>
    <s v="Product B"/>
    <s v="Client 6"/>
  </r>
  <r>
    <x v="27"/>
    <x v="0"/>
    <x v="0"/>
    <m/>
    <x v="2"/>
    <m/>
    <n v="601126"/>
    <n v="-601126"/>
    <m/>
    <m/>
    <m/>
    <s v="Product C"/>
    <s v="Client 3"/>
  </r>
  <r>
    <x v="34"/>
    <x v="3"/>
    <x v="0"/>
    <m/>
    <x v="10"/>
    <n v="826197.97200000007"/>
    <m/>
    <n v="826197.97200000007"/>
    <m/>
    <m/>
    <m/>
    <m/>
    <s v="Product C"/>
  </r>
  <r>
    <x v="34"/>
    <x v="3"/>
    <x v="0"/>
    <m/>
    <x v="13"/>
    <m/>
    <n v="826197.97200000007"/>
    <n v="-826197.97200000007"/>
    <m/>
    <m/>
    <m/>
    <m/>
    <s v="Product C"/>
  </r>
  <r>
    <x v="34"/>
    <x v="3"/>
    <x v="0"/>
    <m/>
    <x v="15"/>
    <m/>
    <n v="1217721"/>
    <n v="-1217721"/>
    <m/>
    <m/>
    <m/>
    <s v="Product C"/>
    <s v="Client 3"/>
  </r>
  <r>
    <x v="35"/>
    <x v="3"/>
    <x v="0"/>
    <m/>
    <x v="2"/>
    <n v="3772578"/>
    <m/>
    <n v="3772578"/>
    <m/>
    <m/>
    <m/>
    <s v="Product C"/>
    <s v="Client 1"/>
  </r>
  <r>
    <x v="35"/>
    <x v="3"/>
    <x v="0"/>
    <m/>
    <x v="2"/>
    <n v="446978"/>
    <m/>
    <n v="446978"/>
    <m/>
    <m/>
    <m/>
    <s v="Product A"/>
    <s v="Client 7"/>
  </r>
  <r>
    <x v="35"/>
    <x v="3"/>
    <x v="0"/>
    <m/>
    <x v="2"/>
    <n v="372166"/>
    <m/>
    <n v="372166"/>
    <m/>
    <m/>
    <m/>
    <s v="Product A"/>
    <s v="Client 10"/>
  </r>
  <r>
    <x v="35"/>
    <x v="3"/>
    <x v="0"/>
    <m/>
    <x v="10"/>
    <n v="3080214.0240000002"/>
    <m/>
    <n v="3080214.0240000002"/>
    <m/>
    <m/>
    <m/>
    <m/>
    <s v="Product C"/>
  </r>
  <r>
    <x v="35"/>
    <x v="3"/>
    <x v="0"/>
    <m/>
    <x v="10"/>
    <n v="372865.75066666602"/>
    <m/>
    <n v="372865.75066666602"/>
    <m/>
    <m/>
    <m/>
    <m/>
    <s v="Product A"/>
  </r>
  <r>
    <x v="35"/>
    <x v="3"/>
    <x v="0"/>
    <m/>
    <x v="10"/>
    <n v="289029.55066666601"/>
    <m/>
    <n v="289029.55066666601"/>
    <m/>
    <m/>
    <m/>
    <m/>
    <s v="Product A"/>
  </r>
  <r>
    <x v="35"/>
    <x v="3"/>
    <x v="0"/>
    <m/>
    <x v="11"/>
    <m/>
    <n v="372865.75066666602"/>
    <n v="-372865.75066666602"/>
    <m/>
    <m/>
    <m/>
    <m/>
    <s v="Product A"/>
  </r>
  <r>
    <x v="35"/>
    <x v="3"/>
    <x v="0"/>
    <m/>
    <x v="11"/>
    <m/>
    <n v="289029.55066666601"/>
    <n v="-289029.55066666601"/>
    <m/>
    <m/>
    <m/>
    <m/>
    <s v="Product A"/>
  </r>
  <r>
    <x v="35"/>
    <x v="3"/>
    <x v="0"/>
    <m/>
    <x v="13"/>
    <m/>
    <n v="3080214.0240000002"/>
    <n v="-3080214.0240000002"/>
    <m/>
    <m/>
    <m/>
    <m/>
    <s v="Product C"/>
  </r>
  <r>
    <x v="35"/>
    <x v="3"/>
    <x v="0"/>
    <m/>
    <x v="15"/>
    <m/>
    <n v="3772578"/>
    <n v="-3772578"/>
    <m/>
    <m/>
    <m/>
    <s v="Product C"/>
    <s v="Client 1"/>
  </r>
  <r>
    <x v="35"/>
    <x v="3"/>
    <x v="0"/>
    <m/>
    <x v="15"/>
    <m/>
    <n v="446978"/>
    <n v="-446978"/>
    <m/>
    <m/>
    <m/>
    <s v="Product A"/>
    <s v="Client 7"/>
  </r>
  <r>
    <x v="35"/>
    <x v="3"/>
    <x v="0"/>
    <m/>
    <x v="15"/>
    <m/>
    <n v="372166"/>
    <n v="-372166"/>
    <m/>
    <m/>
    <m/>
    <s v="Product A"/>
    <s v="Client 10"/>
  </r>
  <r>
    <x v="36"/>
    <x v="3"/>
    <x v="0"/>
    <m/>
    <x v="2"/>
    <n v="421857"/>
    <m/>
    <n v="421857"/>
    <m/>
    <m/>
    <m/>
    <s v="Product A"/>
    <s v="Client 5"/>
  </r>
  <r>
    <x v="36"/>
    <x v="3"/>
    <x v="0"/>
    <m/>
    <x v="10"/>
    <n v="295462.72200000001"/>
    <m/>
    <n v="295462.72200000001"/>
    <m/>
    <m/>
    <m/>
    <m/>
    <s v="Product A"/>
  </r>
  <r>
    <x v="36"/>
    <x v="3"/>
    <x v="0"/>
    <m/>
    <x v="11"/>
    <m/>
    <n v="295462.72200000001"/>
    <n v="-295462.72200000001"/>
    <m/>
    <m/>
    <m/>
    <m/>
    <s v="Product A"/>
  </r>
  <r>
    <x v="36"/>
    <x v="3"/>
    <x v="0"/>
    <m/>
    <x v="15"/>
    <m/>
    <n v="421857"/>
    <n v="-421857"/>
    <m/>
    <m/>
    <m/>
    <s v="Product A"/>
    <s v="Client 5"/>
  </r>
  <r>
    <x v="37"/>
    <x v="3"/>
    <x v="0"/>
    <m/>
    <x v="2"/>
    <n v="861150"/>
    <m/>
    <n v="861150"/>
    <m/>
    <m/>
    <m/>
    <s v="Product B"/>
    <s v="Client 4"/>
  </r>
  <r>
    <x v="37"/>
    <x v="3"/>
    <x v="0"/>
    <m/>
    <x v="10"/>
    <n v="742690.20600000012"/>
    <m/>
    <n v="742690.20600000012"/>
    <m/>
    <m/>
    <m/>
    <m/>
    <s v="Product B"/>
  </r>
  <r>
    <x v="37"/>
    <x v="3"/>
    <x v="0"/>
    <m/>
    <x v="12"/>
    <m/>
    <n v="742690.20600000012"/>
    <n v="-742690.20600000012"/>
    <m/>
    <m/>
    <m/>
    <m/>
    <s v="Product B"/>
  </r>
  <r>
    <x v="37"/>
    <x v="3"/>
    <x v="0"/>
    <m/>
    <x v="15"/>
    <m/>
    <n v="861150"/>
    <n v="-861150"/>
    <m/>
    <m/>
    <m/>
    <s v="Product B"/>
    <s v="Client 4"/>
  </r>
  <r>
    <x v="38"/>
    <x v="3"/>
    <x v="0"/>
    <m/>
    <x v="0"/>
    <n v="800000"/>
    <m/>
    <n v="800000"/>
    <m/>
    <m/>
    <m/>
    <s v="Component 1"/>
    <s v="Supplier A"/>
  </r>
  <r>
    <x v="38"/>
    <x v="3"/>
    <x v="0"/>
    <m/>
    <x v="3"/>
    <m/>
    <n v="800000"/>
    <n v="-800000"/>
    <m/>
    <m/>
    <m/>
    <s v="Component 1"/>
    <s v="Supplier A"/>
  </r>
  <r>
    <x v="39"/>
    <x v="3"/>
    <x v="0"/>
    <m/>
    <x v="2"/>
    <n v="1402960"/>
    <m/>
    <n v="1402960"/>
    <m/>
    <m/>
    <m/>
    <s v="Product B"/>
    <s v="Client 8"/>
  </r>
  <r>
    <x v="39"/>
    <x v="3"/>
    <x v="0"/>
    <m/>
    <x v="10"/>
    <n v="1163431.5600000003"/>
    <m/>
    <n v="1163431.5600000003"/>
    <m/>
    <m/>
    <m/>
    <m/>
    <s v="Product B"/>
  </r>
  <r>
    <x v="39"/>
    <x v="3"/>
    <x v="0"/>
    <m/>
    <x v="12"/>
    <m/>
    <n v="1163431.5600000003"/>
    <n v="-1163431.5600000003"/>
    <m/>
    <m/>
    <m/>
    <m/>
    <s v="Product B"/>
  </r>
  <r>
    <x v="39"/>
    <x v="3"/>
    <x v="0"/>
    <m/>
    <x v="15"/>
    <m/>
    <n v="1402960"/>
    <n v="-1402960"/>
    <m/>
    <m/>
    <m/>
    <s v="Product B"/>
    <s v="Client 8"/>
  </r>
  <r>
    <x v="40"/>
    <x v="3"/>
    <x v="0"/>
    <m/>
    <x v="0"/>
    <n v="1980000"/>
    <m/>
    <n v="1980000"/>
    <m/>
    <m/>
    <m/>
    <s v="Component 4"/>
    <s v="Supplier B"/>
  </r>
  <r>
    <x v="40"/>
    <x v="3"/>
    <x v="0"/>
    <m/>
    <x v="3"/>
    <m/>
    <n v="1980000"/>
    <n v="-1980000"/>
    <m/>
    <m/>
    <m/>
    <s v="Component 4"/>
    <s v="Supplier B"/>
  </r>
  <r>
    <x v="41"/>
    <x v="3"/>
    <x v="0"/>
    <m/>
    <x v="0"/>
    <n v="2310000"/>
    <m/>
    <n v="2310000"/>
    <m/>
    <m/>
    <m/>
    <s v="Component 4"/>
    <s v="Supplier B"/>
  </r>
  <r>
    <x v="41"/>
    <x v="3"/>
    <x v="0"/>
    <m/>
    <x v="3"/>
    <m/>
    <n v="2310000"/>
    <n v="-2310000"/>
    <m/>
    <m/>
    <m/>
    <s v="Component 4"/>
    <s v="Supplier B"/>
  </r>
  <r>
    <x v="42"/>
    <x v="3"/>
    <x v="0"/>
    <m/>
    <x v="0"/>
    <n v="945000"/>
    <m/>
    <n v="945000"/>
    <m/>
    <m/>
    <m/>
    <s v="Component 2"/>
    <s v="Supplier A"/>
  </r>
  <r>
    <x v="42"/>
    <x v="3"/>
    <x v="0"/>
    <m/>
    <x v="2"/>
    <n v="1050962"/>
    <m/>
    <n v="1050962"/>
    <m/>
    <m/>
    <m/>
    <s v="Product A"/>
    <s v="Client 2"/>
  </r>
  <r>
    <x v="42"/>
    <x v="3"/>
    <x v="0"/>
    <m/>
    <x v="2"/>
    <m/>
    <n v="1502664"/>
    <n v="-1502664"/>
    <m/>
    <m/>
    <m/>
    <s v="Product A"/>
    <s v="Client 9"/>
  </r>
  <r>
    <x v="42"/>
    <x v="3"/>
    <x v="0"/>
    <m/>
    <x v="3"/>
    <m/>
    <n v="945000"/>
    <n v="-945000"/>
    <m/>
    <m/>
    <m/>
    <s v="Component 2"/>
    <s v="Supplier A"/>
  </r>
  <r>
    <x v="42"/>
    <x v="3"/>
    <x v="0"/>
    <m/>
    <x v="3"/>
    <n v="1502664"/>
    <m/>
    <n v="1502664"/>
    <m/>
    <m/>
    <m/>
    <s v="Product A"/>
    <s v="Client 9"/>
  </r>
  <r>
    <x v="42"/>
    <x v="3"/>
    <x v="0"/>
    <m/>
    <x v="10"/>
    <n v="626216.49200000009"/>
    <m/>
    <n v="626216.49200000009"/>
    <m/>
    <m/>
    <m/>
    <m/>
    <s v="Product A"/>
  </r>
  <r>
    <x v="42"/>
    <x v="3"/>
    <x v="0"/>
    <m/>
    <x v="11"/>
    <m/>
    <n v="626216.49200000009"/>
    <n v="-626216.49200000009"/>
    <m/>
    <m/>
    <m/>
    <m/>
    <s v="Product A"/>
  </r>
  <r>
    <x v="42"/>
    <x v="3"/>
    <x v="0"/>
    <m/>
    <x v="15"/>
    <m/>
    <n v="1050962"/>
    <n v="-1050962"/>
    <m/>
    <m/>
    <m/>
    <s v="Product A"/>
    <s v="Client 2"/>
  </r>
  <r>
    <x v="43"/>
    <x v="3"/>
    <x v="0"/>
    <m/>
    <x v="0"/>
    <n v="1983695"/>
    <m/>
    <n v="1983695"/>
    <m/>
    <m/>
    <m/>
    <s v="Component 6"/>
    <s v="Supplier D"/>
  </r>
  <r>
    <x v="43"/>
    <x v="3"/>
    <x v="0"/>
    <m/>
    <x v="3"/>
    <m/>
    <n v="1983695"/>
    <n v="-1983695"/>
    <m/>
    <m/>
    <m/>
    <s v="Component 6"/>
    <s v="Supplier D"/>
  </r>
  <r>
    <x v="44"/>
    <x v="3"/>
    <x v="0"/>
    <m/>
    <x v="2"/>
    <m/>
    <n v="550988"/>
    <n v="-550988"/>
    <m/>
    <m/>
    <m/>
    <s v="Product B"/>
    <s v="Client 6"/>
  </r>
  <r>
    <x v="44"/>
    <x v="3"/>
    <x v="0"/>
    <m/>
    <x v="16"/>
    <n v="802157"/>
    <m/>
    <n v="802157"/>
    <m/>
    <m/>
    <m/>
    <m/>
    <m/>
  </r>
  <r>
    <x v="44"/>
    <x v="3"/>
    <x v="0"/>
    <m/>
    <x v="3"/>
    <m/>
    <n v="215645.00200000001"/>
    <n v="-215645.00200000001"/>
    <m/>
    <m/>
    <m/>
    <m/>
    <m/>
  </r>
  <r>
    <x v="44"/>
    <x v="3"/>
    <x v="0"/>
    <m/>
    <x v="3"/>
    <n v="550988"/>
    <m/>
    <n v="550988"/>
    <m/>
    <m/>
    <m/>
    <s v="Product B"/>
    <s v="Client 6"/>
  </r>
  <r>
    <x v="44"/>
    <x v="3"/>
    <x v="0"/>
    <m/>
    <x v="3"/>
    <m/>
    <n v="1007206"/>
    <n v="-1007206"/>
    <m/>
    <m/>
    <m/>
    <m/>
    <m/>
  </r>
  <r>
    <x v="44"/>
    <x v="3"/>
    <x v="0"/>
    <m/>
    <x v="3"/>
    <m/>
    <n v="804347"/>
    <n v="-804347"/>
    <m/>
    <m/>
    <m/>
    <m/>
    <m/>
  </r>
  <r>
    <x v="44"/>
    <x v="3"/>
    <x v="0"/>
    <m/>
    <x v="3"/>
    <m/>
    <n v="802157"/>
    <n v="-802157"/>
    <m/>
    <m/>
    <m/>
    <m/>
    <m/>
  </r>
  <r>
    <x v="44"/>
    <x v="3"/>
    <x v="0"/>
    <m/>
    <x v="3"/>
    <n v="1211408"/>
    <m/>
    <n v="1211408"/>
    <m/>
    <m/>
    <m/>
    <m/>
    <m/>
  </r>
  <r>
    <x v="44"/>
    <x v="3"/>
    <x v="0"/>
    <m/>
    <x v="3"/>
    <m/>
    <n v="1206834"/>
    <n v="-1206834"/>
    <m/>
    <m/>
    <m/>
    <m/>
    <m/>
  </r>
  <r>
    <x v="44"/>
    <x v="3"/>
    <x v="0"/>
    <m/>
    <x v="17"/>
    <n v="804347"/>
    <m/>
    <n v="804347"/>
    <m/>
    <m/>
    <m/>
    <m/>
    <m/>
  </r>
  <r>
    <x v="44"/>
    <x v="3"/>
    <x v="0"/>
    <m/>
    <x v="18"/>
    <n v="1206834"/>
    <m/>
    <n v="1206834"/>
    <m/>
    <m/>
    <m/>
    <m/>
    <m/>
  </r>
  <r>
    <x v="44"/>
    <x v="3"/>
    <x v="0"/>
    <m/>
    <x v="19"/>
    <m/>
    <n v="1211408"/>
    <n v="-1211408"/>
    <m/>
    <m/>
    <m/>
    <m/>
    <m/>
  </r>
  <r>
    <x v="44"/>
    <x v="3"/>
    <x v="0"/>
    <m/>
    <x v="20"/>
    <n v="1007206"/>
    <m/>
    <n v="1007206"/>
    <m/>
    <m/>
    <m/>
    <m/>
    <m/>
  </r>
  <r>
    <x v="44"/>
    <x v="3"/>
    <x v="0"/>
    <m/>
    <x v="14"/>
    <n v="215645.00200000001"/>
    <m/>
    <n v="215645.00200000001"/>
    <m/>
    <m/>
    <m/>
    <m/>
    <m/>
  </r>
  <r>
    <x v="45"/>
    <x v="2"/>
    <x v="0"/>
    <m/>
    <x v="3"/>
    <n v="6455000"/>
    <m/>
    <n v="6455000"/>
    <m/>
    <m/>
    <m/>
    <m/>
    <m/>
  </r>
  <r>
    <x v="45"/>
    <x v="2"/>
    <x v="0"/>
    <m/>
    <x v="4"/>
    <n v="9045000"/>
    <m/>
    <n v="9045000"/>
    <m/>
    <m/>
    <m/>
    <m/>
    <m/>
  </r>
  <r>
    <x v="45"/>
    <x v="2"/>
    <x v="0"/>
    <m/>
    <x v="6"/>
    <n v="45000000"/>
    <m/>
    <n v="45000000"/>
    <m/>
    <m/>
    <m/>
    <m/>
    <m/>
  </r>
  <r>
    <x v="45"/>
    <x v="2"/>
    <x v="0"/>
    <m/>
    <x v="8"/>
    <m/>
    <n v="50000000"/>
    <n v="-50000000"/>
    <m/>
    <m/>
    <m/>
    <m/>
    <m/>
  </r>
  <r>
    <x v="45"/>
    <x v="2"/>
    <x v="0"/>
    <m/>
    <x v="9"/>
    <m/>
    <n v="10500000"/>
    <n v="-10500000"/>
    <m/>
    <m/>
    <m/>
    <m/>
    <m/>
  </r>
  <r>
    <x v="46"/>
    <x v="2"/>
    <x v="0"/>
    <m/>
    <x v="2"/>
    <m/>
    <n v="2014920"/>
    <n v="-2014920"/>
    <m/>
    <m/>
    <m/>
    <s v="Product A"/>
    <s v="Client 10"/>
  </r>
  <r>
    <x v="46"/>
    <x v="2"/>
    <x v="0"/>
    <m/>
    <x v="3"/>
    <n v="2014920"/>
    <m/>
    <n v="2014920"/>
    <m/>
    <m/>
    <m/>
    <s v="Product A"/>
    <s v="Client 10"/>
  </r>
  <r>
    <x v="47"/>
    <x v="2"/>
    <x v="0"/>
    <m/>
    <x v="0"/>
    <n v="1980000"/>
    <m/>
    <n v="1980000"/>
    <m/>
    <m/>
    <m/>
    <s v="Component 4"/>
    <s v="Supplier B"/>
  </r>
  <r>
    <x v="47"/>
    <x v="2"/>
    <x v="0"/>
    <m/>
    <x v="3"/>
    <m/>
    <n v="1980000"/>
    <n v="-1980000"/>
    <m/>
    <m/>
    <m/>
    <s v="Component 4"/>
    <s v="Supplier B"/>
  </r>
  <r>
    <x v="48"/>
    <x v="2"/>
    <x v="0"/>
    <m/>
    <x v="0"/>
    <m/>
    <n v="800000"/>
    <n v="-800000"/>
    <m/>
    <m/>
    <m/>
    <s v="Component 1"/>
    <s v="Supplier A"/>
  </r>
  <r>
    <x v="48"/>
    <x v="2"/>
    <x v="0"/>
    <m/>
    <x v="0"/>
    <m/>
    <n v="945000"/>
    <n v="-945000"/>
    <m/>
    <m/>
    <m/>
    <s v="Component 2"/>
    <s v="Supplier A"/>
  </r>
  <r>
    <x v="48"/>
    <x v="2"/>
    <x v="0"/>
    <m/>
    <x v="0"/>
    <m/>
    <n v="2375000"/>
    <n v="-2375000"/>
    <m/>
    <m/>
    <m/>
    <s v="Component 3"/>
    <s v="Supplier A"/>
  </r>
  <r>
    <x v="48"/>
    <x v="2"/>
    <x v="0"/>
    <m/>
    <x v="0"/>
    <m/>
    <n v="2420000"/>
    <n v="-2420000"/>
    <m/>
    <m/>
    <m/>
    <s v="Component 4"/>
    <s v="Supplier B"/>
  </r>
  <r>
    <x v="48"/>
    <x v="2"/>
    <x v="0"/>
    <m/>
    <x v="0"/>
    <m/>
    <n v="935000"/>
    <n v="-935000"/>
    <m/>
    <m/>
    <m/>
    <s v="Component 5"/>
    <s v="Supplier D"/>
  </r>
  <r>
    <x v="48"/>
    <x v="2"/>
    <x v="0"/>
    <m/>
    <x v="0"/>
    <m/>
    <n v="2090000"/>
    <n v="-2090000"/>
    <m/>
    <m/>
    <m/>
    <s v="Component 6"/>
    <s v="Supplier D"/>
  </r>
  <r>
    <x v="48"/>
    <x v="2"/>
    <x v="0"/>
    <m/>
    <x v="7"/>
    <n v="800000"/>
    <m/>
    <n v="800000"/>
    <m/>
    <m/>
    <m/>
    <s v="Component 1"/>
    <s v="Supplier A"/>
  </r>
  <r>
    <x v="48"/>
    <x v="2"/>
    <x v="0"/>
    <m/>
    <x v="7"/>
    <n v="945000"/>
    <m/>
    <n v="945000"/>
    <m/>
    <m/>
    <m/>
    <s v="Component 2"/>
    <s v="Supplier A"/>
  </r>
  <r>
    <x v="48"/>
    <x v="2"/>
    <x v="0"/>
    <m/>
    <x v="7"/>
    <n v="2375000"/>
    <m/>
    <n v="2375000"/>
    <m/>
    <m/>
    <m/>
    <s v="Component 3"/>
    <s v="Supplier A"/>
  </r>
  <r>
    <x v="48"/>
    <x v="2"/>
    <x v="0"/>
    <m/>
    <x v="7"/>
    <n v="2420000"/>
    <m/>
    <n v="2420000"/>
    <m/>
    <m/>
    <m/>
    <s v="Component 4"/>
    <s v="Supplier B"/>
  </r>
  <r>
    <x v="48"/>
    <x v="2"/>
    <x v="0"/>
    <m/>
    <x v="7"/>
    <n v="935000"/>
    <m/>
    <n v="935000"/>
    <m/>
    <m/>
    <m/>
    <s v="Component 5"/>
    <s v="Supplier D"/>
  </r>
  <r>
    <x v="48"/>
    <x v="2"/>
    <x v="0"/>
    <m/>
    <x v="7"/>
    <n v="2090000"/>
    <m/>
    <n v="2090000"/>
    <m/>
    <m/>
    <m/>
    <s v="Component 6"/>
    <s v="Supplier D"/>
  </r>
  <r>
    <x v="49"/>
    <x v="2"/>
    <x v="0"/>
    <m/>
    <x v="0"/>
    <n v="720000"/>
    <m/>
    <n v="720000"/>
    <m/>
    <m/>
    <m/>
    <s v="Component 5"/>
    <s v="Supplier D"/>
  </r>
  <r>
    <x v="49"/>
    <x v="2"/>
    <x v="0"/>
    <m/>
    <x v="3"/>
    <m/>
    <n v="720000"/>
    <n v="-720000"/>
    <m/>
    <m/>
    <m/>
    <s v="Component 5"/>
    <s v="Supplier D"/>
  </r>
  <r>
    <x v="50"/>
    <x v="2"/>
    <x v="0"/>
    <m/>
    <x v="2"/>
    <m/>
    <n v="1115827"/>
    <n v="-1115827"/>
    <m/>
    <m/>
    <m/>
    <s v="Product A"/>
    <s v="Client 5"/>
  </r>
  <r>
    <x v="50"/>
    <x v="2"/>
    <x v="0"/>
    <m/>
    <x v="2"/>
    <m/>
    <n v="1827738"/>
    <n v="-1827738"/>
    <m/>
    <m/>
    <m/>
    <s v="Product A"/>
    <s v="Client 5"/>
  </r>
  <r>
    <x v="50"/>
    <x v="2"/>
    <x v="0"/>
    <m/>
    <x v="3"/>
    <n v="1115827"/>
    <m/>
    <n v="1115827"/>
    <m/>
    <m/>
    <m/>
    <s v="Product A"/>
    <s v="Client 5"/>
  </r>
  <r>
    <x v="50"/>
    <x v="2"/>
    <x v="0"/>
    <m/>
    <x v="3"/>
    <n v="1827738"/>
    <m/>
    <n v="1827738"/>
    <m/>
    <m/>
    <m/>
    <s v="Product A"/>
    <s v="Client 5"/>
  </r>
  <r>
    <x v="51"/>
    <x v="2"/>
    <x v="0"/>
    <m/>
    <x v="0"/>
    <n v="1900000"/>
    <m/>
    <n v="1900000"/>
    <m/>
    <m/>
    <m/>
    <s v="Component 3"/>
    <s v="Supplier A"/>
  </r>
  <r>
    <x v="51"/>
    <x v="2"/>
    <x v="0"/>
    <m/>
    <x v="3"/>
    <m/>
    <n v="1900000"/>
    <n v="-1900000"/>
    <m/>
    <m/>
    <m/>
    <s v="Component 3"/>
    <s v="Supplier A"/>
  </r>
  <r>
    <x v="52"/>
    <x v="2"/>
    <x v="0"/>
    <m/>
    <x v="2"/>
    <m/>
    <n v="1839104"/>
    <n v="-1839104"/>
    <m/>
    <m/>
    <m/>
    <s v="Product A"/>
    <s v="Client 9"/>
  </r>
  <r>
    <x v="52"/>
    <x v="2"/>
    <x v="0"/>
    <m/>
    <x v="3"/>
    <n v="1839104"/>
    <m/>
    <n v="1839104"/>
    <m/>
    <m/>
    <m/>
    <s v="Product A"/>
    <s v="Client 9"/>
  </r>
  <r>
    <x v="53"/>
    <x v="2"/>
    <x v="0"/>
    <m/>
    <x v="10"/>
    <n v="758612.40000000014"/>
    <m/>
    <n v="758612.40000000014"/>
    <m/>
    <m/>
    <m/>
    <s v="Supplier A"/>
    <s v="Component 1"/>
  </r>
  <r>
    <x v="53"/>
    <x v="2"/>
    <x v="0"/>
    <m/>
    <x v="10"/>
    <n v="989612.88"/>
    <m/>
    <n v="989612.88"/>
    <m/>
    <m/>
    <m/>
    <s v="Supplier A"/>
    <s v="Component 2"/>
  </r>
  <r>
    <x v="53"/>
    <x v="2"/>
    <x v="0"/>
    <m/>
    <x v="10"/>
    <n v="2277808.23"/>
    <m/>
    <n v="2277808.23"/>
    <m/>
    <m/>
    <m/>
    <s v="Supplier A"/>
    <s v="Component 3"/>
  </r>
  <r>
    <x v="53"/>
    <x v="2"/>
    <x v="0"/>
    <m/>
    <x v="10"/>
    <n v="1879658"/>
    <m/>
    <n v="1879658"/>
    <m/>
    <m/>
    <m/>
    <s v="Supplier B"/>
    <s v="Component 4"/>
  </r>
  <r>
    <x v="53"/>
    <x v="2"/>
    <x v="0"/>
    <m/>
    <x v="10"/>
    <n v="940346.5"/>
    <m/>
    <n v="940346.5"/>
    <m/>
    <m/>
    <m/>
    <s v="Supplier D"/>
    <s v="Component 5"/>
  </r>
  <r>
    <x v="53"/>
    <x v="2"/>
    <x v="0"/>
    <m/>
    <x v="10"/>
    <n v="2479972"/>
    <m/>
    <n v="2479972"/>
    <m/>
    <m/>
    <m/>
    <s v="Supplier D"/>
    <s v="Component 6"/>
  </r>
  <r>
    <x v="53"/>
    <x v="2"/>
    <x v="0"/>
    <m/>
    <x v="10"/>
    <m/>
    <n v="758612.40000000014"/>
    <n v="-758612.40000000014"/>
    <m/>
    <m/>
    <m/>
    <m/>
    <s v="Component 1"/>
  </r>
  <r>
    <x v="53"/>
    <x v="2"/>
    <x v="0"/>
    <m/>
    <x v="10"/>
    <m/>
    <n v="989612.88"/>
    <n v="-989612.88"/>
    <m/>
    <m/>
    <m/>
    <m/>
    <s v="Component 2"/>
  </r>
  <r>
    <x v="53"/>
    <x v="2"/>
    <x v="0"/>
    <m/>
    <x v="10"/>
    <m/>
    <n v="2277808.23"/>
    <n v="-2277808.23"/>
    <m/>
    <m/>
    <m/>
    <m/>
    <s v="Component 3"/>
  </r>
  <r>
    <x v="53"/>
    <x v="2"/>
    <x v="0"/>
    <m/>
    <x v="10"/>
    <m/>
    <n v="1879658"/>
    <n v="-1879658"/>
    <m/>
    <m/>
    <m/>
    <m/>
    <s v="Component 4"/>
  </r>
  <r>
    <x v="53"/>
    <x v="2"/>
    <x v="0"/>
    <m/>
    <x v="10"/>
    <m/>
    <n v="940346.5"/>
    <n v="-940346.5"/>
    <m/>
    <m/>
    <m/>
    <m/>
    <s v="Component 5"/>
  </r>
  <r>
    <x v="53"/>
    <x v="2"/>
    <x v="0"/>
    <m/>
    <x v="10"/>
    <m/>
    <n v="2479972"/>
    <n v="-2479972"/>
    <m/>
    <m/>
    <m/>
    <m/>
    <s v="Component 6"/>
  </r>
  <r>
    <x v="53"/>
    <x v="2"/>
    <x v="0"/>
    <m/>
    <x v="7"/>
    <m/>
    <n v="758612.40000000014"/>
    <n v="-758612.40000000014"/>
    <m/>
    <m/>
    <m/>
    <s v="Component 1"/>
    <s v="Supplier A"/>
  </r>
  <r>
    <x v="53"/>
    <x v="2"/>
    <x v="0"/>
    <m/>
    <x v="7"/>
    <m/>
    <n v="989612.88"/>
    <n v="-989612.88"/>
    <m/>
    <m/>
    <m/>
    <s v="Component 2"/>
    <s v="Supplier A"/>
  </r>
  <r>
    <x v="53"/>
    <x v="2"/>
    <x v="0"/>
    <m/>
    <x v="7"/>
    <m/>
    <n v="2277808.23"/>
    <n v="-2277808.23"/>
    <m/>
    <m/>
    <m/>
    <s v="Component 3"/>
    <s v="Supplier A"/>
  </r>
  <r>
    <x v="53"/>
    <x v="2"/>
    <x v="0"/>
    <m/>
    <x v="7"/>
    <m/>
    <n v="1879658"/>
    <n v="-1879658"/>
    <m/>
    <m/>
    <m/>
    <s v="Component 4"/>
    <s v="Supplier B"/>
  </r>
  <r>
    <x v="53"/>
    <x v="2"/>
    <x v="0"/>
    <m/>
    <x v="7"/>
    <m/>
    <n v="940346.5"/>
    <n v="-940346.5"/>
    <m/>
    <m/>
    <m/>
    <s v="Component 5"/>
    <s v="Supplier D"/>
  </r>
  <r>
    <x v="53"/>
    <x v="2"/>
    <x v="0"/>
    <m/>
    <x v="7"/>
    <m/>
    <n v="2479972"/>
    <n v="-2479972"/>
    <m/>
    <m/>
    <m/>
    <s v="Component 6"/>
    <s v="Supplier D"/>
  </r>
  <r>
    <x v="54"/>
    <x v="2"/>
    <x v="0"/>
    <m/>
    <x v="11"/>
    <n v="4050926.2059999993"/>
    <m/>
    <n v="4050926.2059999993"/>
    <m/>
    <m/>
    <m/>
    <m/>
    <m/>
  </r>
  <r>
    <x v="54"/>
    <x v="2"/>
    <x v="0"/>
    <m/>
    <x v="12"/>
    <n v="1586229.04"/>
    <m/>
    <n v="1586229.04"/>
    <m/>
    <m/>
    <m/>
    <m/>
    <m/>
  </r>
  <r>
    <x v="54"/>
    <x v="2"/>
    <x v="0"/>
    <m/>
    <x v="13"/>
    <n v="3945437.0400000005"/>
    <m/>
    <n v="3945437.0400000005"/>
    <m/>
    <m/>
    <m/>
    <m/>
    <m/>
  </r>
  <r>
    <x v="54"/>
    <x v="2"/>
    <x v="0"/>
    <m/>
    <x v="14"/>
    <m/>
    <n v="256582.27599999998"/>
    <n v="-256582.27599999998"/>
    <m/>
    <m/>
    <m/>
    <m/>
    <m/>
  </r>
  <r>
    <x v="55"/>
    <x v="2"/>
    <x v="0"/>
    <m/>
    <x v="2"/>
    <n v="1658016"/>
    <m/>
    <n v="1658016"/>
    <m/>
    <m/>
    <m/>
    <s v="Product A"/>
    <s v="Client 9"/>
  </r>
  <r>
    <x v="55"/>
    <x v="2"/>
    <x v="0"/>
    <m/>
    <x v="2"/>
    <m/>
    <n v="4248900"/>
    <n v="-4248900"/>
    <m/>
    <m/>
    <m/>
    <s v="Product C"/>
    <s v="Client 1"/>
  </r>
  <r>
    <x v="55"/>
    <x v="2"/>
    <x v="0"/>
    <m/>
    <x v="3"/>
    <n v="4248900"/>
    <m/>
    <n v="4248900"/>
    <m/>
    <m/>
    <m/>
    <s v="Product C"/>
    <s v="Client 1"/>
  </r>
  <r>
    <x v="55"/>
    <x v="2"/>
    <x v="0"/>
    <m/>
    <x v="10"/>
    <n v="1292684.6640000001"/>
    <m/>
    <n v="1292684.6640000001"/>
    <m/>
    <m/>
    <m/>
    <m/>
    <s v="Product C"/>
  </r>
  <r>
    <x v="55"/>
    <x v="2"/>
    <x v="0"/>
    <m/>
    <x v="10"/>
    <n v="932609.05266666657"/>
    <m/>
    <n v="932609.05266666657"/>
    <m/>
    <m/>
    <m/>
    <m/>
    <s v="Product A"/>
  </r>
  <r>
    <x v="55"/>
    <x v="2"/>
    <x v="0"/>
    <m/>
    <x v="11"/>
    <m/>
    <n v="932609.05266666657"/>
    <n v="-932609.05266666657"/>
    <m/>
    <m/>
    <m/>
    <m/>
    <s v="Product A"/>
  </r>
  <r>
    <x v="55"/>
    <x v="2"/>
    <x v="0"/>
    <m/>
    <x v="13"/>
    <m/>
    <n v="1292684.6640000001"/>
    <n v="-1292684.6640000001"/>
    <m/>
    <m/>
    <m/>
    <m/>
    <s v="Product C"/>
  </r>
  <r>
    <x v="55"/>
    <x v="2"/>
    <x v="0"/>
    <m/>
    <x v="15"/>
    <m/>
    <n v="1466607"/>
    <n v="-1466607"/>
    <m/>
    <m/>
    <m/>
    <s v="Product C"/>
    <s v="Client 3"/>
  </r>
  <r>
    <x v="55"/>
    <x v="2"/>
    <x v="0"/>
    <m/>
    <x v="15"/>
    <m/>
    <n v="1658016"/>
    <n v="-1658016"/>
    <m/>
    <m/>
    <m/>
    <s v="Product A"/>
    <s v="Client 9"/>
  </r>
  <r>
    <x v="56"/>
    <x v="2"/>
    <x v="0"/>
    <m/>
    <x v="2"/>
    <n v="1073682"/>
    <m/>
    <n v="1073682"/>
    <m/>
    <m/>
    <m/>
    <s v="Product B"/>
    <s v="Client 4"/>
  </r>
  <r>
    <x v="56"/>
    <x v="2"/>
    <x v="0"/>
    <m/>
    <x v="2"/>
    <m/>
    <n v="2424273"/>
    <n v="-2424273"/>
    <m/>
    <m/>
    <m/>
    <s v="Product C"/>
    <s v="Client 1"/>
  </r>
  <r>
    <x v="56"/>
    <x v="2"/>
    <x v="0"/>
    <m/>
    <x v="2"/>
    <m/>
    <n v="1282260"/>
    <n v="-1282260"/>
    <m/>
    <m/>
    <m/>
    <s v="Product A"/>
    <s v="Client 7"/>
  </r>
  <r>
    <x v="56"/>
    <x v="2"/>
    <x v="0"/>
    <m/>
    <x v="3"/>
    <n v="2424273"/>
    <m/>
    <n v="2424273"/>
    <m/>
    <m/>
    <m/>
    <s v="Product C"/>
    <s v="Client 1"/>
  </r>
  <r>
    <x v="56"/>
    <x v="2"/>
    <x v="0"/>
    <m/>
    <x v="3"/>
    <n v="1282260"/>
    <m/>
    <n v="1282260"/>
    <m/>
    <m/>
    <m/>
    <s v="Product A"/>
    <s v="Client 7"/>
  </r>
  <r>
    <x v="56"/>
    <x v="2"/>
    <x v="0"/>
    <m/>
    <x v="10"/>
    <n v="729958.17599999998"/>
    <m/>
    <n v="729958.17599999998"/>
    <m/>
    <m/>
    <m/>
    <m/>
    <s v="Product B"/>
  </r>
  <r>
    <x v="56"/>
    <x v="2"/>
    <x v="0"/>
    <m/>
    <x v="12"/>
    <m/>
    <n v="729958.17599999998"/>
    <n v="-729958.17599999998"/>
    <m/>
    <m/>
    <m/>
    <m/>
    <s v="Product B"/>
  </r>
  <r>
    <x v="56"/>
    <x v="2"/>
    <x v="0"/>
    <m/>
    <x v="15"/>
    <m/>
    <n v="1073682"/>
    <n v="-1073682"/>
    <m/>
    <m/>
    <m/>
    <s v="Product B"/>
    <s v="Client 4"/>
  </r>
  <r>
    <x v="57"/>
    <x v="2"/>
    <x v="0"/>
    <m/>
    <x v="2"/>
    <n v="558195"/>
    <m/>
    <n v="558195"/>
    <m/>
    <m/>
    <m/>
    <s v="Product B"/>
    <s v="Client 6"/>
  </r>
  <r>
    <x v="57"/>
    <x v="2"/>
    <x v="0"/>
    <m/>
    <x v="10"/>
    <n v="407096.68800000002"/>
    <m/>
    <n v="407096.68800000002"/>
    <m/>
    <m/>
    <m/>
    <m/>
    <s v="Product B"/>
  </r>
  <r>
    <x v="57"/>
    <x v="2"/>
    <x v="0"/>
    <m/>
    <x v="12"/>
    <m/>
    <n v="407096.68800000002"/>
    <n v="-407096.68800000002"/>
    <m/>
    <m/>
    <m/>
    <m/>
    <s v="Product B"/>
  </r>
  <r>
    <x v="57"/>
    <x v="2"/>
    <x v="0"/>
    <m/>
    <x v="15"/>
    <m/>
    <n v="558195"/>
    <n v="-558195"/>
    <m/>
    <m/>
    <m/>
    <s v="Product B"/>
    <s v="Client 6"/>
  </r>
  <r>
    <x v="2"/>
    <x v="2"/>
    <x v="0"/>
    <m/>
    <x v="2"/>
    <n v="440505"/>
    <m/>
    <n v="440505"/>
    <m/>
    <m/>
    <m/>
    <s v="Product A"/>
    <s v="Client 7"/>
  </r>
  <r>
    <x v="2"/>
    <x v="2"/>
    <x v="0"/>
    <m/>
    <x v="10"/>
    <n v="345962.48466666648"/>
    <m/>
    <n v="345962.48466666648"/>
    <m/>
    <m/>
    <m/>
    <m/>
    <s v="Product A"/>
  </r>
  <r>
    <x v="2"/>
    <x v="2"/>
    <x v="0"/>
    <m/>
    <x v="11"/>
    <m/>
    <n v="345962.48466666648"/>
    <n v="-345962.48466666648"/>
    <m/>
    <m/>
    <m/>
    <m/>
    <s v="Product A"/>
  </r>
  <r>
    <x v="2"/>
    <x v="2"/>
    <x v="0"/>
    <m/>
    <x v="15"/>
    <m/>
    <n v="440505"/>
    <n v="-440505"/>
    <m/>
    <m/>
    <m/>
    <s v="Product A"/>
    <s v="Client 7"/>
  </r>
  <r>
    <x v="58"/>
    <x v="2"/>
    <x v="0"/>
    <m/>
    <x v="2"/>
    <n v="671880"/>
    <m/>
    <n v="671880"/>
    <m/>
    <m/>
    <m/>
    <s v="Product B"/>
    <s v="Client 8"/>
  </r>
  <r>
    <x v="58"/>
    <x v="2"/>
    <x v="0"/>
    <m/>
    <x v="10"/>
    <n v="449174.17600000004"/>
    <m/>
    <n v="449174.17600000004"/>
    <m/>
    <m/>
    <m/>
    <m/>
    <s v="Product B"/>
  </r>
  <r>
    <x v="58"/>
    <x v="2"/>
    <x v="0"/>
    <m/>
    <x v="12"/>
    <m/>
    <n v="449174.17600000004"/>
    <n v="-449174.17600000004"/>
    <m/>
    <m/>
    <m/>
    <m/>
    <s v="Product B"/>
  </r>
  <r>
    <x v="58"/>
    <x v="2"/>
    <x v="0"/>
    <m/>
    <x v="15"/>
    <m/>
    <n v="671880"/>
    <n v="-671880"/>
    <m/>
    <m/>
    <m/>
    <s v="Product B"/>
    <s v="Client 8"/>
  </r>
  <r>
    <x v="59"/>
    <x v="2"/>
    <x v="0"/>
    <m/>
    <x v="0"/>
    <n v="855000"/>
    <m/>
    <n v="855000"/>
    <m/>
    <m/>
    <m/>
    <s v="Component 2"/>
    <s v="Supplier A"/>
  </r>
  <r>
    <x v="59"/>
    <x v="2"/>
    <x v="0"/>
    <m/>
    <x v="2"/>
    <n v="1250755"/>
    <m/>
    <n v="1250755"/>
    <m/>
    <m/>
    <m/>
    <s v="Product A"/>
    <s v="Client 5"/>
  </r>
  <r>
    <x v="59"/>
    <x v="2"/>
    <x v="0"/>
    <m/>
    <x v="3"/>
    <m/>
    <n v="855000"/>
    <n v="-855000"/>
    <m/>
    <m/>
    <m/>
    <s v="Component 2"/>
    <s v="Supplier A"/>
  </r>
  <r>
    <x v="59"/>
    <x v="2"/>
    <x v="0"/>
    <m/>
    <x v="10"/>
    <n v="1007699.1920000002"/>
    <m/>
    <n v="1007699.1920000002"/>
    <m/>
    <m/>
    <m/>
    <m/>
    <s v="Product A"/>
  </r>
  <r>
    <x v="59"/>
    <x v="2"/>
    <x v="0"/>
    <m/>
    <x v="11"/>
    <m/>
    <n v="1007699.1920000002"/>
    <n v="-1007699.1920000002"/>
    <m/>
    <m/>
    <m/>
    <m/>
    <s v="Product A"/>
  </r>
  <r>
    <x v="59"/>
    <x v="2"/>
    <x v="0"/>
    <m/>
    <x v="15"/>
    <m/>
    <n v="1250755"/>
    <n v="-1250755"/>
    <m/>
    <m/>
    <m/>
    <s v="Product A"/>
    <s v="Client 5"/>
  </r>
  <r>
    <x v="60"/>
    <x v="2"/>
    <x v="0"/>
    <m/>
    <x v="2"/>
    <m/>
    <n v="543344"/>
    <n v="-543344"/>
    <m/>
    <m/>
    <m/>
    <s v="Product B"/>
    <s v="Client 8"/>
  </r>
  <r>
    <x v="60"/>
    <x v="2"/>
    <x v="0"/>
    <m/>
    <x v="2"/>
    <m/>
    <n v="446978"/>
    <n v="-446978"/>
    <m/>
    <m/>
    <m/>
    <s v="Product A"/>
    <s v="Client 7"/>
  </r>
  <r>
    <x v="60"/>
    <x v="2"/>
    <x v="0"/>
    <m/>
    <x v="3"/>
    <n v="543344"/>
    <m/>
    <n v="543344"/>
    <m/>
    <m/>
    <m/>
    <s v="Product B"/>
    <s v="Client 8"/>
  </r>
  <r>
    <x v="60"/>
    <x v="2"/>
    <x v="0"/>
    <m/>
    <x v="3"/>
    <n v="446978"/>
    <m/>
    <n v="446978"/>
    <m/>
    <m/>
    <m/>
    <s v="Product A"/>
    <s v="Client 7"/>
  </r>
  <r>
    <x v="61"/>
    <x v="2"/>
    <x v="0"/>
    <m/>
    <x v="0"/>
    <n v="1800000"/>
    <m/>
    <n v="1800000"/>
    <m/>
    <m/>
    <m/>
    <s v="Component 3"/>
    <s v="Supplier A"/>
  </r>
  <r>
    <x v="61"/>
    <x v="2"/>
    <x v="0"/>
    <m/>
    <x v="3"/>
    <m/>
    <n v="1800000"/>
    <n v="-1800000"/>
    <m/>
    <m/>
    <m/>
    <s v="Component 3"/>
    <s v="Supplier A"/>
  </r>
  <r>
    <x v="62"/>
    <x v="2"/>
    <x v="0"/>
    <m/>
    <x v="2"/>
    <n v="2832624"/>
    <m/>
    <n v="2832624"/>
    <m/>
    <m/>
    <m/>
    <s v="Product C"/>
    <s v="Client 1"/>
  </r>
  <r>
    <x v="62"/>
    <x v="2"/>
    <x v="0"/>
    <m/>
    <x v="2"/>
    <m/>
    <n v="1756304"/>
    <n v="-1756304"/>
    <m/>
    <m/>
    <m/>
    <s v="Product A"/>
    <s v="Client 7"/>
  </r>
  <r>
    <x v="62"/>
    <x v="2"/>
    <x v="0"/>
    <m/>
    <x v="2"/>
    <m/>
    <n v="872984"/>
    <n v="-872984"/>
    <m/>
    <m/>
    <m/>
    <s v="Product A"/>
    <s v="Client 2"/>
  </r>
  <r>
    <x v="62"/>
    <x v="2"/>
    <x v="0"/>
    <m/>
    <x v="2"/>
    <m/>
    <n v="1348382"/>
    <n v="-1348382"/>
    <m/>
    <m/>
    <m/>
    <s v="Product B"/>
    <s v="Client 4"/>
  </r>
  <r>
    <x v="62"/>
    <x v="2"/>
    <x v="0"/>
    <m/>
    <x v="3"/>
    <n v="1756304"/>
    <m/>
    <n v="1756304"/>
    <m/>
    <m/>
    <m/>
    <s v="Product A"/>
    <s v="Client 7"/>
  </r>
  <r>
    <x v="62"/>
    <x v="2"/>
    <x v="0"/>
    <m/>
    <x v="3"/>
    <n v="872984"/>
    <m/>
    <n v="872984"/>
    <m/>
    <m/>
    <m/>
    <s v="Product A"/>
    <s v="Client 2"/>
  </r>
  <r>
    <x v="62"/>
    <x v="2"/>
    <x v="0"/>
    <m/>
    <x v="3"/>
    <n v="1348382"/>
    <m/>
    <n v="1348382"/>
    <m/>
    <m/>
    <m/>
    <s v="Product B"/>
    <s v="Client 4"/>
  </r>
  <r>
    <x v="62"/>
    <x v="2"/>
    <x v="0"/>
    <m/>
    <x v="10"/>
    <n v="2652752.3760000002"/>
    <m/>
    <n v="2652752.3760000002"/>
    <m/>
    <m/>
    <m/>
    <m/>
    <s v="Product C"/>
  </r>
  <r>
    <x v="62"/>
    <x v="2"/>
    <x v="0"/>
    <m/>
    <x v="13"/>
    <m/>
    <n v="2652752.3760000002"/>
    <n v="-2652752.3760000002"/>
    <m/>
    <m/>
    <m/>
    <m/>
    <s v="Product C"/>
  </r>
  <r>
    <x v="62"/>
    <x v="2"/>
    <x v="0"/>
    <m/>
    <x v="15"/>
    <m/>
    <n v="2832624"/>
    <n v="-2832624"/>
    <m/>
    <m/>
    <m/>
    <s v="Product C"/>
    <s v="Client 1"/>
  </r>
  <r>
    <x v="63"/>
    <x v="2"/>
    <x v="0"/>
    <m/>
    <x v="2"/>
    <n v="1429818"/>
    <m/>
    <n v="1429818"/>
    <m/>
    <m/>
    <m/>
    <s v="Product A"/>
    <s v="Client 2"/>
  </r>
  <r>
    <x v="63"/>
    <x v="2"/>
    <x v="0"/>
    <m/>
    <x v="2"/>
    <n v="1096316"/>
    <m/>
    <n v="1096316"/>
    <m/>
    <m/>
    <m/>
    <s v="Product A"/>
    <s v="Client 10"/>
  </r>
  <r>
    <x v="63"/>
    <x v="2"/>
    <x v="0"/>
    <m/>
    <x v="10"/>
    <n v="918233.26400000008"/>
    <m/>
    <n v="918233.26400000008"/>
    <m/>
    <m/>
    <m/>
    <m/>
    <s v="Product A"/>
  </r>
  <r>
    <x v="63"/>
    <x v="2"/>
    <x v="0"/>
    <m/>
    <x v="10"/>
    <n v="846422.21266666648"/>
    <m/>
    <n v="846422.21266666648"/>
    <m/>
    <m/>
    <m/>
    <m/>
    <s v="Product A"/>
  </r>
  <r>
    <x v="63"/>
    <x v="2"/>
    <x v="0"/>
    <m/>
    <x v="11"/>
    <m/>
    <n v="918233.26400000008"/>
    <n v="-918233.26400000008"/>
    <m/>
    <m/>
    <m/>
    <m/>
    <s v="Product A"/>
  </r>
  <r>
    <x v="63"/>
    <x v="2"/>
    <x v="0"/>
    <m/>
    <x v="11"/>
    <m/>
    <n v="846422.21266666648"/>
    <n v="-846422.21266666648"/>
    <m/>
    <m/>
    <m/>
    <m/>
    <s v="Product A"/>
  </r>
  <r>
    <x v="63"/>
    <x v="2"/>
    <x v="0"/>
    <m/>
    <x v="15"/>
    <m/>
    <n v="1429818"/>
    <n v="-1429818"/>
    <m/>
    <m/>
    <m/>
    <s v="Product A"/>
    <s v="Client 2"/>
  </r>
  <r>
    <x v="63"/>
    <x v="2"/>
    <x v="0"/>
    <m/>
    <x v="15"/>
    <m/>
    <n v="1096316"/>
    <n v="-1096316"/>
    <m/>
    <m/>
    <m/>
    <s v="Product A"/>
    <s v="Client 10"/>
  </r>
  <r>
    <x v="64"/>
    <x v="2"/>
    <x v="0"/>
    <m/>
    <x v="0"/>
    <n v="1020000"/>
    <m/>
    <n v="1020000"/>
    <m/>
    <m/>
    <m/>
    <s v="Component 5"/>
    <s v="Supplier D"/>
  </r>
  <r>
    <x v="64"/>
    <x v="2"/>
    <x v="0"/>
    <m/>
    <x v="16"/>
    <n v="794483"/>
    <m/>
    <n v="794483"/>
    <m/>
    <m/>
    <m/>
    <m/>
    <m/>
  </r>
  <r>
    <x v="64"/>
    <x v="2"/>
    <x v="0"/>
    <m/>
    <x v="3"/>
    <m/>
    <n v="1020000"/>
    <n v="-1020000"/>
    <m/>
    <m/>
    <m/>
    <s v="Component 5"/>
    <s v="Supplier D"/>
  </r>
  <r>
    <x v="64"/>
    <x v="2"/>
    <x v="0"/>
    <m/>
    <x v="3"/>
    <m/>
    <n v="256582.27599999998"/>
    <n v="-256582.27599999998"/>
    <m/>
    <m/>
    <m/>
    <m/>
    <m/>
  </r>
  <r>
    <x v="64"/>
    <x v="2"/>
    <x v="0"/>
    <m/>
    <x v="3"/>
    <m/>
    <n v="1048028"/>
    <n v="-1048028"/>
    <m/>
    <m/>
    <m/>
    <m/>
    <m/>
  </r>
  <r>
    <x v="64"/>
    <x v="2"/>
    <x v="0"/>
    <m/>
    <x v="3"/>
    <m/>
    <n v="797542"/>
    <n v="-797542"/>
    <m/>
    <m/>
    <m/>
    <m/>
    <m/>
  </r>
  <r>
    <x v="64"/>
    <x v="2"/>
    <x v="0"/>
    <m/>
    <x v="3"/>
    <m/>
    <n v="794483"/>
    <n v="-794483"/>
    <m/>
    <m/>
    <m/>
    <m/>
    <m/>
  </r>
  <r>
    <x v="64"/>
    <x v="2"/>
    <x v="0"/>
    <m/>
    <x v="3"/>
    <n v="1214453"/>
    <m/>
    <n v="1214453"/>
    <m/>
    <m/>
    <m/>
    <m/>
    <m/>
  </r>
  <r>
    <x v="64"/>
    <x v="2"/>
    <x v="0"/>
    <m/>
    <x v="3"/>
    <m/>
    <n v="1204994"/>
    <n v="-1204994"/>
    <m/>
    <m/>
    <m/>
    <m/>
    <m/>
  </r>
  <r>
    <x v="64"/>
    <x v="2"/>
    <x v="0"/>
    <m/>
    <x v="17"/>
    <n v="797542"/>
    <m/>
    <n v="797542"/>
    <m/>
    <m/>
    <m/>
    <m/>
    <m/>
  </r>
  <r>
    <x v="64"/>
    <x v="2"/>
    <x v="0"/>
    <m/>
    <x v="18"/>
    <n v="1204994"/>
    <m/>
    <n v="1204994"/>
    <m/>
    <m/>
    <m/>
    <m/>
    <m/>
  </r>
  <r>
    <x v="64"/>
    <x v="2"/>
    <x v="0"/>
    <m/>
    <x v="19"/>
    <m/>
    <n v="1214453"/>
    <n v="-1214453"/>
    <m/>
    <m/>
    <m/>
    <m/>
    <m/>
  </r>
  <r>
    <x v="64"/>
    <x v="2"/>
    <x v="0"/>
    <m/>
    <x v="20"/>
    <n v="1048028"/>
    <m/>
    <n v="1048028"/>
    <m/>
    <m/>
    <m/>
    <m/>
    <m/>
  </r>
  <r>
    <x v="64"/>
    <x v="2"/>
    <x v="0"/>
    <m/>
    <x v="14"/>
    <n v="256582.27599999998"/>
    <m/>
    <n v="256582.27599999998"/>
    <m/>
    <m/>
    <m/>
    <m/>
    <m/>
  </r>
  <r>
    <x v="65"/>
    <x v="4"/>
    <x v="0"/>
    <m/>
    <x v="0"/>
    <m/>
    <n v="720000"/>
    <n v="-720000"/>
    <m/>
    <m/>
    <m/>
    <s v="Component 1"/>
    <s v="Supplier A"/>
  </r>
  <r>
    <x v="65"/>
    <x v="4"/>
    <x v="0"/>
    <m/>
    <x v="0"/>
    <m/>
    <n v="945000"/>
    <n v="-945000"/>
    <m/>
    <m/>
    <m/>
    <s v="Component 2"/>
    <s v="Supplier A"/>
  </r>
  <r>
    <x v="65"/>
    <x v="4"/>
    <x v="0"/>
    <m/>
    <x v="0"/>
    <m/>
    <n v="2200000"/>
    <n v="-2200000"/>
    <m/>
    <m/>
    <m/>
    <s v="Component 3"/>
    <s v="Supplier A"/>
  </r>
  <r>
    <x v="65"/>
    <x v="4"/>
    <x v="0"/>
    <m/>
    <x v="0"/>
    <m/>
    <n v="2200000"/>
    <n v="-2200000"/>
    <m/>
    <m/>
    <m/>
    <s v="Component 4"/>
    <s v="Supplier B"/>
  </r>
  <r>
    <x v="65"/>
    <x v="4"/>
    <x v="0"/>
    <m/>
    <x v="0"/>
    <m/>
    <n v="1071000"/>
    <n v="-1071000"/>
    <m/>
    <m/>
    <m/>
    <s v="Component 5"/>
    <s v="Supplier D"/>
  </r>
  <r>
    <x v="65"/>
    <x v="4"/>
    <x v="0"/>
    <m/>
    <x v="0"/>
    <m/>
    <n v="2470000"/>
    <n v="-2470000"/>
    <m/>
    <m/>
    <m/>
    <s v="Component 6"/>
    <s v="Supplier D"/>
  </r>
  <r>
    <x v="65"/>
    <x v="4"/>
    <x v="0"/>
    <m/>
    <x v="0"/>
    <n v="2192505"/>
    <m/>
    <n v="2192505"/>
    <m/>
    <m/>
    <m/>
    <s v="Component 6"/>
    <s v="Supplier D"/>
  </r>
  <r>
    <x v="65"/>
    <x v="4"/>
    <x v="0"/>
    <m/>
    <x v="3"/>
    <m/>
    <n v="2192505"/>
    <n v="-2192505"/>
    <m/>
    <m/>
    <m/>
    <s v="Component 6"/>
    <s v="Supplier D"/>
  </r>
  <r>
    <x v="65"/>
    <x v="4"/>
    <x v="0"/>
    <m/>
    <x v="3"/>
    <n v="6455000"/>
    <m/>
    <n v="6455000"/>
    <m/>
    <m/>
    <m/>
    <m/>
    <m/>
  </r>
  <r>
    <x v="65"/>
    <x v="4"/>
    <x v="0"/>
    <m/>
    <x v="4"/>
    <n v="9045000"/>
    <m/>
    <n v="9045000"/>
    <m/>
    <m/>
    <m/>
    <m/>
    <m/>
  </r>
  <r>
    <x v="65"/>
    <x v="4"/>
    <x v="0"/>
    <m/>
    <x v="6"/>
    <n v="45000000"/>
    <m/>
    <n v="45000000"/>
    <m/>
    <m/>
    <m/>
    <m/>
    <m/>
  </r>
  <r>
    <x v="65"/>
    <x v="4"/>
    <x v="0"/>
    <m/>
    <x v="7"/>
    <n v="720000"/>
    <m/>
    <n v="720000"/>
    <m/>
    <m/>
    <m/>
    <s v="Component 1"/>
    <s v="Supplier A"/>
  </r>
  <r>
    <x v="65"/>
    <x v="4"/>
    <x v="0"/>
    <m/>
    <x v="7"/>
    <n v="945000"/>
    <m/>
    <n v="945000"/>
    <m/>
    <m/>
    <m/>
    <s v="Component 2"/>
    <s v="Supplier A"/>
  </r>
  <r>
    <x v="65"/>
    <x v="4"/>
    <x v="0"/>
    <m/>
    <x v="7"/>
    <n v="2200000"/>
    <m/>
    <n v="2200000"/>
    <m/>
    <m/>
    <m/>
    <s v="Component 3"/>
    <s v="Supplier A"/>
  </r>
  <r>
    <x v="65"/>
    <x v="4"/>
    <x v="0"/>
    <m/>
    <x v="7"/>
    <n v="2200000"/>
    <m/>
    <n v="2200000"/>
    <m/>
    <m/>
    <m/>
    <s v="Component 4"/>
    <s v="Supplier B"/>
  </r>
  <r>
    <x v="65"/>
    <x v="4"/>
    <x v="0"/>
    <m/>
    <x v="7"/>
    <n v="1071000"/>
    <m/>
    <n v="1071000"/>
    <m/>
    <m/>
    <m/>
    <s v="Component 5"/>
    <s v="Supplier D"/>
  </r>
  <r>
    <x v="65"/>
    <x v="4"/>
    <x v="0"/>
    <m/>
    <x v="7"/>
    <n v="2470000"/>
    <m/>
    <n v="2470000"/>
    <m/>
    <m/>
    <m/>
    <s v="Component 6"/>
    <s v="Supplier D"/>
  </r>
  <r>
    <x v="65"/>
    <x v="4"/>
    <x v="0"/>
    <m/>
    <x v="8"/>
    <m/>
    <n v="50000000"/>
    <n v="-50000000"/>
    <m/>
    <m/>
    <m/>
    <m/>
    <m/>
  </r>
  <r>
    <x v="65"/>
    <x v="4"/>
    <x v="0"/>
    <m/>
    <x v="9"/>
    <m/>
    <n v="10500000"/>
    <n v="-10500000"/>
    <m/>
    <m/>
    <m/>
    <m/>
    <m/>
  </r>
  <r>
    <x v="66"/>
    <x v="4"/>
    <x v="0"/>
    <m/>
    <x v="0"/>
    <n v="855000"/>
    <m/>
    <n v="855000"/>
    <m/>
    <m/>
    <m/>
    <s v="Component 5"/>
    <s v="Supplier D"/>
  </r>
  <r>
    <x v="66"/>
    <x v="4"/>
    <x v="0"/>
    <m/>
    <x v="2"/>
    <m/>
    <n v="372166"/>
    <n v="-372166"/>
    <m/>
    <m/>
    <m/>
    <s v="Product A"/>
    <s v="Client 10"/>
  </r>
  <r>
    <x v="66"/>
    <x v="4"/>
    <x v="0"/>
    <m/>
    <x v="3"/>
    <m/>
    <n v="855000"/>
    <n v="-855000"/>
    <m/>
    <m/>
    <m/>
    <s v="Component 5"/>
    <s v="Supplier D"/>
  </r>
  <r>
    <x v="66"/>
    <x v="4"/>
    <x v="0"/>
    <m/>
    <x v="3"/>
    <n v="372166"/>
    <m/>
    <n v="372166"/>
    <m/>
    <m/>
    <m/>
    <s v="Product A"/>
    <s v="Client 10"/>
  </r>
  <r>
    <x v="34"/>
    <x v="3"/>
    <x v="0"/>
    <m/>
    <x v="2"/>
    <n v="1217721"/>
    <m/>
    <n v="1217721"/>
    <m/>
    <m/>
    <m/>
    <s v="Product C"/>
    <s v="Client 3"/>
  </r>
  <r>
    <x v="67"/>
    <x v="4"/>
    <x v="0"/>
    <m/>
    <x v="3"/>
    <n v="1217721"/>
    <m/>
    <n v="1217721"/>
    <m/>
    <m/>
    <m/>
    <s v="Product C"/>
    <s v="Client 3"/>
  </r>
  <r>
    <x v="68"/>
    <x v="4"/>
    <x v="0"/>
    <m/>
    <x v="10"/>
    <n v="661583.20000000007"/>
    <m/>
    <n v="661583.20000000007"/>
    <m/>
    <m/>
    <m/>
    <s v="Supplier A"/>
    <s v="Component 1"/>
  </r>
  <r>
    <x v="68"/>
    <x v="4"/>
    <x v="0"/>
    <m/>
    <x v="10"/>
    <n v="957947.75999999989"/>
    <m/>
    <n v="957947.75999999989"/>
    <m/>
    <m/>
    <m/>
    <s v="Supplier A"/>
    <s v="Component 2"/>
  </r>
  <r>
    <x v="68"/>
    <x v="4"/>
    <x v="0"/>
    <m/>
    <x v="10"/>
    <n v="2363213.31"/>
    <m/>
    <n v="2363213.31"/>
    <m/>
    <m/>
    <m/>
    <s v="Supplier A"/>
    <s v="Component 3"/>
  </r>
  <r>
    <x v="68"/>
    <x v="4"/>
    <x v="0"/>
    <m/>
    <x v="10"/>
    <n v="1875578"/>
    <m/>
    <n v="1875578"/>
    <m/>
    <m/>
    <m/>
    <s v="Supplier B"/>
    <s v="Component 4"/>
  </r>
  <r>
    <x v="68"/>
    <x v="4"/>
    <x v="0"/>
    <m/>
    <x v="10"/>
    <n v="1080370"/>
    <m/>
    <n v="1080370"/>
    <m/>
    <m/>
    <m/>
    <s v="Supplier D"/>
    <s v="Component 5"/>
  </r>
  <r>
    <x v="68"/>
    <x v="4"/>
    <x v="0"/>
    <m/>
    <x v="10"/>
    <n v="2306429"/>
    <m/>
    <n v="2306429"/>
    <m/>
    <m/>
    <m/>
    <s v="Supplier D"/>
    <s v="Component 6"/>
  </r>
  <r>
    <x v="68"/>
    <x v="4"/>
    <x v="0"/>
    <m/>
    <x v="10"/>
    <m/>
    <n v="661583.20000000007"/>
    <n v="-661583.20000000007"/>
    <m/>
    <m/>
    <m/>
    <m/>
    <s v="Component 1"/>
  </r>
  <r>
    <x v="68"/>
    <x v="4"/>
    <x v="0"/>
    <m/>
    <x v="10"/>
    <m/>
    <n v="957947.75999999989"/>
    <n v="-957947.75999999989"/>
    <m/>
    <m/>
    <m/>
    <m/>
    <s v="Component 2"/>
  </r>
  <r>
    <x v="68"/>
    <x v="4"/>
    <x v="0"/>
    <m/>
    <x v="10"/>
    <m/>
    <n v="2363213.31"/>
    <n v="-2363213.31"/>
    <m/>
    <m/>
    <m/>
    <m/>
    <s v="Component 3"/>
  </r>
  <r>
    <x v="68"/>
    <x v="4"/>
    <x v="0"/>
    <m/>
    <x v="10"/>
    <m/>
    <n v="1875578"/>
    <n v="-1875578"/>
    <m/>
    <m/>
    <m/>
    <m/>
    <s v="Component 4"/>
  </r>
  <r>
    <x v="68"/>
    <x v="4"/>
    <x v="0"/>
    <m/>
    <x v="10"/>
    <m/>
    <n v="1080370"/>
    <n v="-1080370"/>
    <m/>
    <m/>
    <m/>
    <m/>
    <s v="Component 5"/>
  </r>
  <r>
    <x v="68"/>
    <x v="4"/>
    <x v="0"/>
    <m/>
    <x v="10"/>
    <m/>
    <n v="2306429"/>
    <n v="-2306429"/>
    <m/>
    <m/>
    <m/>
    <m/>
    <s v="Component 6"/>
  </r>
  <r>
    <x v="68"/>
    <x v="4"/>
    <x v="0"/>
    <m/>
    <x v="7"/>
    <m/>
    <n v="661583.20000000007"/>
    <n v="-661583.20000000007"/>
    <m/>
    <m/>
    <m/>
    <s v="Component 1"/>
    <s v="Supplier A"/>
  </r>
  <r>
    <x v="68"/>
    <x v="4"/>
    <x v="0"/>
    <m/>
    <x v="7"/>
    <m/>
    <n v="957947.75999999989"/>
    <n v="-957947.75999999989"/>
    <m/>
    <m/>
    <m/>
    <s v="Component 2"/>
    <s v="Supplier A"/>
  </r>
  <r>
    <x v="68"/>
    <x v="4"/>
    <x v="0"/>
    <m/>
    <x v="7"/>
    <m/>
    <n v="2363213.31"/>
    <n v="-2363213.31"/>
    <m/>
    <m/>
    <m/>
    <s v="Component 3"/>
    <s v="Supplier A"/>
  </r>
  <r>
    <x v="68"/>
    <x v="4"/>
    <x v="0"/>
    <m/>
    <x v="7"/>
    <m/>
    <n v="1875578"/>
    <n v="-1875578"/>
    <m/>
    <m/>
    <m/>
    <s v="Component 4"/>
    <s v="Supplier B"/>
  </r>
  <r>
    <x v="68"/>
    <x v="4"/>
    <x v="0"/>
    <m/>
    <x v="7"/>
    <m/>
    <n v="1080370"/>
    <n v="-1080370"/>
    <m/>
    <m/>
    <m/>
    <s v="Component 5"/>
    <s v="Supplier D"/>
  </r>
  <r>
    <x v="68"/>
    <x v="4"/>
    <x v="0"/>
    <m/>
    <x v="7"/>
    <m/>
    <n v="2306429"/>
    <n v="-2306429"/>
    <m/>
    <m/>
    <m/>
    <s v="Component 6"/>
    <s v="Supplier D"/>
  </r>
  <r>
    <x v="69"/>
    <x v="4"/>
    <x v="0"/>
    <m/>
    <x v="2"/>
    <n v="3776886"/>
    <m/>
    <n v="3776886"/>
    <m/>
    <m/>
    <m/>
    <s v="Product C"/>
    <s v="Client 1"/>
  </r>
  <r>
    <x v="69"/>
    <x v="4"/>
    <x v="0"/>
    <m/>
    <x v="10"/>
    <n v="3472739.7840000005"/>
    <m/>
    <n v="3472739.7840000005"/>
    <m/>
    <m/>
    <m/>
    <m/>
    <s v="Product C"/>
  </r>
  <r>
    <x v="69"/>
    <x v="4"/>
    <x v="0"/>
    <m/>
    <x v="11"/>
    <n v="3829096.6439999994"/>
    <m/>
    <n v="3829096.6439999994"/>
    <m/>
    <m/>
    <m/>
    <m/>
    <m/>
  </r>
  <r>
    <x v="69"/>
    <x v="4"/>
    <x v="0"/>
    <m/>
    <x v="12"/>
    <n v="1995966.7620000001"/>
    <m/>
    <n v="1995966.7620000001"/>
    <m/>
    <m/>
    <m/>
    <m/>
    <m/>
  </r>
  <r>
    <x v="69"/>
    <x v="4"/>
    <x v="0"/>
    <m/>
    <x v="13"/>
    <n v="3656849.2800000003"/>
    <m/>
    <n v="3656849.2800000003"/>
    <m/>
    <m/>
    <m/>
    <m/>
    <m/>
  </r>
  <r>
    <x v="69"/>
    <x v="4"/>
    <x v="0"/>
    <m/>
    <x v="13"/>
    <m/>
    <n v="3472739.7840000005"/>
    <n v="-3472739.7840000005"/>
    <m/>
    <m/>
    <m/>
    <m/>
    <s v="Product C"/>
  </r>
  <r>
    <x v="69"/>
    <x v="4"/>
    <x v="0"/>
    <m/>
    <x v="15"/>
    <m/>
    <n v="3776886"/>
    <n v="-3776886"/>
    <m/>
    <m/>
    <m/>
    <s v="Product C"/>
    <s v="Client 1"/>
  </r>
  <r>
    <x v="69"/>
    <x v="4"/>
    <x v="0"/>
    <m/>
    <x v="14"/>
    <m/>
    <n v="236791.416"/>
    <n v="-236791.416"/>
    <m/>
    <m/>
    <m/>
    <m/>
    <m/>
  </r>
  <r>
    <x v="70"/>
    <x v="4"/>
    <x v="0"/>
    <m/>
    <x v="2"/>
    <n v="567120"/>
    <m/>
    <n v="567120"/>
    <m/>
    <m/>
    <m/>
    <s v="Product A"/>
    <s v="Client 5"/>
  </r>
  <r>
    <x v="70"/>
    <x v="4"/>
    <x v="0"/>
    <m/>
    <x v="2"/>
    <n v="1392341"/>
    <m/>
    <n v="1392341"/>
    <m/>
    <m/>
    <m/>
    <s v="Product B"/>
    <s v="Client 8"/>
  </r>
  <r>
    <x v="70"/>
    <x v="4"/>
    <x v="0"/>
    <m/>
    <x v="2"/>
    <m/>
    <n v="1025715"/>
    <n v="-1025715"/>
    <m/>
    <m/>
    <m/>
    <s v="Product A"/>
    <s v="Client 2"/>
  </r>
  <r>
    <x v="70"/>
    <x v="4"/>
    <x v="0"/>
    <m/>
    <x v="3"/>
    <n v="1025715"/>
    <m/>
    <n v="1025715"/>
    <m/>
    <m/>
    <m/>
    <s v="Product A"/>
    <s v="Client 2"/>
  </r>
  <r>
    <x v="70"/>
    <x v="4"/>
    <x v="0"/>
    <m/>
    <x v="10"/>
    <n v="506414.53"/>
    <m/>
    <n v="506414.53"/>
    <m/>
    <m/>
    <m/>
    <m/>
    <s v="Product A"/>
  </r>
  <r>
    <x v="70"/>
    <x v="4"/>
    <x v="0"/>
    <m/>
    <x v="10"/>
    <n v="1016220.1380000002"/>
    <m/>
    <n v="1016220.1380000002"/>
    <m/>
    <m/>
    <m/>
    <m/>
    <s v="Product B"/>
  </r>
  <r>
    <x v="70"/>
    <x v="4"/>
    <x v="0"/>
    <m/>
    <x v="11"/>
    <m/>
    <n v="506414.53"/>
    <n v="-506414.53"/>
    <m/>
    <m/>
    <m/>
    <m/>
    <s v="Product A"/>
  </r>
  <r>
    <x v="70"/>
    <x v="4"/>
    <x v="0"/>
    <m/>
    <x v="12"/>
    <m/>
    <n v="1016220.1380000002"/>
    <n v="-1016220.1380000002"/>
    <m/>
    <m/>
    <m/>
    <m/>
    <s v="Product B"/>
  </r>
  <r>
    <x v="70"/>
    <x v="4"/>
    <x v="0"/>
    <m/>
    <x v="15"/>
    <m/>
    <n v="567120"/>
    <n v="-567120"/>
    <m/>
    <m/>
    <m/>
    <s v="Product A"/>
    <s v="Client 5"/>
  </r>
  <r>
    <x v="70"/>
    <x v="4"/>
    <x v="0"/>
    <m/>
    <x v="15"/>
    <m/>
    <n v="1392341"/>
    <n v="-1392341"/>
    <m/>
    <m/>
    <m/>
    <s v="Product B"/>
    <s v="Client 8"/>
  </r>
  <r>
    <x v="71"/>
    <x v="4"/>
    <x v="0"/>
    <m/>
    <x v="0"/>
    <n v="945000"/>
    <m/>
    <n v="945000"/>
    <m/>
    <m/>
    <m/>
    <s v="Component 2"/>
    <s v="Supplier A"/>
  </r>
  <r>
    <x v="71"/>
    <x v="4"/>
    <x v="0"/>
    <m/>
    <x v="2"/>
    <n v="846009"/>
    <m/>
    <n v="846009"/>
    <m/>
    <m/>
    <m/>
    <s v="Product B"/>
    <s v="Client 4"/>
  </r>
  <r>
    <x v="71"/>
    <x v="4"/>
    <x v="0"/>
    <m/>
    <x v="3"/>
    <m/>
    <n v="945000"/>
    <n v="-945000"/>
    <m/>
    <m/>
    <m/>
    <s v="Component 2"/>
    <s v="Supplier A"/>
  </r>
  <r>
    <x v="71"/>
    <x v="4"/>
    <x v="0"/>
    <m/>
    <x v="10"/>
    <n v="527983.18200000003"/>
    <m/>
    <n v="527983.18200000003"/>
    <m/>
    <m/>
    <m/>
    <m/>
    <s v="Product B"/>
  </r>
  <r>
    <x v="71"/>
    <x v="4"/>
    <x v="0"/>
    <m/>
    <x v="12"/>
    <m/>
    <n v="527983.18200000003"/>
    <n v="-527983.18200000003"/>
    <m/>
    <m/>
    <m/>
    <m/>
    <s v="Product B"/>
  </r>
  <r>
    <x v="71"/>
    <x v="4"/>
    <x v="0"/>
    <m/>
    <x v="15"/>
    <m/>
    <n v="846009"/>
    <n v="-846009"/>
    <m/>
    <m/>
    <m/>
    <s v="Product B"/>
    <s v="Client 4"/>
  </r>
  <r>
    <x v="72"/>
    <x v="4"/>
    <x v="0"/>
    <m/>
    <x v="2"/>
    <n v="902070"/>
    <m/>
    <n v="902070"/>
    <m/>
    <m/>
    <m/>
    <s v="Product A"/>
    <s v="Client 2"/>
  </r>
  <r>
    <x v="72"/>
    <x v="4"/>
    <x v="0"/>
    <m/>
    <x v="2"/>
    <m/>
    <n v="1005360"/>
    <n v="-1005360"/>
    <m/>
    <m/>
    <m/>
    <s v="Product B"/>
    <s v="Client 8"/>
  </r>
  <r>
    <x v="72"/>
    <x v="4"/>
    <x v="0"/>
    <m/>
    <x v="3"/>
    <n v="1005360"/>
    <m/>
    <n v="1005360"/>
    <m/>
    <m/>
    <m/>
    <s v="Product B"/>
    <s v="Client 8"/>
  </r>
  <r>
    <x v="72"/>
    <x v="4"/>
    <x v="0"/>
    <m/>
    <x v="10"/>
    <n v="594838.83600000001"/>
    <m/>
    <n v="594838.83600000001"/>
    <m/>
    <m/>
    <m/>
    <m/>
    <s v="Product A"/>
  </r>
  <r>
    <x v="72"/>
    <x v="4"/>
    <x v="0"/>
    <m/>
    <x v="11"/>
    <m/>
    <n v="594838.83600000001"/>
    <n v="-594838.83600000001"/>
    <m/>
    <m/>
    <m/>
    <m/>
    <s v="Product A"/>
  </r>
  <r>
    <x v="72"/>
    <x v="4"/>
    <x v="0"/>
    <m/>
    <x v="15"/>
    <m/>
    <n v="902070"/>
    <n v="-902070"/>
    <m/>
    <m/>
    <m/>
    <s v="Product A"/>
    <s v="Client 2"/>
  </r>
  <r>
    <x v="73"/>
    <x v="4"/>
    <x v="0"/>
    <m/>
    <x v="0"/>
    <n v="935000"/>
    <m/>
    <n v="935000"/>
    <m/>
    <m/>
    <m/>
    <s v="Component 5"/>
    <s v="Supplier D"/>
  </r>
  <r>
    <x v="73"/>
    <x v="4"/>
    <x v="0"/>
    <m/>
    <x v="3"/>
    <m/>
    <n v="935000"/>
    <n v="-935000"/>
    <m/>
    <m/>
    <m/>
    <s v="Component 5"/>
    <s v="Supplier D"/>
  </r>
  <r>
    <x v="74"/>
    <x v="4"/>
    <x v="0"/>
    <m/>
    <x v="0"/>
    <n v="2090000"/>
    <m/>
    <n v="2090000"/>
    <m/>
    <m/>
    <m/>
    <s v="Component 6"/>
    <s v="Supplier D"/>
  </r>
  <r>
    <x v="74"/>
    <x v="4"/>
    <x v="0"/>
    <m/>
    <x v="3"/>
    <m/>
    <n v="2090000"/>
    <n v="-2090000"/>
    <m/>
    <m/>
    <m/>
    <s v="Component 6"/>
    <s v="Supplier D"/>
  </r>
  <r>
    <x v="75"/>
    <x v="4"/>
    <x v="0"/>
    <m/>
    <x v="2"/>
    <m/>
    <n v="3772578"/>
    <n v="-3772578"/>
    <m/>
    <m/>
    <m/>
    <s v="Product C"/>
    <s v="Client 1"/>
  </r>
  <r>
    <x v="75"/>
    <x v="4"/>
    <x v="0"/>
    <m/>
    <x v="3"/>
    <n v="3772578"/>
    <m/>
    <n v="3772578"/>
    <m/>
    <m/>
    <m/>
    <s v="Product C"/>
    <s v="Client 1"/>
  </r>
  <r>
    <x v="76"/>
    <x v="4"/>
    <x v="0"/>
    <m/>
    <x v="0"/>
    <n v="760000"/>
    <m/>
    <n v="760000"/>
    <m/>
    <m/>
    <m/>
    <s v="Component 1"/>
    <s v="Supplier A"/>
  </r>
  <r>
    <x v="76"/>
    <x v="4"/>
    <x v="0"/>
    <m/>
    <x v="3"/>
    <m/>
    <n v="760000"/>
    <n v="-760000"/>
    <m/>
    <m/>
    <m/>
    <s v="Component 1"/>
    <s v="Supplier A"/>
  </r>
  <r>
    <x v="76"/>
    <x v="4"/>
    <x v="0"/>
    <m/>
    <x v="3"/>
    <n v="273400"/>
    <m/>
    <n v="273400"/>
    <m/>
    <m/>
    <m/>
    <s v="Product C"/>
    <s v="Client 3"/>
  </r>
  <r>
    <x v="55"/>
    <x v="2"/>
    <x v="0"/>
    <m/>
    <x v="2"/>
    <n v="1466607"/>
    <m/>
    <n v="1466607"/>
    <m/>
    <m/>
    <m/>
    <s v="Product C"/>
    <s v="Client 3"/>
  </r>
  <r>
    <x v="77"/>
    <x v="4"/>
    <x v="0"/>
    <m/>
    <x v="2"/>
    <n v="713388"/>
    <m/>
    <n v="713388"/>
    <m/>
    <m/>
    <m/>
    <s v="Product B"/>
    <s v="Client 6"/>
  </r>
  <r>
    <x v="77"/>
    <x v="4"/>
    <x v="0"/>
    <m/>
    <x v="10"/>
    <n v="184109.49600000001"/>
    <m/>
    <n v="184109.49600000001"/>
    <m/>
    <m/>
    <m/>
    <m/>
    <s v="Product C"/>
  </r>
  <r>
    <x v="77"/>
    <x v="4"/>
    <x v="0"/>
    <m/>
    <x v="10"/>
    <n v="451763.44200000004"/>
    <m/>
    <n v="451763.44200000004"/>
    <m/>
    <m/>
    <m/>
    <m/>
    <s v="Product B"/>
  </r>
  <r>
    <x v="77"/>
    <x v="4"/>
    <x v="0"/>
    <m/>
    <x v="12"/>
    <m/>
    <n v="451763.44200000004"/>
    <n v="-451763.44200000004"/>
    <m/>
    <m/>
    <m/>
    <m/>
    <s v="Product B"/>
  </r>
  <r>
    <x v="77"/>
    <x v="4"/>
    <x v="0"/>
    <m/>
    <x v="13"/>
    <m/>
    <n v="184109.49600000001"/>
    <n v="-184109.49600000001"/>
    <m/>
    <m/>
    <m/>
    <m/>
    <s v="Product C"/>
  </r>
  <r>
    <x v="77"/>
    <x v="4"/>
    <x v="0"/>
    <m/>
    <x v="15"/>
    <m/>
    <n v="173788"/>
    <n v="-173788"/>
    <m/>
    <m/>
    <m/>
    <s v="Product C"/>
    <s v="Client 3"/>
  </r>
  <r>
    <x v="77"/>
    <x v="4"/>
    <x v="0"/>
    <m/>
    <x v="15"/>
    <m/>
    <n v="713388"/>
    <n v="-713388"/>
    <m/>
    <m/>
    <m/>
    <s v="Product B"/>
    <s v="Client 6"/>
  </r>
  <r>
    <x v="78"/>
    <x v="4"/>
    <x v="0"/>
    <m/>
    <x v="2"/>
    <m/>
    <n v="585872"/>
    <n v="-585872"/>
    <m/>
    <m/>
    <m/>
    <s v="Product B"/>
    <s v="Client 6"/>
  </r>
  <r>
    <x v="78"/>
    <x v="4"/>
    <x v="0"/>
    <m/>
    <x v="3"/>
    <n v="585872"/>
    <m/>
    <n v="585872"/>
    <m/>
    <m/>
    <m/>
    <s v="Product B"/>
    <s v="Client 6"/>
  </r>
  <r>
    <x v="79"/>
    <x v="4"/>
    <x v="0"/>
    <m/>
    <x v="2"/>
    <m/>
    <n v="1402960"/>
    <n v="-1402960"/>
    <m/>
    <m/>
    <m/>
    <s v="Product B"/>
    <s v="Client 8"/>
  </r>
  <r>
    <x v="79"/>
    <x v="4"/>
    <x v="0"/>
    <m/>
    <x v="3"/>
    <n v="1402960"/>
    <m/>
    <n v="1402960"/>
    <m/>
    <m/>
    <m/>
    <s v="Product B"/>
    <s v="Client 8"/>
  </r>
  <r>
    <x v="80"/>
    <x v="4"/>
    <x v="0"/>
    <m/>
    <x v="2"/>
    <n v="933504"/>
    <m/>
    <n v="933504"/>
    <m/>
    <m/>
    <m/>
    <s v="Product A"/>
    <s v="Client 7"/>
  </r>
  <r>
    <x v="80"/>
    <x v="4"/>
    <x v="0"/>
    <m/>
    <x v="2"/>
    <n v="1233648"/>
    <m/>
    <n v="1233648"/>
    <m/>
    <m/>
    <m/>
    <s v="Product A"/>
    <s v="Client 9"/>
  </r>
  <r>
    <x v="80"/>
    <x v="4"/>
    <x v="0"/>
    <m/>
    <x v="2"/>
    <n v="1338336"/>
    <m/>
    <n v="1338336"/>
    <m/>
    <m/>
    <m/>
    <s v="Product A"/>
    <s v="Client 10"/>
  </r>
  <r>
    <x v="80"/>
    <x v="4"/>
    <x v="0"/>
    <m/>
    <x v="10"/>
    <n v="817727.86066666641"/>
    <m/>
    <n v="817727.86066666641"/>
    <m/>
    <m/>
    <m/>
    <m/>
    <s v="Product A"/>
  </r>
  <r>
    <x v="80"/>
    <x v="4"/>
    <x v="0"/>
    <m/>
    <x v="10"/>
    <n v="1065127.3246666663"/>
    <m/>
    <n v="1065127.3246666663"/>
    <m/>
    <m/>
    <m/>
    <m/>
    <s v="Product A"/>
  </r>
  <r>
    <x v="80"/>
    <x v="4"/>
    <x v="0"/>
    <m/>
    <x v="10"/>
    <n v="844988.09266666637"/>
    <m/>
    <n v="844988.09266666637"/>
    <m/>
    <m/>
    <m/>
    <m/>
    <s v="Product A"/>
  </r>
  <r>
    <x v="80"/>
    <x v="4"/>
    <x v="0"/>
    <m/>
    <x v="11"/>
    <m/>
    <n v="817727.86066666641"/>
    <n v="-817727.86066666641"/>
    <m/>
    <m/>
    <m/>
    <m/>
    <s v="Product A"/>
  </r>
  <r>
    <x v="80"/>
    <x v="4"/>
    <x v="0"/>
    <m/>
    <x v="11"/>
    <m/>
    <n v="1065127.3246666663"/>
    <n v="-1065127.3246666663"/>
    <m/>
    <m/>
    <m/>
    <m/>
    <s v="Product A"/>
  </r>
  <r>
    <x v="80"/>
    <x v="4"/>
    <x v="0"/>
    <m/>
    <x v="11"/>
    <m/>
    <n v="844988.09266666637"/>
    <n v="-844988.09266666637"/>
    <m/>
    <m/>
    <m/>
    <m/>
    <s v="Product A"/>
  </r>
  <r>
    <x v="80"/>
    <x v="4"/>
    <x v="0"/>
    <m/>
    <x v="15"/>
    <m/>
    <n v="933504"/>
    <n v="-933504"/>
    <m/>
    <m/>
    <m/>
    <s v="Product A"/>
    <s v="Client 7"/>
  </r>
  <r>
    <x v="80"/>
    <x v="4"/>
    <x v="0"/>
    <m/>
    <x v="15"/>
    <m/>
    <n v="1233648"/>
    <n v="-1233648"/>
    <m/>
    <m/>
    <m/>
    <s v="Product A"/>
    <s v="Client 9"/>
  </r>
  <r>
    <x v="80"/>
    <x v="4"/>
    <x v="0"/>
    <m/>
    <x v="15"/>
    <m/>
    <n v="1338336"/>
    <n v="-1338336"/>
    <m/>
    <m/>
    <m/>
    <s v="Product A"/>
    <s v="Client 10"/>
  </r>
  <r>
    <x v="81"/>
    <x v="4"/>
    <x v="0"/>
    <m/>
    <x v="0"/>
    <n v="3300000"/>
    <m/>
    <n v="3300000"/>
    <m/>
    <m/>
    <m/>
    <s v="Component 6"/>
    <s v="Supplier D"/>
  </r>
  <r>
    <x v="81"/>
    <x v="4"/>
    <x v="0"/>
    <m/>
    <x v="3"/>
    <m/>
    <n v="3300000"/>
    <n v="-3300000"/>
    <m/>
    <m/>
    <m/>
    <s v="Component 6"/>
    <s v="Supplier D"/>
  </r>
  <r>
    <x v="82"/>
    <x v="4"/>
    <x v="0"/>
    <m/>
    <x v="2"/>
    <m/>
    <n v="421857"/>
    <n v="-421857"/>
    <m/>
    <m/>
    <m/>
    <s v="Product A"/>
    <s v="Client 5"/>
  </r>
  <r>
    <x v="82"/>
    <x v="4"/>
    <x v="0"/>
    <m/>
    <x v="3"/>
    <n v="421857"/>
    <m/>
    <n v="421857"/>
    <m/>
    <m/>
    <m/>
    <s v="Product A"/>
    <s v="Client 5"/>
  </r>
  <r>
    <x v="83"/>
    <x v="4"/>
    <x v="0"/>
    <m/>
    <x v="16"/>
    <n v="784197"/>
    <m/>
    <n v="784197"/>
    <m/>
    <m/>
    <m/>
    <m/>
    <m/>
  </r>
  <r>
    <x v="83"/>
    <x v="4"/>
    <x v="0"/>
    <m/>
    <x v="3"/>
    <m/>
    <n v="236791.416"/>
    <n v="-236791.416"/>
    <m/>
    <m/>
    <m/>
    <m/>
    <m/>
  </r>
  <r>
    <x v="83"/>
    <x v="4"/>
    <x v="0"/>
    <m/>
    <x v="3"/>
    <m/>
    <n v="900412"/>
    <n v="-900412"/>
    <m/>
    <m/>
    <m/>
    <m/>
    <m/>
  </r>
  <r>
    <x v="83"/>
    <x v="4"/>
    <x v="0"/>
    <m/>
    <x v="3"/>
    <m/>
    <n v="791922"/>
    <n v="-791922"/>
    <m/>
    <m/>
    <m/>
    <m/>
    <m/>
  </r>
  <r>
    <x v="83"/>
    <x v="4"/>
    <x v="0"/>
    <m/>
    <x v="3"/>
    <m/>
    <n v="784197"/>
    <n v="-784197"/>
    <m/>
    <m/>
    <m/>
    <m/>
    <m/>
  </r>
  <r>
    <x v="83"/>
    <x v="4"/>
    <x v="0"/>
    <m/>
    <x v="3"/>
    <n v="1201645"/>
    <m/>
    <n v="1201645"/>
    <m/>
    <m/>
    <m/>
    <m/>
    <m/>
  </r>
  <r>
    <x v="83"/>
    <x v="4"/>
    <x v="0"/>
    <m/>
    <x v="3"/>
    <m/>
    <n v="1229227"/>
    <n v="-1229227"/>
    <m/>
    <m/>
    <m/>
    <m/>
    <m/>
  </r>
  <r>
    <x v="83"/>
    <x v="4"/>
    <x v="0"/>
    <m/>
    <x v="17"/>
    <n v="791922"/>
    <m/>
    <n v="791922"/>
    <m/>
    <m/>
    <m/>
    <m/>
    <m/>
  </r>
  <r>
    <x v="83"/>
    <x v="4"/>
    <x v="0"/>
    <m/>
    <x v="18"/>
    <n v="1229227"/>
    <m/>
    <n v="1229227"/>
    <m/>
    <m/>
    <m/>
    <m/>
    <m/>
  </r>
  <r>
    <x v="83"/>
    <x v="4"/>
    <x v="0"/>
    <m/>
    <x v="19"/>
    <m/>
    <n v="1201645"/>
    <n v="-1201645"/>
    <m/>
    <m/>
    <m/>
    <m/>
    <m/>
  </r>
  <r>
    <x v="83"/>
    <x v="4"/>
    <x v="0"/>
    <m/>
    <x v="20"/>
    <n v="900412"/>
    <m/>
    <n v="900412"/>
    <m/>
    <m/>
    <m/>
    <m/>
    <m/>
  </r>
  <r>
    <x v="83"/>
    <x v="4"/>
    <x v="0"/>
    <m/>
    <x v="14"/>
    <n v="236791.416"/>
    <m/>
    <n v="236791.416"/>
    <m/>
    <m/>
    <m/>
    <m/>
    <m/>
  </r>
  <r>
    <x v="84"/>
    <x v="5"/>
    <x v="0"/>
    <m/>
    <x v="0"/>
    <n v="2000000"/>
    <m/>
    <n v="2000000"/>
    <m/>
    <m/>
    <m/>
    <s v="Component 3"/>
    <s v="Supplier A"/>
  </r>
  <r>
    <x v="84"/>
    <x v="5"/>
    <x v="0"/>
    <m/>
    <x v="2"/>
    <m/>
    <n v="483771"/>
    <n v="-483771"/>
    <m/>
    <m/>
    <m/>
    <s v="Product B"/>
    <s v="Client 6"/>
  </r>
  <r>
    <x v="84"/>
    <x v="5"/>
    <x v="0"/>
    <m/>
    <x v="3"/>
    <m/>
    <n v="2000000"/>
    <n v="-2000000"/>
    <m/>
    <m/>
    <m/>
    <s v="Component 3"/>
    <s v="Supplier A"/>
  </r>
  <r>
    <x v="84"/>
    <x v="5"/>
    <x v="0"/>
    <m/>
    <x v="3"/>
    <n v="483771"/>
    <m/>
    <n v="483771"/>
    <m/>
    <m/>
    <m/>
    <s v="Product B"/>
    <s v="Client 6"/>
  </r>
  <r>
    <x v="84"/>
    <x v="5"/>
    <x v="0"/>
    <m/>
    <x v="3"/>
    <n v="6455000"/>
    <m/>
    <n v="6455000"/>
    <m/>
    <m/>
    <m/>
    <m/>
    <m/>
  </r>
  <r>
    <x v="84"/>
    <x v="5"/>
    <x v="0"/>
    <m/>
    <x v="4"/>
    <n v="9045000"/>
    <m/>
    <n v="9045000"/>
    <m/>
    <m/>
    <m/>
    <m/>
    <m/>
  </r>
  <r>
    <x v="84"/>
    <x v="5"/>
    <x v="0"/>
    <m/>
    <x v="6"/>
    <n v="45000000"/>
    <m/>
    <n v="45000000"/>
    <m/>
    <m/>
    <m/>
    <m/>
    <m/>
  </r>
  <r>
    <x v="84"/>
    <x v="5"/>
    <x v="0"/>
    <m/>
    <x v="8"/>
    <m/>
    <n v="50000000"/>
    <n v="-50000000"/>
    <m/>
    <m/>
    <m/>
    <m/>
    <m/>
  </r>
  <r>
    <x v="84"/>
    <x v="5"/>
    <x v="0"/>
    <m/>
    <x v="9"/>
    <m/>
    <n v="10500000"/>
    <n v="-10500000"/>
    <m/>
    <m/>
    <m/>
    <m/>
    <m/>
  </r>
  <r>
    <x v="85"/>
    <x v="5"/>
    <x v="0"/>
    <m/>
    <x v="0"/>
    <n v="2375000"/>
    <m/>
    <n v="2375000"/>
    <m/>
    <m/>
    <m/>
    <s v="Component 3"/>
    <s v="Supplier A"/>
  </r>
  <r>
    <x v="85"/>
    <x v="5"/>
    <x v="0"/>
    <m/>
    <x v="3"/>
    <m/>
    <n v="2375000"/>
    <n v="-2375000"/>
    <m/>
    <m/>
    <m/>
    <s v="Component 3"/>
    <s v="Supplier A"/>
  </r>
  <r>
    <x v="86"/>
    <x v="5"/>
    <x v="0"/>
    <m/>
    <x v="2"/>
    <m/>
    <n v="1050962"/>
    <n v="-1050962"/>
    <m/>
    <m/>
    <m/>
    <s v="Product A"/>
    <s v="Client 2"/>
  </r>
  <r>
    <x v="86"/>
    <x v="5"/>
    <x v="0"/>
    <m/>
    <x v="3"/>
    <n v="1050962"/>
    <m/>
    <n v="1050962"/>
    <m/>
    <m/>
    <m/>
    <s v="Product A"/>
    <s v="Client 2"/>
  </r>
  <r>
    <x v="87"/>
    <x v="5"/>
    <x v="0"/>
    <m/>
    <x v="0"/>
    <n v="2470000"/>
    <m/>
    <n v="2470000"/>
    <m/>
    <m/>
    <m/>
    <s v="Component 6"/>
    <s v="Supplier D"/>
  </r>
  <r>
    <x v="87"/>
    <x v="5"/>
    <x v="0"/>
    <m/>
    <x v="3"/>
    <m/>
    <n v="2470000"/>
    <n v="-2470000"/>
    <m/>
    <m/>
    <m/>
    <s v="Component 6"/>
    <s v="Supplier D"/>
  </r>
  <r>
    <x v="88"/>
    <x v="5"/>
    <x v="0"/>
    <m/>
    <x v="0"/>
    <m/>
    <n v="800000"/>
    <n v="-800000"/>
    <m/>
    <m/>
    <m/>
    <s v="Component 1"/>
    <s v="Supplier A"/>
  </r>
  <r>
    <x v="88"/>
    <x v="5"/>
    <x v="0"/>
    <m/>
    <x v="0"/>
    <m/>
    <n v="810000"/>
    <n v="-810000"/>
    <m/>
    <m/>
    <m/>
    <s v="Component 2"/>
    <s v="Supplier A"/>
  </r>
  <r>
    <x v="88"/>
    <x v="5"/>
    <x v="0"/>
    <m/>
    <x v="0"/>
    <m/>
    <n v="2210000"/>
    <n v="-2210000"/>
    <m/>
    <m/>
    <m/>
    <s v="Component 3"/>
    <s v="Supplier A"/>
  </r>
  <r>
    <x v="88"/>
    <x v="5"/>
    <x v="0"/>
    <m/>
    <x v="0"/>
    <m/>
    <n v="2420000"/>
    <n v="-2420000"/>
    <m/>
    <m/>
    <m/>
    <s v="Component 4"/>
    <s v="Supplier B"/>
  </r>
  <r>
    <x v="88"/>
    <x v="5"/>
    <x v="0"/>
    <m/>
    <x v="0"/>
    <m/>
    <n v="884000"/>
    <n v="-884000"/>
    <m/>
    <m/>
    <m/>
    <s v="Component 5"/>
    <s v="Supplier D"/>
  </r>
  <r>
    <x v="88"/>
    <x v="5"/>
    <x v="0"/>
    <m/>
    <x v="0"/>
    <m/>
    <n v="1870000"/>
    <n v="-1870000"/>
    <m/>
    <m/>
    <m/>
    <s v="Component 6"/>
    <s v="Supplier D"/>
  </r>
  <r>
    <x v="88"/>
    <x v="5"/>
    <x v="0"/>
    <m/>
    <x v="7"/>
    <n v="800000"/>
    <m/>
    <n v="800000"/>
    <m/>
    <m/>
    <m/>
    <s v="Component 1"/>
    <s v="Supplier A"/>
  </r>
  <r>
    <x v="88"/>
    <x v="5"/>
    <x v="0"/>
    <m/>
    <x v="7"/>
    <n v="810000"/>
    <m/>
    <n v="810000"/>
    <m/>
    <m/>
    <m/>
    <s v="Component 2"/>
    <s v="Supplier A"/>
  </r>
  <r>
    <x v="88"/>
    <x v="5"/>
    <x v="0"/>
    <m/>
    <x v="7"/>
    <n v="2210000"/>
    <m/>
    <n v="2210000"/>
    <m/>
    <m/>
    <m/>
    <s v="Component 3"/>
    <s v="Supplier A"/>
  </r>
  <r>
    <x v="88"/>
    <x v="5"/>
    <x v="0"/>
    <m/>
    <x v="7"/>
    <n v="2420000"/>
    <m/>
    <n v="2420000"/>
    <m/>
    <m/>
    <m/>
    <s v="Component 4"/>
    <s v="Supplier B"/>
  </r>
  <r>
    <x v="88"/>
    <x v="5"/>
    <x v="0"/>
    <m/>
    <x v="7"/>
    <n v="884000"/>
    <m/>
    <n v="884000"/>
    <m/>
    <m/>
    <m/>
    <s v="Component 5"/>
    <s v="Supplier D"/>
  </r>
  <r>
    <x v="88"/>
    <x v="5"/>
    <x v="0"/>
    <m/>
    <x v="7"/>
    <n v="1870000"/>
    <m/>
    <n v="1870000"/>
    <m/>
    <m/>
    <m/>
    <s v="Component 6"/>
    <s v="Supplier D"/>
  </r>
  <r>
    <x v="89"/>
    <x v="5"/>
    <x v="0"/>
    <m/>
    <x v="0"/>
    <n v="800000"/>
    <m/>
    <n v="800000"/>
    <m/>
    <m/>
    <m/>
    <s v="Component 1"/>
    <s v="Supplier A"/>
  </r>
  <r>
    <x v="89"/>
    <x v="5"/>
    <x v="0"/>
    <m/>
    <x v="3"/>
    <m/>
    <n v="800000"/>
    <n v="-800000"/>
    <m/>
    <m/>
    <m/>
    <s v="Component 1"/>
    <s v="Supplier A"/>
  </r>
  <r>
    <x v="90"/>
    <x v="5"/>
    <x v="0"/>
    <m/>
    <x v="2"/>
    <m/>
    <n v="3776886"/>
    <n v="-3776886"/>
    <m/>
    <m/>
    <m/>
    <s v="Product C"/>
    <s v="Client 1"/>
  </r>
  <r>
    <x v="90"/>
    <x v="5"/>
    <x v="0"/>
    <m/>
    <x v="3"/>
    <n v="3776886"/>
    <m/>
    <n v="3776886"/>
    <m/>
    <m/>
    <m/>
    <s v="Product C"/>
    <s v="Client 1"/>
  </r>
  <r>
    <x v="91"/>
    <x v="5"/>
    <x v="0"/>
    <m/>
    <x v="10"/>
    <n v="563456.80000000005"/>
    <m/>
    <n v="563456.80000000005"/>
    <m/>
    <m/>
    <m/>
    <s v="Supplier A"/>
    <s v="Component 1"/>
  </r>
  <r>
    <x v="91"/>
    <x v="5"/>
    <x v="0"/>
    <m/>
    <x v="10"/>
    <n v="838781.94"/>
    <m/>
    <n v="838781.94"/>
    <m/>
    <m/>
    <m/>
    <s v="Supplier A"/>
    <s v="Component 2"/>
  </r>
  <r>
    <x v="91"/>
    <x v="5"/>
    <x v="0"/>
    <m/>
    <x v="10"/>
    <n v="1794753.0600000003"/>
    <m/>
    <n v="1794753.0600000003"/>
    <m/>
    <m/>
    <m/>
    <s v="Supplier A"/>
    <s v="Component 3"/>
  </r>
  <r>
    <x v="91"/>
    <x v="5"/>
    <x v="0"/>
    <m/>
    <x v="10"/>
    <n v="1493282"/>
    <m/>
    <n v="1493282"/>
    <m/>
    <m/>
    <m/>
    <s v="Supplier B"/>
    <s v="Component 4"/>
  </r>
  <r>
    <x v="91"/>
    <x v="5"/>
    <x v="0"/>
    <m/>
    <x v="10"/>
    <n v="894125.59999999986"/>
    <m/>
    <n v="894125.59999999986"/>
    <m/>
    <m/>
    <m/>
    <s v="Supplier D"/>
    <s v="Component 5"/>
  </r>
  <r>
    <x v="91"/>
    <x v="5"/>
    <x v="0"/>
    <m/>
    <x v="10"/>
    <n v="2065456"/>
    <m/>
    <n v="2065456"/>
    <m/>
    <m/>
    <m/>
    <s v="Supplier D"/>
    <s v="Component 6"/>
  </r>
  <r>
    <x v="91"/>
    <x v="5"/>
    <x v="0"/>
    <m/>
    <x v="10"/>
    <m/>
    <n v="563456.80000000005"/>
    <n v="-563456.80000000005"/>
    <m/>
    <m/>
    <m/>
    <m/>
    <s v="Component 1"/>
  </r>
  <r>
    <x v="91"/>
    <x v="5"/>
    <x v="0"/>
    <m/>
    <x v="10"/>
    <m/>
    <n v="838781.94"/>
    <n v="-838781.94"/>
    <m/>
    <m/>
    <m/>
    <m/>
    <s v="Component 2"/>
  </r>
  <r>
    <x v="91"/>
    <x v="5"/>
    <x v="0"/>
    <m/>
    <x v="10"/>
    <m/>
    <n v="1794753.0600000003"/>
    <n v="-1794753.0600000003"/>
    <m/>
    <m/>
    <m/>
    <m/>
    <s v="Component 3"/>
  </r>
  <r>
    <x v="91"/>
    <x v="5"/>
    <x v="0"/>
    <m/>
    <x v="10"/>
    <m/>
    <n v="1493282"/>
    <n v="-1493282"/>
    <m/>
    <m/>
    <m/>
    <m/>
    <s v="Component 4"/>
  </r>
  <r>
    <x v="91"/>
    <x v="5"/>
    <x v="0"/>
    <m/>
    <x v="10"/>
    <m/>
    <n v="894125.59999999986"/>
    <n v="-894125.59999999986"/>
    <m/>
    <m/>
    <m/>
    <m/>
    <s v="Component 5"/>
  </r>
  <r>
    <x v="91"/>
    <x v="5"/>
    <x v="0"/>
    <m/>
    <x v="10"/>
    <m/>
    <n v="2065456"/>
    <n v="-2065456"/>
    <m/>
    <m/>
    <m/>
    <m/>
    <s v="Component 6"/>
  </r>
  <r>
    <x v="91"/>
    <x v="5"/>
    <x v="0"/>
    <m/>
    <x v="7"/>
    <m/>
    <n v="563456.80000000005"/>
    <n v="-563456.80000000005"/>
    <m/>
    <m/>
    <m/>
    <s v="Component 1"/>
    <s v="Supplier A"/>
  </r>
  <r>
    <x v="91"/>
    <x v="5"/>
    <x v="0"/>
    <m/>
    <x v="7"/>
    <m/>
    <n v="838781.94"/>
    <n v="-838781.94"/>
    <m/>
    <m/>
    <m/>
    <s v="Component 2"/>
    <s v="Supplier A"/>
  </r>
  <r>
    <x v="91"/>
    <x v="5"/>
    <x v="0"/>
    <m/>
    <x v="7"/>
    <m/>
    <n v="1794753.0600000003"/>
    <n v="-1794753.0600000003"/>
    <m/>
    <m/>
    <m/>
    <s v="Component 3"/>
    <s v="Supplier A"/>
  </r>
  <r>
    <x v="91"/>
    <x v="5"/>
    <x v="0"/>
    <m/>
    <x v="7"/>
    <m/>
    <n v="1493282"/>
    <n v="-1493282"/>
    <m/>
    <m/>
    <m/>
    <s v="Component 4"/>
    <s v="Supplier B"/>
  </r>
  <r>
    <x v="91"/>
    <x v="5"/>
    <x v="0"/>
    <m/>
    <x v="7"/>
    <m/>
    <n v="894125.59999999986"/>
    <n v="-894125.59999999986"/>
    <m/>
    <m/>
    <m/>
    <s v="Component 5"/>
    <s v="Supplier D"/>
  </r>
  <r>
    <x v="91"/>
    <x v="5"/>
    <x v="0"/>
    <m/>
    <x v="7"/>
    <m/>
    <n v="2065456"/>
    <n v="-2065456"/>
    <m/>
    <m/>
    <m/>
    <s v="Component 6"/>
    <s v="Supplier D"/>
  </r>
  <r>
    <x v="92"/>
    <x v="5"/>
    <x v="0"/>
    <m/>
    <x v="2"/>
    <n v="675328"/>
    <m/>
    <n v="675328"/>
    <m/>
    <m/>
    <m/>
    <s v="Product B"/>
    <s v="Client 6"/>
  </r>
  <r>
    <x v="92"/>
    <x v="5"/>
    <x v="0"/>
    <m/>
    <x v="10"/>
    <n v="385696.70400000009"/>
    <m/>
    <n v="385696.70400000009"/>
    <m/>
    <m/>
    <m/>
    <m/>
    <s v="Product B"/>
  </r>
  <r>
    <x v="92"/>
    <x v="5"/>
    <x v="0"/>
    <m/>
    <x v="11"/>
    <n v="3149465.906"/>
    <m/>
    <n v="3149465.906"/>
    <m/>
    <m/>
    <m/>
    <m/>
    <m/>
  </r>
  <r>
    <x v="92"/>
    <x v="5"/>
    <x v="0"/>
    <m/>
    <x v="12"/>
    <n v="1622981.9040000003"/>
    <m/>
    <n v="1622981.9040000003"/>
    <m/>
    <m/>
    <m/>
    <m/>
    <m/>
  </r>
  <r>
    <x v="92"/>
    <x v="5"/>
    <x v="0"/>
    <m/>
    <x v="12"/>
    <m/>
    <n v="385696.70400000009"/>
    <n v="-385696.70400000009"/>
    <m/>
    <m/>
    <m/>
    <m/>
    <s v="Product B"/>
  </r>
  <r>
    <x v="92"/>
    <x v="5"/>
    <x v="0"/>
    <m/>
    <x v="13"/>
    <n v="3102727.6159999999"/>
    <m/>
    <n v="3102727.6159999999"/>
    <m/>
    <m/>
    <m/>
    <m/>
    <m/>
  </r>
  <r>
    <x v="92"/>
    <x v="5"/>
    <x v="0"/>
    <m/>
    <x v="15"/>
    <m/>
    <n v="675328"/>
    <n v="-675328"/>
    <m/>
    <m/>
    <m/>
    <s v="Product B"/>
    <s v="Client 6"/>
  </r>
  <r>
    <x v="92"/>
    <x v="5"/>
    <x v="0"/>
    <m/>
    <x v="14"/>
    <m/>
    <n v="225320.02600000001"/>
    <n v="-225320.02600000001"/>
    <m/>
    <m/>
    <m/>
    <m/>
    <m/>
  </r>
  <r>
    <x v="93"/>
    <x v="5"/>
    <x v="0"/>
    <m/>
    <x v="2"/>
    <n v="1641031"/>
    <m/>
    <n v="1641031"/>
    <m/>
    <m/>
    <m/>
    <s v="Product A"/>
    <s v="Client 9"/>
  </r>
  <r>
    <x v="93"/>
    <x v="5"/>
    <x v="0"/>
    <m/>
    <x v="2"/>
    <m/>
    <n v="1096316"/>
    <n v="-1096316"/>
    <m/>
    <m/>
    <m/>
    <s v="Product A"/>
    <s v="Client 10"/>
  </r>
  <r>
    <x v="93"/>
    <x v="5"/>
    <x v="0"/>
    <m/>
    <x v="3"/>
    <n v="1096316"/>
    <m/>
    <n v="1096316"/>
    <m/>
    <m/>
    <m/>
    <s v="Product A"/>
    <s v="Client 10"/>
  </r>
  <r>
    <x v="93"/>
    <x v="5"/>
    <x v="0"/>
    <m/>
    <x v="10"/>
    <n v="997180.00599999994"/>
    <m/>
    <n v="997180.00599999994"/>
    <m/>
    <m/>
    <m/>
    <m/>
    <s v="Product A"/>
  </r>
  <r>
    <x v="93"/>
    <x v="5"/>
    <x v="0"/>
    <m/>
    <x v="11"/>
    <m/>
    <n v="997180.00599999994"/>
    <n v="-997180.00599999994"/>
    <m/>
    <m/>
    <m/>
    <m/>
    <s v="Product A"/>
  </r>
  <r>
    <x v="93"/>
    <x v="5"/>
    <x v="0"/>
    <m/>
    <x v="15"/>
    <m/>
    <n v="1641031"/>
    <n v="-1641031"/>
    <m/>
    <m/>
    <m/>
    <s v="Product A"/>
    <s v="Client 9"/>
  </r>
  <r>
    <x v="94"/>
    <x v="5"/>
    <x v="0"/>
    <m/>
    <x v="2"/>
    <n v="3504204"/>
    <m/>
    <n v="3504204"/>
    <m/>
    <m/>
    <m/>
    <s v="Product C"/>
    <s v="Client 1"/>
  </r>
  <r>
    <x v="94"/>
    <x v="5"/>
    <x v="0"/>
    <m/>
    <x v="2"/>
    <n v="804344"/>
    <m/>
    <n v="804344"/>
    <m/>
    <m/>
    <m/>
    <s v="Product A"/>
    <s v="Client 5"/>
  </r>
  <r>
    <x v="94"/>
    <x v="5"/>
    <x v="0"/>
    <m/>
    <x v="10"/>
    <n v="2175367.3680000002"/>
    <m/>
    <n v="2175367.3680000002"/>
    <m/>
    <m/>
    <m/>
    <m/>
    <s v="Product C"/>
  </r>
  <r>
    <x v="94"/>
    <x v="5"/>
    <x v="0"/>
    <m/>
    <x v="10"/>
    <n v="592884.73600000003"/>
    <m/>
    <n v="592884.73600000003"/>
    <m/>
    <m/>
    <m/>
    <m/>
    <s v="Product A"/>
  </r>
  <r>
    <x v="94"/>
    <x v="5"/>
    <x v="0"/>
    <m/>
    <x v="11"/>
    <m/>
    <n v="592884.73600000003"/>
    <n v="-592884.73600000003"/>
    <m/>
    <m/>
    <m/>
    <m/>
    <s v="Product A"/>
  </r>
  <r>
    <x v="94"/>
    <x v="5"/>
    <x v="0"/>
    <m/>
    <x v="13"/>
    <m/>
    <n v="2175367.3680000002"/>
    <n v="-2175367.3680000002"/>
    <m/>
    <m/>
    <m/>
    <m/>
    <s v="Product C"/>
  </r>
  <r>
    <x v="94"/>
    <x v="5"/>
    <x v="0"/>
    <m/>
    <x v="15"/>
    <m/>
    <n v="3504204"/>
    <n v="-3504204"/>
    <m/>
    <m/>
    <m/>
    <s v="Product C"/>
    <s v="Client 1"/>
  </r>
  <r>
    <x v="94"/>
    <x v="5"/>
    <x v="0"/>
    <m/>
    <x v="15"/>
    <m/>
    <n v="804344"/>
    <n v="-804344"/>
    <m/>
    <m/>
    <m/>
    <s v="Product A"/>
    <s v="Client 5"/>
  </r>
  <r>
    <x v="95"/>
    <x v="5"/>
    <x v="0"/>
    <m/>
    <x v="2"/>
    <n v="600600"/>
    <m/>
    <n v="600600"/>
    <m/>
    <m/>
    <m/>
    <s v="Product A"/>
    <s v="Client 10"/>
  </r>
  <r>
    <x v="95"/>
    <x v="5"/>
    <x v="0"/>
    <m/>
    <x v="2"/>
    <m/>
    <n v="664416"/>
    <n v="-664416"/>
    <m/>
    <m/>
    <m/>
    <s v="Product A"/>
    <s v="Client 9"/>
  </r>
  <r>
    <x v="95"/>
    <x v="5"/>
    <x v="0"/>
    <m/>
    <x v="3"/>
    <n v="664416"/>
    <m/>
    <n v="664416"/>
    <m/>
    <m/>
    <m/>
    <s v="Product A"/>
    <s v="Client 9"/>
  </r>
  <r>
    <x v="95"/>
    <x v="5"/>
    <x v="0"/>
    <m/>
    <x v="10"/>
    <n v="443840.86999999988"/>
    <m/>
    <n v="443840.86999999988"/>
    <m/>
    <m/>
    <m/>
    <m/>
    <s v="Product A"/>
  </r>
  <r>
    <x v="95"/>
    <x v="5"/>
    <x v="0"/>
    <m/>
    <x v="11"/>
    <m/>
    <n v="443840.86999999988"/>
    <n v="-443840.86999999988"/>
    <m/>
    <m/>
    <m/>
    <m/>
    <s v="Product A"/>
  </r>
  <r>
    <x v="95"/>
    <x v="5"/>
    <x v="0"/>
    <m/>
    <x v="15"/>
    <m/>
    <n v="600600"/>
    <n v="-600600"/>
    <m/>
    <m/>
    <m/>
    <s v="Product A"/>
    <s v="Client 10"/>
  </r>
  <r>
    <x v="96"/>
    <x v="5"/>
    <x v="0"/>
    <m/>
    <x v="2"/>
    <n v="1159740"/>
    <m/>
    <n v="1159740"/>
    <m/>
    <m/>
    <m/>
    <s v="Product A"/>
    <s v="Client 7"/>
  </r>
  <r>
    <x v="96"/>
    <x v="5"/>
    <x v="0"/>
    <m/>
    <x v="10"/>
    <n v="776408.67799999996"/>
    <m/>
    <n v="776408.67799999996"/>
    <m/>
    <m/>
    <m/>
    <m/>
    <s v="Product A"/>
  </r>
  <r>
    <x v="96"/>
    <x v="5"/>
    <x v="0"/>
    <m/>
    <x v="11"/>
    <m/>
    <n v="776408.67799999996"/>
    <n v="-776408.67799999996"/>
    <m/>
    <m/>
    <m/>
    <m/>
    <s v="Product A"/>
  </r>
  <r>
    <x v="96"/>
    <x v="5"/>
    <x v="0"/>
    <m/>
    <x v="15"/>
    <m/>
    <n v="1159740"/>
    <n v="-1159740"/>
    <m/>
    <m/>
    <m/>
    <s v="Product A"/>
    <s v="Client 7"/>
  </r>
  <r>
    <x v="97"/>
    <x v="5"/>
    <x v="0"/>
    <m/>
    <x v="2"/>
    <m/>
    <n v="671880"/>
    <n v="-671880"/>
    <m/>
    <m/>
    <m/>
    <s v="Product B"/>
    <s v="Client 8"/>
  </r>
  <r>
    <x v="97"/>
    <x v="5"/>
    <x v="0"/>
    <m/>
    <x v="3"/>
    <n v="671880"/>
    <m/>
    <n v="671880"/>
    <m/>
    <m/>
    <m/>
    <s v="Product B"/>
    <s v="Client 8"/>
  </r>
  <r>
    <x v="98"/>
    <x v="5"/>
    <x v="0"/>
    <m/>
    <x v="2"/>
    <n v="915151"/>
    <m/>
    <n v="915151"/>
    <m/>
    <m/>
    <m/>
    <s v="Product B"/>
    <s v="Client 4"/>
  </r>
  <r>
    <x v="98"/>
    <x v="5"/>
    <x v="0"/>
    <m/>
    <x v="2"/>
    <n v="1177393"/>
    <m/>
    <n v="1177393"/>
    <m/>
    <m/>
    <m/>
    <s v="Product B"/>
    <s v="Client 8"/>
  </r>
  <r>
    <x v="98"/>
    <x v="5"/>
    <x v="0"/>
    <m/>
    <x v="10"/>
    <n v="631143.38400000008"/>
    <m/>
    <n v="631143.38400000008"/>
    <m/>
    <m/>
    <m/>
    <m/>
    <s v="Product B"/>
  </r>
  <r>
    <x v="98"/>
    <x v="5"/>
    <x v="0"/>
    <m/>
    <x v="10"/>
    <n v="606141.81600000011"/>
    <m/>
    <n v="606141.81600000011"/>
    <m/>
    <m/>
    <m/>
    <m/>
    <s v="Product B"/>
  </r>
  <r>
    <x v="98"/>
    <x v="5"/>
    <x v="0"/>
    <m/>
    <x v="12"/>
    <m/>
    <n v="631143.38400000008"/>
    <n v="-631143.38400000008"/>
    <m/>
    <m/>
    <m/>
    <m/>
    <s v="Product B"/>
  </r>
  <r>
    <x v="98"/>
    <x v="5"/>
    <x v="0"/>
    <m/>
    <x v="12"/>
    <m/>
    <n v="606141.81600000011"/>
    <n v="-606141.81600000011"/>
    <m/>
    <m/>
    <m/>
    <m/>
    <s v="Product B"/>
  </r>
  <r>
    <x v="98"/>
    <x v="5"/>
    <x v="0"/>
    <m/>
    <x v="15"/>
    <m/>
    <n v="915151"/>
    <n v="-915151"/>
    <m/>
    <m/>
    <m/>
    <s v="Product B"/>
    <s v="Client 4"/>
  </r>
  <r>
    <x v="98"/>
    <x v="5"/>
    <x v="0"/>
    <m/>
    <x v="15"/>
    <m/>
    <n v="1177393"/>
    <n v="-1177393"/>
    <m/>
    <m/>
    <m/>
    <s v="Product B"/>
    <s v="Client 8"/>
  </r>
  <r>
    <x v="99"/>
    <x v="5"/>
    <x v="0"/>
    <m/>
    <x v="2"/>
    <n v="515645"/>
    <m/>
    <n v="515645"/>
    <m/>
    <m/>
    <m/>
    <s v="Product A"/>
    <s v="Client 2"/>
  </r>
  <r>
    <x v="99"/>
    <x v="5"/>
    <x v="0"/>
    <m/>
    <x v="10"/>
    <n v="339151.61600000004"/>
    <m/>
    <n v="339151.61600000004"/>
    <m/>
    <m/>
    <m/>
    <m/>
    <s v="Product A"/>
  </r>
  <r>
    <x v="99"/>
    <x v="5"/>
    <x v="0"/>
    <m/>
    <x v="11"/>
    <m/>
    <n v="339151.61600000004"/>
    <n v="-339151.61600000004"/>
    <m/>
    <m/>
    <m/>
    <m/>
    <s v="Product A"/>
  </r>
  <r>
    <x v="99"/>
    <x v="5"/>
    <x v="0"/>
    <m/>
    <x v="15"/>
    <m/>
    <n v="515645"/>
    <n v="-515645"/>
    <m/>
    <m/>
    <m/>
    <s v="Product A"/>
    <s v="Client 2"/>
  </r>
  <r>
    <x v="100"/>
    <x v="5"/>
    <x v="0"/>
    <m/>
    <x v="0"/>
    <n v="1071000"/>
    <m/>
    <n v="1071000"/>
    <m/>
    <m/>
    <m/>
    <s v="Component 5"/>
    <s v="Supplier D"/>
  </r>
  <r>
    <x v="100"/>
    <x v="5"/>
    <x v="0"/>
    <m/>
    <x v="3"/>
    <m/>
    <n v="1071000"/>
    <n v="-1071000"/>
    <m/>
    <m/>
    <m/>
    <s v="Component 5"/>
    <s v="Supplier D"/>
  </r>
  <r>
    <x v="101"/>
    <x v="5"/>
    <x v="0"/>
    <m/>
    <x v="0"/>
    <n v="2200000"/>
    <m/>
    <n v="2200000"/>
    <m/>
    <m/>
    <m/>
    <s v="Component 4"/>
    <s v="Supplier B"/>
  </r>
  <r>
    <x v="101"/>
    <x v="5"/>
    <x v="0"/>
    <m/>
    <x v="3"/>
    <m/>
    <n v="2200000"/>
    <n v="-2200000"/>
    <m/>
    <m/>
    <m/>
    <s v="Component 4"/>
    <s v="Supplier B"/>
  </r>
  <r>
    <x v="101"/>
    <x v="5"/>
    <x v="0"/>
    <m/>
    <x v="10"/>
    <n v="927360.24800000002"/>
    <m/>
    <n v="927360.24800000002"/>
    <m/>
    <m/>
    <m/>
    <m/>
    <s v="Product C"/>
  </r>
  <r>
    <x v="101"/>
    <x v="5"/>
    <x v="0"/>
    <m/>
    <x v="13"/>
    <m/>
    <n v="927360.24800000002"/>
    <n v="-927360.24800000002"/>
    <m/>
    <m/>
    <m/>
    <m/>
    <s v="Product C"/>
  </r>
  <r>
    <x v="101"/>
    <x v="5"/>
    <x v="0"/>
    <m/>
    <x v="15"/>
    <m/>
    <n v="1584380"/>
    <n v="-1584380"/>
    <m/>
    <m/>
    <m/>
    <s v="Product C"/>
    <s v="Client 3"/>
  </r>
  <r>
    <x v="102"/>
    <x v="5"/>
    <x v="0"/>
    <m/>
    <x v="16"/>
    <n v="794583"/>
    <m/>
    <n v="794583"/>
    <m/>
    <m/>
    <m/>
    <m/>
    <m/>
  </r>
  <r>
    <x v="102"/>
    <x v="5"/>
    <x v="0"/>
    <m/>
    <x v="3"/>
    <m/>
    <n v="225320.02600000001"/>
    <n v="-225320.02600000001"/>
    <m/>
    <m/>
    <m/>
    <m/>
    <m/>
  </r>
  <r>
    <x v="102"/>
    <x v="5"/>
    <x v="0"/>
    <m/>
    <x v="3"/>
    <m/>
    <n v="926816"/>
    <n v="-926816"/>
    <m/>
    <m/>
    <m/>
    <m/>
    <m/>
  </r>
  <r>
    <x v="102"/>
    <x v="5"/>
    <x v="0"/>
    <m/>
    <x v="3"/>
    <m/>
    <n v="781895"/>
    <n v="-781895"/>
    <m/>
    <m/>
    <m/>
    <m/>
    <m/>
  </r>
  <r>
    <x v="102"/>
    <x v="5"/>
    <x v="0"/>
    <m/>
    <x v="3"/>
    <m/>
    <n v="794583"/>
    <n v="-794583"/>
    <m/>
    <m/>
    <m/>
    <m/>
    <m/>
  </r>
  <r>
    <x v="102"/>
    <x v="5"/>
    <x v="0"/>
    <m/>
    <x v="3"/>
    <n v="1212469"/>
    <m/>
    <n v="1212469"/>
    <m/>
    <m/>
    <m/>
    <m/>
    <m/>
  </r>
  <r>
    <x v="102"/>
    <x v="5"/>
    <x v="0"/>
    <m/>
    <x v="3"/>
    <m/>
    <n v="1223784"/>
    <n v="-1223784"/>
    <m/>
    <m/>
    <m/>
    <m/>
    <m/>
  </r>
  <r>
    <x v="102"/>
    <x v="5"/>
    <x v="0"/>
    <m/>
    <x v="17"/>
    <n v="781895"/>
    <m/>
    <n v="781895"/>
    <m/>
    <m/>
    <m/>
    <m/>
    <m/>
  </r>
  <r>
    <x v="102"/>
    <x v="5"/>
    <x v="0"/>
    <m/>
    <x v="18"/>
    <n v="1223784"/>
    <m/>
    <n v="1223784"/>
    <m/>
    <m/>
    <m/>
    <m/>
    <m/>
  </r>
  <r>
    <x v="102"/>
    <x v="5"/>
    <x v="0"/>
    <m/>
    <x v="19"/>
    <m/>
    <n v="1212469"/>
    <n v="-1212469"/>
    <m/>
    <m/>
    <m/>
    <m/>
    <m/>
  </r>
  <r>
    <x v="102"/>
    <x v="5"/>
    <x v="0"/>
    <m/>
    <x v="20"/>
    <n v="926816"/>
    <m/>
    <n v="926816"/>
    <m/>
    <m/>
    <m/>
    <m/>
    <m/>
  </r>
  <r>
    <x v="102"/>
    <x v="5"/>
    <x v="0"/>
    <m/>
    <x v="14"/>
    <n v="225320.02600000001"/>
    <m/>
    <n v="225320.02600000001"/>
    <m/>
    <m/>
    <m/>
    <m/>
    <m/>
  </r>
  <r>
    <x v="103"/>
    <x v="6"/>
    <x v="0"/>
    <m/>
    <x v="3"/>
    <n v="6455000"/>
    <m/>
    <n v="6455000"/>
    <m/>
    <m/>
    <m/>
    <m/>
    <m/>
  </r>
  <r>
    <x v="103"/>
    <x v="6"/>
    <x v="0"/>
    <m/>
    <x v="4"/>
    <n v="9045000"/>
    <m/>
    <n v="9045000"/>
    <m/>
    <m/>
    <m/>
    <m/>
    <m/>
  </r>
  <r>
    <x v="103"/>
    <x v="6"/>
    <x v="0"/>
    <m/>
    <x v="6"/>
    <n v="45000000"/>
    <m/>
    <n v="45000000"/>
    <m/>
    <m/>
    <m/>
    <m/>
    <m/>
  </r>
  <r>
    <x v="103"/>
    <x v="6"/>
    <x v="0"/>
    <m/>
    <x v="8"/>
    <m/>
    <n v="50000000"/>
    <n v="-50000000"/>
    <m/>
    <m/>
    <m/>
    <m/>
    <m/>
  </r>
  <r>
    <x v="103"/>
    <x v="6"/>
    <x v="0"/>
    <m/>
    <x v="9"/>
    <m/>
    <n v="10500000"/>
    <n v="-10500000"/>
    <m/>
    <m/>
    <m/>
    <m/>
    <m/>
  </r>
  <r>
    <x v="104"/>
    <x v="6"/>
    <x v="0"/>
    <m/>
    <x v="2"/>
    <m/>
    <n v="1073682"/>
    <n v="-1073682"/>
    <m/>
    <m/>
    <m/>
    <s v="Product B"/>
    <s v="Client 4"/>
  </r>
  <r>
    <x v="104"/>
    <x v="6"/>
    <x v="0"/>
    <m/>
    <x v="3"/>
    <n v="1073682"/>
    <m/>
    <n v="1073682"/>
    <m/>
    <m/>
    <m/>
    <s v="Product B"/>
    <s v="Client 4"/>
  </r>
  <r>
    <x v="105"/>
    <x v="6"/>
    <x v="0"/>
    <m/>
    <x v="0"/>
    <m/>
    <n v="760000"/>
    <n v="-760000"/>
    <m/>
    <m/>
    <m/>
    <s v="Component 1"/>
    <s v="Supplier A"/>
  </r>
  <r>
    <x v="105"/>
    <x v="6"/>
    <x v="0"/>
    <m/>
    <x v="0"/>
    <m/>
    <n v="900000"/>
    <n v="-900000"/>
    <m/>
    <m/>
    <m/>
    <s v="Component 2"/>
    <s v="Supplier A"/>
  </r>
  <r>
    <x v="105"/>
    <x v="6"/>
    <x v="0"/>
    <m/>
    <x v="0"/>
    <m/>
    <n v="2100000"/>
    <n v="-2100000"/>
    <m/>
    <m/>
    <m/>
    <s v="Component 3"/>
    <s v="Supplier A"/>
  </r>
  <r>
    <x v="105"/>
    <x v="6"/>
    <x v="0"/>
    <m/>
    <x v="0"/>
    <m/>
    <n v="2310000"/>
    <n v="-2310000"/>
    <m/>
    <m/>
    <m/>
    <s v="Component 4"/>
    <s v="Supplier B"/>
  </r>
  <r>
    <x v="105"/>
    <x v="6"/>
    <x v="0"/>
    <m/>
    <x v="0"/>
    <m/>
    <n v="1400000"/>
    <n v="-1400000"/>
    <m/>
    <m/>
    <m/>
    <s v="Component 5"/>
    <s v="Supplier D"/>
  </r>
  <r>
    <x v="105"/>
    <x v="6"/>
    <x v="0"/>
    <m/>
    <x v="0"/>
    <m/>
    <n v="2380000"/>
    <n v="-2380000"/>
    <m/>
    <m/>
    <m/>
    <s v="Component 6"/>
    <s v="Supplier D"/>
  </r>
  <r>
    <x v="105"/>
    <x v="6"/>
    <x v="0"/>
    <m/>
    <x v="7"/>
    <n v="760000"/>
    <m/>
    <n v="760000"/>
    <m/>
    <m/>
    <m/>
    <s v="Component 1"/>
    <s v="Supplier A"/>
  </r>
  <r>
    <x v="105"/>
    <x v="6"/>
    <x v="0"/>
    <m/>
    <x v="7"/>
    <n v="900000"/>
    <m/>
    <n v="900000"/>
    <m/>
    <m/>
    <m/>
    <s v="Component 2"/>
    <s v="Supplier A"/>
  </r>
  <r>
    <x v="105"/>
    <x v="6"/>
    <x v="0"/>
    <m/>
    <x v="7"/>
    <n v="2100000"/>
    <m/>
    <n v="2100000"/>
    <m/>
    <m/>
    <m/>
    <s v="Component 3"/>
    <s v="Supplier A"/>
  </r>
  <r>
    <x v="105"/>
    <x v="6"/>
    <x v="0"/>
    <m/>
    <x v="7"/>
    <n v="2310000"/>
    <m/>
    <n v="2310000"/>
    <m/>
    <m/>
    <m/>
    <s v="Component 4"/>
    <s v="Supplier B"/>
  </r>
  <r>
    <x v="105"/>
    <x v="6"/>
    <x v="0"/>
    <m/>
    <x v="7"/>
    <n v="1400000"/>
    <m/>
    <n v="1400000"/>
    <m/>
    <m/>
    <m/>
    <s v="Component 5"/>
    <s v="Supplier D"/>
  </r>
  <r>
    <x v="105"/>
    <x v="6"/>
    <x v="0"/>
    <m/>
    <x v="7"/>
    <n v="2380000"/>
    <m/>
    <n v="2380000"/>
    <m/>
    <m/>
    <m/>
    <s v="Component 6"/>
    <s v="Supplier D"/>
  </r>
  <r>
    <x v="106"/>
    <x v="6"/>
    <x v="0"/>
    <m/>
    <x v="0"/>
    <n v="2420000"/>
    <m/>
    <n v="2420000"/>
    <m/>
    <m/>
    <m/>
    <s v="Component 4"/>
    <s v="Supplier B"/>
  </r>
  <r>
    <x v="106"/>
    <x v="6"/>
    <x v="0"/>
    <m/>
    <x v="2"/>
    <m/>
    <n v="1392341"/>
    <n v="-1392341"/>
    <m/>
    <m/>
    <m/>
    <s v="Product B"/>
    <s v="Client 8"/>
  </r>
  <r>
    <x v="106"/>
    <x v="6"/>
    <x v="0"/>
    <m/>
    <x v="3"/>
    <m/>
    <n v="2420000"/>
    <n v="-2420000"/>
    <m/>
    <m/>
    <m/>
    <s v="Component 4"/>
    <s v="Supplier B"/>
  </r>
  <r>
    <x v="106"/>
    <x v="6"/>
    <x v="0"/>
    <m/>
    <x v="3"/>
    <n v="1392341"/>
    <m/>
    <n v="1392341"/>
    <m/>
    <m/>
    <m/>
    <s v="Product B"/>
    <s v="Client 8"/>
  </r>
  <r>
    <x v="107"/>
    <x v="6"/>
    <x v="0"/>
    <m/>
    <x v="2"/>
    <m/>
    <n v="861150"/>
    <n v="-861150"/>
    <m/>
    <m/>
    <m/>
    <s v="Product B"/>
    <s v="Client 4"/>
  </r>
  <r>
    <x v="107"/>
    <x v="6"/>
    <x v="0"/>
    <m/>
    <x v="3"/>
    <n v="861150"/>
    <m/>
    <n v="861150"/>
    <m/>
    <m/>
    <m/>
    <s v="Product B"/>
    <s v="Client 4"/>
  </r>
  <r>
    <x v="67"/>
    <x v="4"/>
    <x v="0"/>
    <m/>
    <x v="2"/>
    <m/>
    <n v="1217721"/>
    <n v="-1217721"/>
    <m/>
    <m/>
    <m/>
    <s v="Product C"/>
    <s v="Client 3"/>
  </r>
  <r>
    <x v="108"/>
    <x v="6"/>
    <x v="0"/>
    <m/>
    <x v="3"/>
    <n v="1466607"/>
    <m/>
    <n v="1466607"/>
    <m/>
    <m/>
    <m/>
    <s v="Product C"/>
    <s v="Client 3"/>
  </r>
  <r>
    <x v="109"/>
    <x v="6"/>
    <x v="0"/>
    <m/>
    <x v="0"/>
    <n v="2420000"/>
    <m/>
    <n v="2420000"/>
    <m/>
    <m/>
    <m/>
    <s v="Component 4"/>
    <s v="Supplier B"/>
  </r>
  <r>
    <x v="109"/>
    <x v="6"/>
    <x v="0"/>
    <m/>
    <x v="2"/>
    <m/>
    <n v="1250755"/>
    <n v="-1250755"/>
    <m/>
    <m/>
    <m/>
    <s v="Product A"/>
    <s v="Client 5"/>
  </r>
  <r>
    <x v="109"/>
    <x v="6"/>
    <x v="0"/>
    <m/>
    <x v="3"/>
    <m/>
    <n v="2420000"/>
    <n v="-2420000"/>
    <m/>
    <m/>
    <m/>
    <s v="Component 4"/>
    <s v="Supplier B"/>
  </r>
  <r>
    <x v="109"/>
    <x v="6"/>
    <x v="0"/>
    <m/>
    <x v="3"/>
    <n v="1250755"/>
    <m/>
    <n v="1250755"/>
    <m/>
    <m/>
    <m/>
    <s v="Product A"/>
    <s v="Client 5"/>
  </r>
  <r>
    <x v="109"/>
    <x v="6"/>
    <x v="0"/>
    <m/>
    <x v="10"/>
    <n v="704544.79999999993"/>
    <m/>
    <n v="704544.79999999993"/>
    <m/>
    <m/>
    <m/>
    <s v="Supplier A"/>
    <s v="Component 1"/>
  </r>
  <r>
    <x v="109"/>
    <x v="6"/>
    <x v="0"/>
    <m/>
    <x v="10"/>
    <n v="934816.88000000012"/>
    <m/>
    <n v="934816.88000000012"/>
    <m/>
    <m/>
    <m/>
    <s v="Supplier A"/>
    <s v="Component 2"/>
  </r>
  <r>
    <x v="109"/>
    <x v="6"/>
    <x v="0"/>
    <m/>
    <x v="10"/>
    <n v="2350592.4800000004"/>
    <m/>
    <n v="2350592.4800000004"/>
    <m/>
    <m/>
    <m/>
    <s v="Supplier A"/>
    <s v="Component 3"/>
  </r>
  <r>
    <x v="109"/>
    <x v="6"/>
    <x v="0"/>
    <m/>
    <x v="10"/>
    <n v="1982123"/>
    <m/>
    <n v="1982123"/>
    <m/>
    <m/>
    <m/>
    <s v="Supplier B"/>
    <s v="Component 4"/>
  </r>
  <r>
    <x v="109"/>
    <x v="6"/>
    <x v="0"/>
    <m/>
    <x v="10"/>
    <n v="1144563.5999999999"/>
    <m/>
    <n v="1144563.5999999999"/>
    <m/>
    <m/>
    <m/>
    <s v="Supplier D"/>
    <s v="Component 5"/>
  </r>
  <r>
    <x v="109"/>
    <x v="6"/>
    <x v="0"/>
    <m/>
    <x v="10"/>
    <n v="2276895"/>
    <m/>
    <n v="2276895"/>
    <m/>
    <m/>
    <m/>
    <s v="Supplier D"/>
    <s v="Component 6"/>
  </r>
  <r>
    <x v="109"/>
    <x v="6"/>
    <x v="0"/>
    <m/>
    <x v="10"/>
    <m/>
    <n v="704544.79999999993"/>
    <n v="-704544.79999999993"/>
    <m/>
    <m/>
    <m/>
    <m/>
    <s v="Component 1"/>
  </r>
  <r>
    <x v="109"/>
    <x v="6"/>
    <x v="0"/>
    <m/>
    <x v="10"/>
    <m/>
    <n v="934816.88000000012"/>
    <n v="-934816.88000000012"/>
    <m/>
    <m/>
    <m/>
    <m/>
    <s v="Component 2"/>
  </r>
  <r>
    <x v="109"/>
    <x v="6"/>
    <x v="0"/>
    <m/>
    <x v="10"/>
    <m/>
    <n v="2350592.4800000004"/>
    <n v="-2350592.4800000004"/>
    <m/>
    <m/>
    <m/>
    <m/>
    <s v="Component 3"/>
  </r>
  <r>
    <x v="109"/>
    <x v="6"/>
    <x v="0"/>
    <m/>
    <x v="10"/>
    <m/>
    <n v="1982123"/>
    <n v="-1982123"/>
    <m/>
    <m/>
    <m/>
    <m/>
    <s v="Component 4"/>
  </r>
  <r>
    <x v="109"/>
    <x v="6"/>
    <x v="0"/>
    <m/>
    <x v="10"/>
    <m/>
    <n v="1144563.5999999999"/>
    <n v="-1144563.5999999999"/>
    <m/>
    <m/>
    <m/>
    <m/>
    <s v="Component 5"/>
  </r>
  <r>
    <x v="109"/>
    <x v="6"/>
    <x v="0"/>
    <m/>
    <x v="10"/>
    <m/>
    <n v="2276895"/>
    <n v="-2276895"/>
    <m/>
    <m/>
    <m/>
    <m/>
    <s v="Component 6"/>
  </r>
  <r>
    <x v="109"/>
    <x v="6"/>
    <x v="0"/>
    <m/>
    <x v="7"/>
    <m/>
    <n v="704544.79999999993"/>
    <n v="-704544.79999999993"/>
    <m/>
    <m/>
    <m/>
    <s v="Component 1"/>
    <s v="Supplier A"/>
  </r>
  <r>
    <x v="109"/>
    <x v="6"/>
    <x v="0"/>
    <m/>
    <x v="7"/>
    <m/>
    <n v="934816.88000000012"/>
    <n v="-934816.88000000012"/>
    <m/>
    <m/>
    <m/>
    <s v="Component 2"/>
    <s v="Supplier A"/>
  </r>
  <r>
    <x v="109"/>
    <x v="6"/>
    <x v="0"/>
    <m/>
    <x v="7"/>
    <m/>
    <n v="2350592.4800000004"/>
    <n v="-2350592.4800000004"/>
    <m/>
    <m/>
    <m/>
    <s v="Component 3"/>
    <s v="Supplier A"/>
  </r>
  <r>
    <x v="109"/>
    <x v="6"/>
    <x v="0"/>
    <m/>
    <x v="7"/>
    <m/>
    <n v="1982123"/>
    <n v="-1982123"/>
    <m/>
    <m/>
    <m/>
    <s v="Component 4"/>
    <s v="Supplier B"/>
  </r>
  <r>
    <x v="109"/>
    <x v="6"/>
    <x v="0"/>
    <m/>
    <x v="7"/>
    <m/>
    <n v="1144563.5999999999"/>
    <n v="-1144563.5999999999"/>
    <m/>
    <m/>
    <m/>
    <s v="Component 5"/>
    <s v="Supplier D"/>
  </r>
  <r>
    <x v="109"/>
    <x v="6"/>
    <x v="0"/>
    <m/>
    <x v="7"/>
    <m/>
    <n v="2276895"/>
    <n v="-2276895"/>
    <m/>
    <m/>
    <m/>
    <s v="Component 6"/>
    <s v="Supplier D"/>
  </r>
  <r>
    <x v="110"/>
    <x v="6"/>
    <x v="0"/>
    <m/>
    <x v="11"/>
    <n v="3840368.0479999981"/>
    <m/>
    <n v="3840368.0479999981"/>
    <m/>
    <m/>
    <m/>
    <m/>
    <m/>
  </r>
  <r>
    <x v="110"/>
    <x v="6"/>
    <x v="0"/>
    <m/>
    <x v="12"/>
    <n v="2028074.3040000002"/>
    <m/>
    <n v="2028074.3040000002"/>
    <m/>
    <m/>
    <m/>
    <m/>
    <m/>
  </r>
  <r>
    <x v="110"/>
    <x v="6"/>
    <x v="0"/>
    <m/>
    <x v="13"/>
    <n v="3778490.6460000006"/>
    <m/>
    <n v="3778490.6460000006"/>
    <m/>
    <m/>
    <m/>
    <m/>
    <m/>
  </r>
  <r>
    <x v="110"/>
    <x v="6"/>
    <x v="0"/>
    <m/>
    <x v="14"/>
    <m/>
    <n v="253397.23799999998"/>
    <n v="-253397.23799999998"/>
    <m/>
    <m/>
    <m/>
    <m/>
    <m/>
  </r>
  <r>
    <x v="111"/>
    <x v="6"/>
    <x v="0"/>
    <m/>
    <x v="2"/>
    <m/>
    <n v="1429818"/>
    <n v="-1429818"/>
    <m/>
    <m/>
    <m/>
    <s v="Product A"/>
    <s v="Client 2"/>
  </r>
  <r>
    <x v="111"/>
    <x v="6"/>
    <x v="0"/>
    <m/>
    <x v="3"/>
    <n v="1429818"/>
    <m/>
    <n v="1429818"/>
    <m/>
    <m/>
    <m/>
    <s v="Product A"/>
    <s v="Client 2"/>
  </r>
  <r>
    <x v="112"/>
    <x v="6"/>
    <x v="0"/>
    <m/>
    <x v="2"/>
    <m/>
    <n v="567120"/>
    <n v="-567120"/>
    <m/>
    <m/>
    <m/>
    <s v="Product A"/>
    <s v="Client 5"/>
  </r>
  <r>
    <x v="112"/>
    <x v="6"/>
    <x v="0"/>
    <m/>
    <x v="3"/>
    <n v="567120"/>
    <m/>
    <n v="567120"/>
    <m/>
    <m/>
    <m/>
    <s v="Product A"/>
    <s v="Client 5"/>
  </r>
  <r>
    <x v="113"/>
    <x v="6"/>
    <x v="0"/>
    <m/>
    <x v="2"/>
    <n v="522000"/>
    <m/>
    <n v="522000"/>
    <m/>
    <m/>
    <m/>
    <s v="Product B"/>
    <s v="Client 8"/>
  </r>
  <r>
    <x v="113"/>
    <x v="6"/>
    <x v="0"/>
    <m/>
    <x v="2"/>
    <n v="907731"/>
    <m/>
    <n v="907731"/>
    <m/>
    <m/>
    <m/>
    <s v="Product A"/>
    <s v="Client 9"/>
  </r>
  <r>
    <x v="113"/>
    <x v="6"/>
    <x v="0"/>
    <m/>
    <x v="10"/>
    <n v="434913.00000000006"/>
    <m/>
    <n v="434913.00000000006"/>
    <m/>
    <m/>
    <m/>
    <m/>
    <s v="Product B"/>
  </r>
  <r>
    <x v="113"/>
    <x v="6"/>
    <x v="0"/>
    <m/>
    <x v="10"/>
    <n v="748692.61066666595"/>
    <m/>
    <n v="748692.61066666595"/>
    <m/>
    <m/>
    <m/>
    <m/>
    <s v="Product A"/>
  </r>
  <r>
    <x v="113"/>
    <x v="6"/>
    <x v="0"/>
    <m/>
    <x v="11"/>
    <m/>
    <n v="748692.61066666595"/>
    <n v="-748692.61066666595"/>
    <m/>
    <m/>
    <m/>
    <m/>
    <s v="Product A"/>
  </r>
  <r>
    <x v="113"/>
    <x v="6"/>
    <x v="0"/>
    <m/>
    <x v="12"/>
    <m/>
    <n v="434913.00000000006"/>
    <n v="-434913.00000000006"/>
    <m/>
    <m/>
    <m/>
    <m/>
    <s v="Product B"/>
  </r>
  <r>
    <x v="113"/>
    <x v="6"/>
    <x v="0"/>
    <m/>
    <x v="15"/>
    <m/>
    <n v="522000"/>
    <n v="-522000"/>
    <m/>
    <m/>
    <m/>
    <s v="Product B"/>
    <s v="Client 8"/>
  </r>
  <r>
    <x v="113"/>
    <x v="6"/>
    <x v="0"/>
    <m/>
    <x v="15"/>
    <m/>
    <n v="907731"/>
    <n v="-907731"/>
    <m/>
    <m/>
    <m/>
    <s v="Product A"/>
    <s v="Client 9"/>
  </r>
  <r>
    <x v="114"/>
    <x v="6"/>
    <x v="0"/>
    <m/>
    <x v="2"/>
    <n v="577216"/>
    <m/>
    <n v="577216"/>
    <m/>
    <m/>
    <m/>
    <s v="Product A"/>
    <s v="Client 10"/>
  </r>
  <r>
    <x v="114"/>
    <x v="6"/>
    <x v="0"/>
    <m/>
    <x v="10"/>
    <n v="395248.6746666659"/>
    <m/>
    <n v="395248.6746666659"/>
    <m/>
    <m/>
    <m/>
    <m/>
    <s v="Product A"/>
  </r>
  <r>
    <x v="114"/>
    <x v="6"/>
    <x v="0"/>
    <m/>
    <x v="11"/>
    <m/>
    <n v="395248.6746666659"/>
    <n v="-395248.6746666659"/>
    <m/>
    <m/>
    <m/>
    <m/>
    <s v="Product A"/>
  </r>
  <r>
    <x v="114"/>
    <x v="6"/>
    <x v="0"/>
    <m/>
    <x v="15"/>
    <m/>
    <n v="577216"/>
    <n v="-577216"/>
    <m/>
    <m/>
    <m/>
    <s v="Product A"/>
    <s v="Client 10"/>
  </r>
  <r>
    <x v="115"/>
    <x v="6"/>
    <x v="0"/>
    <m/>
    <x v="0"/>
    <n v="720000"/>
    <m/>
    <n v="720000"/>
    <m/>
    <m/>
    <m/>
    <s v="Component 1"/>
    <s v="Supplier A"/>
  </r>
  <r>
    <x v="115"/>
    <x v="6"/>
    <x v="0"/>
    <m/>
    <x v="3"/>
    <m/>
    <n v="720000"/>
    <n v="-720000"/>
    <m/>
    <m/>
    <m/>
    <s v="Component 1"/>
    <s v="Supplier A"/>
  </r>
  <r>
    <x v="116"/>
    <x v="6"/>
    <x v="0"/>
    <m/>
    <x v="2"/>
    <m/>
    <n v="1658016"/>
    <n v="-1658016"/>
    <m/>
    <m/>
    <m/>
    <s v="Product A"/>
    <s v="Client 9"/>
  </r>
  <r>
    <x v="116"/>
    <x v="6"/>
    <x v="0"/>
    <m/>
    <x v="3"/>
    <n v="1658016"/>
    <m/>
    <n v="1658016"/>
    <m/>
    <m/>
    <m/>
    <s v="Product A"/>
    <s v="Client 9"/>
  </r>
  <r>
    <x v="117"/>
    <x v="6"/>
    <x v="0"/>
    <m/>
    <x v="2"/>
    <m/>
    <n v="558195"/>
    <n v="-558195"/>
    <m/>
    <m/>
    <m/>
    <s v="Product B"/>
    <s v="Client 6"/>
  </r>
  <r>
    <x v="117"/>
    <x v="6"/>
    <x v="0"/>
    <m/>
    <x v="2"/>
    <m/>
    <n v="902070"/>
    <n v="-902070"/>
    <m/>
    <m/>
    <m/>
    <s v="Product A"/>
    <s v="Client 2"/>
  </r>
  <r>
    <x v="117"/>
    <x v="6"/>
    <x v="0"/>
    <m/>
    <x v="3"/>
    <n v="558195"/>
    <m/>
    <n v="558195"/>
    <m/>
    <m/>
    <m/>
    <s v="Product B"/>
    <s v="Client 6"/>
  </r>
  <r>
    <x v="117"/>
    <x v="6"/>
    <x v="0"/>
    <m/>
    <x v="3"/>
    <n v="902070"/>
    <m/>
    <n v="902070"/>
    <m/>
    <m/>
    <m/>
    <s v="Product A"/>
    <s v="Client 2"/>
  </r>
  <r>
    <x v="76"/>
    <x v="4"/>
    <x v="0"/>
    <m/>
    <x v="2"/>
    <m/>
    <n v="273400"/>
    <n v="-273400"/>
    <m/>
    <m/>
    <m/>
    <s v="Product C"/>
    <s v="Client 3"/>
  </r>
  <r>
    <x v="118"/>
    <x v="6"/>
    <x v="0"/>
    <m/>
    <x v="2"/>
    <n v="754700"/>
    <m/>
    <n v="754700"/>
    <m/>
    <m/>
    <m/>
    <s v="Product A"/>
    <s v="Client 5"/>
  </r>
  <r>
    <x v="118"/>
    <x v="6"/>
    <x v="0"/>
    <m/>
    <x v="2"/>
    <m/>
    <n v="713388"/>
    <n v="-713388"/>
    <m/>
    <m/>
    <m/>
    <s v="Product B"/>
    <s v="Client 6"/>
  </r>
  <r>
    <x v="118"/>
    <x v="6"/>
    <x v="0"/>
    <m/>
    <x v="3"/>
    <n v="713388"/>
    <m/>
    <n v="713388"/>
    <m/>
    <m/>
    <m/>
    <s v="Product B"/>
    <s v="Client 6"/>
  </r>
  <r>
    <x v="118"/>
    <x v="6"/>
    <x v="0"/>
    <m/>
    <x v="10"/>
    <n v="1169056.0980000002"/>
    <m/>
    <n v="1169056.0980000002"/>
    <m/>
    <m/>
    <m/>
    <m/>
    <s v="Product C"/>
  </r>
  <r>
    <x v="118"/>
    <x v="6"/>
    <x v="0"/>
    <m/>
    <x v="10"/>
    <n v="657977.64800000004"/>
    <m/>
    <n v="657977.64800000004"/>
    <m/>
    <m/>
    <m/>
    <m/>
    <s v="Product A"/>
  </r>
  <r>
    <x v="118"/>
    <x v="6"/>
    <x v="0"/>
    <m/>
    <x v="11"/>
    <m/>
    <n v="657977.64800000004"/>
    <n v="-657977.64800000004"/>
    <m/>
    <m/>
    <m/>
    <m/>
    <s v="Product A"/>
  </r>
  <r>
    <x v="118"/>
    <x v="6"/>
    <x v="0"/>
    <m/>
    <x v="13"/>
    <m/>
    <n v="1169056.0980000002"/>
    <n v="-1169056.0980000002"/>
    <m/>
    <m/>
    <m/>
    <m/>
    <s v="Product C"/>
  </r>
  <r>
    <x v="118"/>
    <x v="6"/>
    <x v="0"/>
    <m/>
    <x v="15"/>
    <m/>
    <n v="1750932"/>
    <n v="-1750932"/>
    <m/>
    <m/>
    <m/>
    <s v="Product C"/>
    <s v="Client 3"/>
  </r>
  <r>
    <x v="118"/>
    <x v="6"/>
    <x v="0"/>
    <m/>
    <x v="15"/>
    <m/>
    <n v="754700"/>
    <n v="-754700"/>
    <m/>
    <m/>
    <m/>
    <s v="Product A"/>
    <s v="Client 5"/>
  </r>
  <r>
    <x v="119"/>
    <x v="6"/>
    <x v="0"/>
    <m/>
    <x v="0"/>
    <n v="2200000"/>
    <m/>
    <n v="2200000"/>
    <m/>
    <m/>
    <m/>
    <s v="Component 3"/>
    <s v="Supplier A"/>
  </r>
  <r>
    <x v="119"/>
    <x v="6"/>
    <x v="0"/>
    <m/>
    <x v="3"/>
    <m/>
    <n v="2200000"/>
    <n v="-2200000"/>
    <m/>
    <m/>
    <m/>
    <s v="Component 3"/>
    <s v="Supplier A"/>
  </r>
  <r>
    <x v="120"/>
    <x v="6"/>
    <x v="0"/>
    <m/>
    <x v="2"/>
    <n v="3161070"/>
    <m/>
    <n v="3161070"/>
    <m/>
    <m/>
    <m/>
    <s v="Product C"/>
    <s v="Client 1"/>
  </r>
  <r>
    <x v="120"/>
    <x v="6"/>
    <x v="0"/>
    <m/>
    <x v="2"/>
    <n v="1990443"/>
    <m/>
    <n v="1990443"/>
    <m/>
    <m/>
    <m/>
    <s v="Product B"/>
    <s v="Client 4"/>
  </r>
  <r>
    <x v="120"/>
    <x v="6"/>
    <x v="0"/>
    <m/>
    <x v="10"/>
    <n v="2609434.5480000004"/>
    <m/>
    <n v="2609434.5480000004"/>
    <m/>
    <m/>
    <m/>
    <m/>
    <s v="Product C"/>
  </r>
  <r>
    <x v="120"/>
    <x v="6"/>
    <x v="0"/>
    <m/>
    <x v="10"/>
    <n v="1153649.2240000002"/>
    <m/>
    <n v="1153649.2240000002"/>
    <m/>
    <m/>
    <m/>
    <m/>
    <s v="Product B"/>
  </r>
  <r>
    <x v="120"/>
    <x v="6"/>
    <x v="0"/>
    <m/>
    <x v="12"/>
    <m/>
    <n v="1153649.2240000002"/>
    <n v="-1153649.2240000002"/>
    <m/>
    <m/>
    <m/>
    <m/>
    <s v="Product B"/>
  </r>
  <r>
    <x v="120"/>
    <x v="6"/>
    <x v="0"/>
    <m/>
    <x v="13"/>
    <m/>
    <n v="2609434.5480000004"/>
    <n v="-2609434.5480000004"/>
    <m/>
    <m/>
    <m/>
    <m/>
    <s v="Product C"/>
  </r>
  <r>
    <x v="120"/>
    <x v="6"/>
    <x v="0"/>
    <m/>
    <x v="15"/>
    <m/>
    <n v="3161070"/>
    <n v="-3161070"/>
    <m/>
    <m/>
    <m/>
    <s v="Product C"/>
    <s v="Client 1"/>
  </r>
  <r>
    <x v="120"/>
    <x v="6"/>
    <x v="0"/>
    <m/>
    <x v="15"/>
    <m/>
    <n v="1990443"/>
    <n v="-1990443"/>
    <m/>
    <m/>
    <m/>
    <s v="Product B"/>
    <s v="Client 4"/>
  </r>
  <r>
    <x v="121"/>
    <x v="6"/>
    <x v="0"/>
    <m/>
    <x v="2"/>
    <n v="1764378"/>
    <m/>
    <n v="1764378"/>
    <m/>
    <m/>
    <m/>
    <s v="Product A"/>
    <s v="Client 7"/>
  </r>
  <r>
    <x v="77"/>
    <x v="4"/>
    <x v="0"/>
    <m/>
    <x v="2"/>
    <n v="173788"/>
    <m/>
    <n v="173788"/>
    <m/>
    <m/>
    <m/>
    <s v="Product C"/>
    <s v="Client 3"/>
  </r>
  <r>
    <x v="121"/>
    <x v="6"/>
    <x v="0"/>
    <m/>
    <x v="3"/>
    <n v="1584380"/>
    <m/>
    <n v="1584380"/>
    <m/>
    <m/>
    <m/>
    <s v="Product C"/>
    <s v="Client 3"/>
  </r>
  <r>
    <x v="121"/>
    <x v="6"/>
    <x v="0"/>
    <m/>
    <x v="10"/>
    <n v="1167437.362666666"/>
    <m/>
    <n v="1167437.362666666"/>
    <m/>
    <m/>
    <m/>
    <m/>
    <s v="Product A"/>
  </r>
  <r>
    <x v="121"/>
    <x v="6"/>
    <x v="0"/>
    <m/>
    <x v="11"/>
    <m/>
    <n v="1167437.362666666"/>
    <n v="-1167437.362666666"/>
    <m/>
    <m/>
    <m/>
    <m/>
    <s v="Product A"/>
  </r>
  <r>
    <x v="121"/>
    <x v="6"/>
    <x v="0"/>
    <m/>
    <x v="15"/>
    <m/>
    <n v="1764378"/>
    <n v="-1764378"/>
    <m/>
    <m/>
    <m/>
    <s v="Product A"/>
    <s v="Client 7"/>
  </r>
  <r>
    <x v="122"/>
    <x v="6"/>
    <x v="0"/>
    <m/>
    <x v="2"/>
    <n v="1019031"/>
    <m/>
    <n v="1019031"/>
    <m/>
    <m/>
    <m/>
    <s v="Product A"/>
    <s v="Client 2"/>
  </r>
  <r>
    <x v="122"/>
    <x v="6"/>
    <x v="0"/>
    <m/>
    <x v="2"/>
    <n v="670390"/>
    <m/>
    <n v="670390"/>
    <m/>
    <m/>
    <m/>
    <s v="Product B"/>
    <s v="Client 6"/>
  </r>
  <r>
    <x v="122"/>
    <x v="6"/>
    <x v="0"/>
    <m/>
    <x v="10"/>
    <n v="871011.75200000009"/>
    <m/>
    <n v="871011.75200000009"/>
    <m/>
    <m/>
    <m/>
    <m/>
    <s v="Product A"/>
  </r>
  <r>
    <x v="122"/>
    <x v="6"/>
    <x v="0"/>
    <m/>
    <x v="10"/>
    <n v="439512.08000000007"/>
    <m/>
    <n v="439512.08000000007"/>
    <m/>
    <m/>
    <m/>
    <m/>
    <s v="Product B"/>
  </r>
  <r>
    <x v="122"/>
    <x v="6"/>
    <x v="0"/>
    <m/>
    <x v="11"/>
    <m/>
    <n v="871011.75200000009"/>
    <n v="-871011.75200000009"/>
    <m/>
    <m/>
    <m/>
    <m/>
    <s v="Product A"/>
  </r>
  <r>
    <x v="122"/>
    <x v="6"/>
    <x v="0"/>
    <m/>
    <x v="12"/>
    <m/>
    <n v="439512.08000000007"/>
    <n v="-439512.08000000007"/>
    <m/>
    <m/>
    <m/>
    <m/>
    <s v="Product B"/>
  </r>
  <r>
    <x v="122"/>
    <x v="6"/>
    <x v="0"/>
    <m/>
    <x v="15"/>
    <m/>
    <n v="1019031"/>
    <n v="-1019031"/>
    <m/>
    <m/>
    <m/>
    <s v="Product A"/>
    <s v="Client 2"/>
  </r>
  <r>
    <x v="122"/>
    <x v="6"/>
    <x v="0"/>
    <m/>
    <x v="15"/>
    <m/>
    <n v="670390"/>
    <n v="-670390"/>
    <m/>
    <m/>
    <m/>
    <s v="Product B"/>
    <s v="Client 6"/>
  </r>
  <r>
    <x v="123"/>
    <x v="6"/>
    <x v="0"/>
    <m/>
    <x v="2"/>
    <m/>
    <n v="440505"/>
    <n v="-440505"/>
    <m/>
    <m/>
    <m/>
    <s v="Product A"/>
    <s v="Client 7"/>
  </r>
  <r>
    <x v="123"/>
    <x v="6"/>
    <x v="0"/>
    <m/>
    <x v="16"/>
    <n v="796511"/>
    <m/>
    <n v="796511"/>
    <m/>
    <m/>
    <m/>
    <m/>
    <m/>
  </r>
  <r>
    <x v="123"/>
    <x v="6"/>
    <x v="0"/>
    <m/>
    <x v="3"/>
    <m/>
    <n v="253397.23799999998"/>
    <n v="-253397.23799999998"/>
    <m/>
    <m/>
    <m/>
    <m/>
    <m/>
  </r>
  <r>
    <x v="123"/>
    <x v="6"/>
    <x v="0"/>
    <m/>
    <x v="3"/>
    <n v="440505"/>
    <m/>
    <n v="440505"/>
    <m/>
    <m/>
    <m/>
    <s v="Product A"/>
    <s v="Client 7"/>
  </r>
  <r>
    <x v="123"/>
    <x v="6"/>
    <x v="0"/>
    <m/>
    <x v="3"/>
    <m/>
    <n v="1130206"/>
    <n v="-1130206"/>
    <m/>
    <m/>
    <m/>
    <m/>
    <m/>
  </r>
  <r>
    <x v="123"/>
    <x v="6"/>
    <x v="0"/>
    <m/>
    <x v="3"/>
    <m/>
    <n v="784848"/>
    <n v="-784848"/>
    <m/>
    <m/>
    <m/>
    <m/>
    <m/>
  </r>
  <r>
    <x v="123"/>
    <x v="6"/>
    <x v="0"/>
    <m/>
    <x v="3"/>
    <m/>
    <n v="796511"/>
    <n v="-796511"/>
    <m/>
    <m/>
    <m/>
    <m/>
    <m/>
  </r>
  <r>
    <x v="123"/>
    <x v="6"/>
    <x v="0"/>
    <m/>
    <x v="3"/>
    <n v="1218014"/>
    <m/>
    <n v="1218014"/>
    <m/>
    <m/>
    <m/>
    <m/>
    <m/>
  </r>
  <r>
    <x v="123"/>
    <x v="6"/>
    <x v="0"/>
    <m/>
    <x v="3"/>
    <m/>
    <n v="1209257"/>
    <n v="-1209257"/>
    <m/>
    <m/>
    <m/>
    <m/>
    <m/>
  </r>
  <r>
    <x v="123"/>
    <x v="6"/>
    <x v="0"/>
    <m/>
    <x v="17"/>
    <n v="784848"/>
    <m/>
    <n v="784848"/>
    <m/>
    <m/>
    <m/>
    <m/>
    <m/>
  </r>
  <r>
    <x v="123"/>
    <x v="6"/>
    <x v="0"/>
    <m/>
    <x v="18"/>
    <n v="1209257"/>
    <m/>
    <n v="1209257"/>
    <m/>
    <m/>
    <m/>
    <m/>
    <m/>
  </r>
  <r>
    <x v="123"/>
    <x v="6"/>
    <x v="0"/>
    <m/>
    <x v="19"/>
    <m/>
    <n v="1218014"/>
    <n v="-1218014"/>
    <m/>
    <m/>
    <m/>
    <m/>
    <m/>
  </r>
  <r>
    <x v="123"/>
    <x v="6"/>
    <x v="0"/>
    <m/>
    <x v="20"/>
    <n v="1130206"/>
    <m/>
    <n v="1130206"/>
    <m/>
    <m/>
    <m/>
    <m/>
    <m/>
  </r>
  <r>
    <x v="123"/>
    <x v="6"/>
    <x v="0"/>
    <m/>
    <x v="14"/>
    <n v="253397.23799999998"/>
    <m/>
    <n v="253397.23799999998"/>
    <m/>
    <m/>
    <m/>
    <m/>
    <m/>
  </r>
  <r>
    <x v="124"/>
    <x v="7"/>
    <x v="0"/>
    <m/>
    <x v="0"/>
    <m/>
    <n v="800000"/>
    <n v="-800000"/>
    <m/>
    <m/>
    <m/>
    <s v="Component 1"/>
    <s v="Supplier A"/>
  </r>
  <r>
    <x v="124"/>
    <x v="7"/>
    <x v="0"/>
    <m/>
    <x v="0"/>
    <m/>
    <n v="810000"/>
    <n v="-810000"/>
    <m/>
    <m/>
    <m/>
    <s v="Component 2"/>
    <s v="Supplier A"/>
  </r>
  <r>
    <x v="124"/>
    <x v="7"/>
    <x v="0"/>
    <m/>
    <x v="0"/>
    <m/>
    <n v="2000000"/>
    <n v="-2000000"/>
    <m/>
    <m/>
    <m/>
    <s v="Component 3"/>
    <s v="Supplier A"/>
  </r>
  <r>
    <x v="124"/>
    <x v="7"/>
    <x v="0"/>
    <m/>
    <x v="0"/>
    <m/>
    <n v="2090000"/>
    <n v="-2090000"/>
    <m/>
    <m/>
    <m/>
    <s v="Component 4"/>
    <s v="Supplier B"/>
  </r>
  <r>
    <x v="124"/>
    <x v="7"/>
    <x v="0"/>
    <m/>
    <x v="0"/>
    <m/>
    <n v="880000"/>
    <n v="-880000"/>
    <m/>
    <m/>
    <m/>
    <s v="Component 5"/>
    <s v="Supplier D"/>
  </r>
  <r>
    <x v="124"/>
    <x v="7"/>
    <x v="0"/>
    <m/>
    <x v="0"/>
    <m/>
    <n v="2192505"/>
    <n v="-2192505"/>
    <m/>
    <m/>
    <m/>
    <s v="Component 6"/>
    <s v="Supplier D"/>
  </r>
  <r>
    <x v="124"/>
    <x v="7"/>
    <x v="0"/>
    <m/>
    <x v="3"/>
    <n v="6455000"/>
    <m/>
    <n v="6455000"/>
    <m/>
    <m/>
    <m/>
    <m/>
    <m/>
  </r>
  <r>
    <x v="124"/>
    <x v="7"/>
    <x v="0"/>
    <m/>
    <x v="4"/>
    <n v="9045000"/>
    <m/>
    <n v="9045000"/>
    <m/>
    <m/>
    <m/>
    <m/>
    <m/>
  </r>
  <r>
    <x v="124"/>
    <x v="7"/>
    <x v="0"/>
    <m/>
    <x v="6"/>
    <n v="45000000"/>
    <m/>
    <n v="45000000"/>
    <m/>
    <m/>
    <m/>
    <m/>
    <m/>
  </r>
  <r>
    <x v="124"/>
    <x v="7"/>
    <x v="0"/>
    <m/>
    <x v="7"/>
    <n v="800000"/>
    <m/>
    <n v="800000"/>
    <m/>
    <m/>
    <m/>
    <s v="Component 1"/>
    <s v="Supplier A"/>
  </r>
  <r>
    <x v="124"/>
    <x v="7"/>
    <x v="0"/>
    <m/>
    <x v="7"/>
    <n v="810000"/>
    <m/>
    <n v="810000"/>
    <m/>
    <m/>
    <m/>
    <s v="Component 2"/>
    <s v="Supplier A"/>
  </r>
  <r>
    <x v="124"/>
    <x v="7"/>
    <x v="0"/>
    <m/>
    <x v="7"/>
    <n v="2000000"/>
    <m/>
    <n v="2000000"/>
    <m/>
    <m/>
    <m/>
    <s v="Component 3"/>
    <s v="Supplier A"/>
  </r>
  <r>
    <x v="124"/>
    <x v="7"/>
    <x v="0"/>
    <m/>
    <x v="7"/>
    <n v="2090000"/>
    <m/>
    <n v="2090000"/>
    <m/>
    <m/>
    <m/>
    <s v="Component 4"/>
    <s v="Supplier B"/>
  </r>
  <r>
    <x v="124"/>
    <x v="7"/>
    <x v="0"/>
    <m/>
    <x v="7"/>
    <n v="880000"/>
    <m/>
    <n v="880000"/>
    <m/>
    <m/>
    <m/>
    <s v="Component 5"/>
    <s v="Supplier D"/>
  </r>
  <r>
    <x v="124"/>
    <x v="7"/>
    <x v="0"/>
    <m/>
    <x v="7"/>
    <n v="2192505"/>
    <m/>
    <n v="2192505"/>
    <m/>
    <m/>
    <m/>
    <s v="Component 6"/>
    <s v="Supplier D"/>
  </r>
  <r>
    <x v="124"/>
    <x v="7"/>
    <x v="0"/>
    <m/>
    <x v="8"/>
    <m/>
    <n v="50000000"/>
    <n v="-50000000"/>
    <m/>
    <m/>
    <m/>
    <m/>
    <m/>
  </r>
  <r>
    <x v="124"/>
    <x v="7"/>
    <x v="0"/>
    <m/>
    <x v="9"/>
    <m/>
    <n v="10500000"/>
    <n v="-10500000"/>
    <m/>
    <m/>
    <m/>
    <m/>
    <m/>
  </r>
  <r>
    <x v="125"/>
    <x v="7"/>
    <x v="0"/>
    <m/>
    <x v="0"/>
    <n v="945000"/>
    <m/>
    <n v="945000"/>
    <m/>
    <m/>
    <m/>
    <s v="Component 2"/>
    <s v="Supplier A"/>
  </r>
  <r>
    <x v="125"/>
    <x v="7"/>
    <x v="0"/>
    <m/>
    <x v="0"/>
    <n v="800000"/>
    <m/>
    <n v="800000"/>
    <m/>
    <m/>
    <m/>
    <s v="Component 1"/>
    <s v="Supplier A"/>
  </r>
  <r>
    <x v="125"/>
    <x v="7"/>
    <x v="0"/>
    <m/>
    <x v="2"/>
    <m/>
    <n v="515645"/>
    <n v="-515645"/>
    <m/>
    <m/>
    <m/>
    <s v="Product A"/>
    <s v="Client 2"/>
  </r>
  <r>
    <x v="125"/>
    <x v="7"/>
    <x v="0"/>
    <m/>
    <x v="3"/>
    <m/>
    <n v="945000"/>
    <n v="-945000"/>
    <m/>
    <m/>
    <m/>
    <s v="Component 2"/>
    <s v="Supplier A"/>
  </r>
  <r>
    <x v="125"/>
    <x v="7"/>
    <x v="0"/>
    <m/>
    <x v="3"/>
    <m/>
    <n v="800000"/>
    <n v="-800000"/>
    <m/>
    <m/>
    <m/>
    <s v="Component 1"/>
    <s v="Supplier A"/>
  </r>
  <r>
    <x v="125"/>
    <x v="7"/>
    <x v="0"/>
    <m/>
    <x v="3"/>
    <n v="515645"/>
    <m/>
    <n v="515645"/>
    <m/>
    <m/>
    <m/>
    <s v="Product A"/>
    <s v="Client 2"/>
  </r>
  <r>
    <x v="126"/>
    <x v="7"/>
    <x v="0"/>
    <m/>
    <x v="2"/>
    <m/>
    <n v="2832624"/>
    <n v="-2832624"/>
    <m/>
    <m/>
    <m/>
    <s v="Product C"/>
    <s v="Client 1"/>
  </r>
  <r>
    <x v="126"/>
    <x v="7"/>
    <x v="0"/>
    <m/>
    <x v="3"/>
    <n v="2832624"/>
    <m/>
    <n v="2832624"/>
    <m/>
    <m/>
    <m/>
    <s v="Product C"/>
    <s v="Client 1"/>
  </r>
  <r>
    <x v="126"/>
    <x v="7"/>
    <x v="0"/>
    <m/>
    <x v="10"/>
    <n v="729079.2"/>
    <m/>
    <n v="729079.2"/>
    <m/>
    <m/>
    <m/>
    <s v="Supplier A"/>
    <s v="Component 1"/>
  </r>
  <r>
    <x v="126"/>
    <x v="7"/>
    <x v="0"/>
    <m/>
    <x v="10"/>
    <n v="822659.91999999993"/>
    <m/>
    <n v="822659.91999999993"/>
    <m/>
    <m/>
    <m/>
    <s v="Supplier A"/>
    <s v="Component 2"/>
  </r>
  <r>
    <x v="126"/>
    <x v="7"/>
    <x v="0"/>
    <m/>
    <x v="10"/>
    <n v="1968576.92"/>
    <m/>
    <n v="1968576.92"/>
    <m/>
    <m/>
    <m/>
    <s v="Supplier A"/>
    <s v="Component 3"/>
  </r>
  <r>
    <x v="126"/>
    <x v="7"/>
    <x v="0"/>
    <m/>
    <x v="10"/>
    <n v="2143001"/>
    <m/>
    <n v="2143001"/>
    <m/>
    <m/>
    <m/>
    <s v="Supplier B"/>
    <s v="Component 4"/>
  </r>
  <r>
    <x v="126"/>
    <x v="7"/>
    <x v="0"/>
    <m/>
    <x v="10"/>
    <n v="917779.70000000007"/>
    <m/>
    <n v="917779.70000000007"/>
    <m/>
    <m/>
    <m/>
    <s v="Supplier D"/>
    <s v="Component 5"/>
  </r>
  <r>
    <x v="126"/>
    <x v="7"/>
    <x v="0"/>
    <m/>
    <x v="10"/>
    <n v="2131550"/>
    <m/>
    <n v="2131550"/>
    <m/>
    <m/>
    <m/>
    <s v="Supplier D"/>
    <s v="Component 6"/>
  </r>
  <r>
    <x v="126"/>
    <x v="7"/>
    <x v="0"/>
    <m/>
    <x v="10"/>
    <m/>
    <n v="729079.2"/>
    <n v="-729079.2"/>
    <m/>
    <m/>
    <m/>
    <m/>
    <s v="Component 1"/>
  </r>
  <r>
    <x v="126"/>
    <x v="7"/>
    <x v="0"/>
    <m/>
    <x v="10"/>
    <m/>
    <n v="822659.91999999993"/>
    <n v="-822659.91999999993"/>
    <m/>
    <m/>
    <m/>
    <m/>
    <s v="Component 2"/>
  </r>
  <r>
    <x v="126"/>
    <x v="7"/>
    <x v="0"/>
    <m/>
    <x v="10"/>
    <m/>
    <n v="1968576.92"/>
    <n v="-1968576.92"/>
    <m/>
    <m/>
    <m/>
    <m/>
    <s v="Component 3"/>
  </r>
  <r>
    <x v="126"/>
    <x v="7"/>
    <x v="0"/>
    <m/>
    <x v="10"/>
    <m/>
    <n v="2143001"/>
    <n v="-2143001"/>
    <m/>
    <m/>
    <m/>
    <m/>
    <s v="Component 4"/>
  </r>
  <r>
    <x v="126"/>
    <x v="7"/>
    <x v="0"/>
    <m/>
    <x v="10"/>
    <m/>
    <n v="917779.70000000007"/>
    <n v="-917779.70000000007"/>
    <m/>
    <m/>
    <m/>
    <m/>
    <s v="Component 5"/>
  </r>
  <r>
    <x v="126"/>
    <x v="7"/>
    <x v="0"/>
    <m/>
    <x v="10"/>
    <m/>
    <n v="2131550"/>
    <n v="-2131550"/>
    <m/>
    <m/>
    <m/>
    <m/>
    <s v="Component 6"/>
  </r>
  <r>
    <x v="126"/>
    <x v="7"/>
    <x v="0"/>
    <m/>
    <x v="7"/>
    <m/>
    <n v="729079.2"/>
    <n v="-729079.2"/>
    <m/>
    <m/>
    <m/>
    <s v="Component 1"/>
    <s v="Supplier A"/>
  </r>
  <r>
    <x v="126"/>
    <x v="7"/>
    <x v="0"/>
    <m/>
    <x v="7"/>
    <m/>
    <n v="822659.91999999993"/>
    <n v="-822659.91999999993"/>
    <m/>
    <m/>
    <m/>
    <s v="Component 2"/>
    <s v="Supplier A"/>
  </r>
  <r>
    <x v="126"/>
    <x v="7"/>
    <x v="0"/>
    <m/>
    <x v="7"/>
    <m/>
    <n v="1968576.92"/>
    <n v="-1968576.92"/>
    <m/>
    <m/>
    <m/>
    <s v="Component 3"/>
    <s v="Supplier A"/>
  </r>
  <r>
    <x v="126"/>
    <x v="7"/>
    <x v="0"/>
    <m/>
    <x v="7"/>
    <m/>
    <n v="2143001"/>
    <n v="-2143001"/>
    <m/>
    <m/>
    <m/>
    <s v="Component 4"/>
    <s v="Supplier B"/>
  </r>
  <r>
    <x v="126"/>
    <x v="7"/>
    <x v="0"/>
    <m/>
    <x v="7"/>
    <m/>
    <n v="917779.70000000007"/>
    <n v="-917779.70000000007"/>
    <m/>
    <m/>
    <m/>
    <s v="Component 5"/>
    <s v="Supplier D"/>
  </r>
  <r>
    <x v="126"/>
    <x v="7"/>
    <x v="0"/>
    <m/>
    <x v="7"/>
    <m/>
    <n v="2131550"/>
    <n v="-2131550"/>
    <m/>
    <m/>
    <m/>
    <s v="Component 6"/>
    <s v="Supplier D"/>
  </r>
  <r>
    <x v="127"/>
    <x v="7"/>
    <x v="0"/>
    <m/>
    <x v="2"/>
    <n v="1654350"/>
    <m/>
    <n v="1654350"/>
    <m/>
    <m/>
    <m/>
    <s v="Product C"/>
    <s v="Client 1"/>
  </r>
  <r>
    <x v="127"/>
    <x v="7"/>
    <x v="0"/>
    <m/>
    <x v="10"/>
    <n v="1627946.5740000003"/>
    <m/>
    <n v="1627946.5740000003"/>
    <m/>
    <m/>
    <m/>
    <m/>
    <s v="Product C"/>
  </r>
  <r>
    <x v="127"/>
    <x v="7"/>
    <x v="0"/>
    <m/>
    <x v="11"/>
    <n v="4212716.9779999983"/>
    <m/>
    <n v="4212716.9779999983"/>
    <m/>
    <m/>
    <m/>
    <m/>
    <m/>
  </r>
  <r>
    <x v="127"/>
    <x v="7"/>
    <x v="0"/>
    <m/>
    <x v="12"/>
    <n v="2796030.5760000004"/>
    <m/>
    <n v="2796030.5760000004"/>
    <m/>
    <m/>
    <m/>
    <m/>
    <m/>
  </r>
  <r>
    <x v="127"/>
    <x v="7"/>
    <x v="0"/>
    <m/>
    <x v="13"/>
    <n v="1931375.3080000002"/>
    <m/>
    <n v="1931375.3080000002"/>
    <m/>
    <m/>
    <m/>
    <m/>
    <m/>
  </r>
  <r>
    <x v="127"/>
    <x v="7"/>
    <x v="0"/>
    <m/>
    <x v="13"/>
    <m/>
    <n v="1627946.5740000003"/>
    <n v="-1627946.5740000003"/>
    <m/>
    <m/>
    <m/>
    <m/>
    <s v="Product C"/>
  </r>
  <r>
    <x v="127"/>
    <x v="7"/>
    <x v="0"/>
    <m/>
    <x v="15"/>
    <m/>
    <n v="1654350"/>
    <n v="-1654350"/>
    <m/>
    <m/>
    <m/>
    <s v="Product C"/>
    <s v="Client 1"/>
  </r>
  <r>
    <x v="127"/>
    <x v="7"/>
    <x v="0"/>
    <m/>
    <x v="14"/>
    <m/>
    <n v="227476.122"/>
    <n v="-227476.122"/>
    <m/>
    <m/>
    <m/>
    <m/>
    <m/>
  </r>
  <r>
    <x v="128"/>
    <x v="7"/>
    <x v="0"/>
    <m/>
    <x v="2"/>
    <n v="1299942"/>
    <m/>
    <n v="1299942"/>
    <m/>
    <m/>
    <m/>
    <s v="Product A"/>
    <s v="Client 9"/>
  </r>
  <r>
    <x v="128"/>
    <x v="7"/>
    <x v="0"/>
    <m/>
    <x v="10"/>
    <n v="1075011.9726666661"/>
    <m/>
    <n v="1075011.9726666661"/>
    <m/>
    <m/>
    <m/>
    <m/>
    <s v="Product A"/>
  </r>
  <r>
    <x v="128"/>
    <x v="7"/>
    <x v="0"/>
    <m/>
    <x v="11"/>
    <m/>
    <n v="1075011.9726666661"/>
    <n v="-1075011.9726666661"/>
    <m/>
    <m/>
    <m/>
    <m/>
    <s v="Product A"/>
  </r>
  <r>
    <x v="128"/>
    <x v="7"/>
    <x v="0"/>
    <m/>
    <x v="15"/>
    <m/>
    <n v="1299942"/>
    <n v="-1299942"/>
    <m/>
    <m/>
    <m/>
    <s v="Product A"/>
    <s v="Client 9"/>
  </r>
  <r>
    <x v="129"/>
    <x v="7"/>
    <x v="0"/>
    <m/>
    <x v="2"/>
    <m/>
    <n v="804344"/>
    <n v="-804344"/>
    <m/>
    <m/>
    <m/>
    <s v="Product A"/>
    <s v="Client 5"/>
  </r>
  <r>
    <x v="129"/>
    <x v="7"/>
    <x v="0"/>
    <m/>
    <x v="3"/>
    <n v="804344"/>
    <m/>
    <n v="804344"/>
    <m/>
    <m/>
    <m/>
    <s v="Product A"/>
    <s v="Client 5"/>
  </r>
  <r>
    <x v="130"/>
    <x v="7"/>
    <x v="0"/>
    <m/>
    <x v="2"/>
    <n v="708324"/>
    <m/>
    <n v="708324"/>
    <m/>
    <m/>
    <m/>
    <s v="Product B"/>
    <s v="Client 6"/>
  </r>
  <r>
    <x v="130"/>
    <x v="7"/>
    <x v="0"/>
    <m/>
    <x v="2"/>
    <n v="1618086"/>
    <m/>
    <n v="1618086"/>
    <m/>
    <m/>
    <m/>
    <s v="Product B"/>
    <s v="Client 8"/>
  </r>
  <r>
    <x v="130"/>
    <x v="7"/>
    <x v="0"/>
    <m/>
    <x v="10"/>
    <n v="303428.73400000005"/>
    <m/>
    <n v="303428.73400000005"/>
    <m/>
    <m/>
    <m/>
    <m/>
    <s v="Product C"/>
  </r>
  <r>
    <x v="130"/>
    <x v="7"/>
    <x v="0"/>
    <m/>
    <x v="10"/>
    <n v="464131.94400000008"/>
    <m/>
    <n v="464131.94400000008"/>
    <m/>
    <m/>
    <m/>
    <m/>
    <s v="Product B"/>
  </r>
  <r>
    <x v="130"/>
    <x v="7"/>
    <x v="0"/>
    <m/>
    <x v="10"/>
    <n v="1164544.4520000003"/>
    <m/>
    <n v="1164544.4520000003"/>
    <m/>
    <m/>
    <m/>
    <m/>
    <s v="Product B"/>
  </r>
  <r>
    <x v="130"/>
    <x v="7"/>
    <x v="0"/>
    <m/>
    <x v="12"/>
    <m/>
    <n v="464131.94400000008"/>
    <n v="-464131.94400000008"/>
    <m/>
    <m/>
    <m/>
    <m/>
    <s v="Product B"/>
  </r>
  <r>
    <x v="130"/>
    <x v="7"/>
    <x v="0"/>
    <m/>
    <x v="12"/>
    <m/>
    <n v="1164544.4520000003"/>
    <n v="-1164544.4520000003"/>
    <m/>
    <m/>
    <m/>
    <m/>
    <s v="Product B"/>
  </r>
  <r>
    <x v="130"/>
    <x v="7"/>
    <x v="0"/>
    <m/>
    <x v="13"/>
    <m/>
    <n v="303428.73400000005"/>
    <n v="-303428.73400000005"/>
    <m/>
    <m/>
    <m/>
    <m/>
    <s v="Product C"/>
  </r>
  <r>
    <x v="130"/>
    <x v="7"/>
    <x v="0"/>
    <m/>
    <x v="15"/>
    <m/>
    <n v="444024"/>
    <n v="-444024"/>
    <m/>
    <m/>
    <m/>
    <s v="Product C"/>
    <s v="Client 3"/>
  </r>
  <r>
    <x v="130"/>
    <x v="7"/>
    <x v="0"/>
    <m/>
    <x v="15"/>
    <m/>
    <n v="708324"/>
    <n v="-708324"/>
    <m/>
    <m/>
    <m/>
    <s v="Product B"/>
    <s v="Client 6"/>
  </r>
  <r>
    <x v="130"/>
    <x v="7"/>
    <x v="0"/>
    <m/>
    <x v="15"/>
    <m/>
    <n v="1618086"/>
    <n v="-1618086"/>
    <m/>
    <m/>
    <m/>
    <s v="Product B"/>
    <s v="Client 8"/>
  </r>
  <r>
    <x v="131"/>
    <x v="7"/>
    <x v="0"/>
    <m/>
    <x v="0"/>
    <n v="1870000"/>
    <m/>
    <n v="1870000"/>
    <m/>
    <m/>
    <m/>
    <s v="Component 6"/>
    <s v="Supplier D"/>
  </r>
  <r>
    <x v="131"/>
    <x v="7"/>
    <x v="0"/>
    <m/>
    <x v="2"/>
    <n v="1462450"/>
    <m/>
    <n v="1462450"/>
    <m/>
    <m/>
    <m/>
    <s v="Product B"/>
    <s v="Client 4"/>
  </r>
  <r>
    <x v="131"/>
    <x v="7"/>
    <x v="0"/>
    <m/>
    <x v="2"/>
    <n v="756884"/>
    <m/>
    <n v="756884"/>
    <m/>
    <m/>
    <m/>
    <s v="Product A"/>
    <s v="Client 5"/>
  </r>
  <r>
    <x v="131"/>
    <x v="7"/>
    <x v="0"/>
    <m/>
    <x v="3"/>
    <m/>
    <n v="1870000"/>
    <n v="-1870000"/>
    <m/>
    <m/>
    <m/>
    <s v="Component 6"/>
    <s v="Supplier D"/>
  </r>
  <r>
    <x v="131"/>
    <x v="7"/>
    <x v="0"/>
    <m/>
    <x v="10"/>
    <n v="1167354.1800000002"/>
    <m/>
    <n v="1167354.1800000002"/>
    <m/>
    <m/>
    <m/>
    <m/>
    <s v="Product B"/>
  </r>
  <r>
    <x v="131"/>
    <x v="7"/>
    <x v="0"/>
    <m/>
    <x v="10"/>
    <n v="676292.30800000008"/>
    <m/>
    <n v="676292.30800000008"/>
    <m/>
    <m/>
    <m/>
    <m/>
    <s v="Product A"/>
  </r>
  <r>
    <x v="131"/>
    <x v="7"/>
    <x v="0"/>
    <m/>
    <x v="11"/>
    <m/>
    <n v="676292.30800000008"/>
    <n v="-676292.30800000008"/>
    <m/>
    <m/>
    <m/>
    <m/>
    <s v="Product A"/>
  </r>
  <r>
    <x v="131"/>
    <x v="7"/>
    <x v="0"/>
    <m/>
    <x v="12"/>
    <m/>
    <n v="1167354.1800000002"/>
    <n v="-1167354.1800000002"/>
    <m/>
    <m/>
    <m/>
    <m/>
    <s v="Product B"/>
  </r>
  <r>
    <x v="131"/>
    <x v="7"/>
    <x v="0"/>
    <m/>
    <x v="15"/>
    <m/>
    <n v="1462450"/>
    <n v="-1462450"/>
    <m/>
    <m/>
    <m/>
    <s v="Product B"/>
    <s v="Client 4"/>
  </r>
  <r>
    <x v="131"/>
    <x v="7"/>
    <x v="0"/>
    <m/>
    <x v="15"/>
    <m/>
    <n v="756884"/>
    <n v="-756884"/>
    <m/>
    <m/>
    <m/>
    <s v="Product A"/>
    <s v="Client 5"/>
  </r>
  <r>
    <x v="132"/>
    <x v="7"/>
    <x v="0"/>
    <m/>
    <x v="2"/>
    <n v="605178"/>
    <m/>
    <n v="605178"/>
    <m/>
    <m/>
    <m/>
    <s v="Product A"/>
    <s v="Client 10"/>
  </r>
  <r>
    <x v="132"/>
    <x v="7"/>
    <x v="0"/>
    <m/>
    <x v="2"/>
    <m/>
    <n v="3504204"/>
    <n v="-3504204"/>
    <m/>
    <m/>
    <m/>
    <s v="Product C"/>
    <s v="Client 1"/>
  </r>
  <r>
    <x v="132"/>
    <x v="7"/>
    <x v="0"/>
    <m/>
    <x v="2"/>
    <m/>
    <n v="600600"/>
    <n v="-600600"/>
    <m/>
    <m/>
    <m/>
    <s v="Product A"/>
    <s v="Client 10"/>
  </r>
  <r>
    <x v="132"/>
    <x v="7"/>
    <x v="0"/>
    <m/>
    <x v="3"/>
    <n v="3504204"/>
    <m/>
    <n v="3504204"/>
    <m/>
    <m/>
    <m/>
    <s v="Product C"/>
    <s v="Client 1"/>
  </r>
  <r>
    <x v="132"/>
    <x v="7"/>
    <x v="0"/>
    <m/>
    <x v="3"/>
    <n v="600600"/>
    <m/>
    <n v="600600"/>
    <m/>
    <m/>
    <m/>
    <s v="Product A"/>
    <s v="Client 10"/>
  </r>
  <r>
    <x v="132"/>
    <x v="7"/>
    <x v="0"/>
    <m/>
    <x v="10"/>
    <n v="480389.33866666612"/>
    <m/>
    <n v="480389.33866666612"/>
    <m/>
    <m/>
    <m/>
    <m/>
    <s v="Product A"/>
  </r>
  <r>
    <x v="132"/>
    <x v="7"/>
    <x v="0"/>
    <m/>
    <x v="11"/>
    <m/>
    <n v="480389.33866666612"/>
    <n v="-480389.33866666612"/>
    <m/>
    <m/>
    <m/>
    <m/>
    <s v="Product A"/>
  </r>
  <r>
    <x v="132"/>
    <x v="7"/>
    <x v="0"/>
    <m/>
    <x v="15"/>
    <m/>
    <n v="605178"/>
    <n v="-605178"/>
    <m/>
    <m/>
    <m/>
    <s v="Product A"/>
    <s v="Client 10"/>
  </r>
  <r>
    <x v="133"/>
    <x v="7"/>
    <x v="0"/>
    <m/>
    <x v="0"/>
    <n v="900000"/>
    <m/>
    <n v="900000"/>
    <m/>
    <m/>
    <m/>
    <s v="Component 2"/>
    <s v="Supplier A"/>
  </r>
  <r>
    <x v="133"/>
    <x v="7"/>
    <x v="0"/>
    <m/>
    <x v="2"/>
    <m/>
    <n v="846009"/>
    <n v="-846009"/>
    <m/>
    <m/>
    <m/>
    <s v="Product B"/>
    <s v="Client 4"/>
  </r>
  <r>
    <x v="133"/>
    <x v="7"/>
    <x v="0"/>
    <m/>
    <x v="3"/>
    <m/>
    <n v="900000"/>
    <n v="-900000"/>
    <m/>
    <m/>
    <m/>
    <s v="Component 2"/>
    <s v="Supplier A"/>
  </r>
  <r>
    <x v="133"/>
    <x v="7"/>
    <x v="0"/>
    <m/>
    <x v="3"/>
    <n v="846009"/>
    <m/>
    <n v="846009"/>
    <m/>
    <m/>
    <m/>
    <s v="Product B"/>
    <s v="Client 4"/>
  </r>
  <r>
    <x v="134"/>
    <x v="7"/>
    <x v="0"/>
    <m/>
    <x v="0"/>
    <n v="810000"/>
    <m/>
    <n v="810000"/>
    <m/>
    <m/>
    <m/>
    <s v="Component 2"/>
    <s v="Supplier A"/>
  </r>
  <r>
    <x v="134"/>
    <x v="7"/>
    <x v="0"/>
    <m/>
    <x v="3"/>
    <m/>
    <n v="810000"/>
    <n v="-810000"/>
    <m/>
    <m/>
    <m/>
    <s v="Component 2"/>
    <s v="Supplier A"/>
  </r>
  <r>
    <x v="135"/>
    <x v="7"/>
    <x v="0"/>
    <m/>
    <x v="2"/>
    <n v="1355424"/>
    <m/>
    <n v="1355424"/>
    <m/>
    <m/>
    <m/>
    <s v="Product A"/>
    <s v="Client 2"/>
  </r>
  <r>
    <x v="101"/>
    <x v="5"/>
    <x v="0"/>
    <m/>
    <x v="2"/>
    <n v="1584380"/>
    <m/>
    <n v="1584380"/>
    <m/>
    <m/>
    <m/>
    <s v="Product C"/>
    <s v="Client 3"/>
  </r>
  <r>
    <x v="135"/>
    <x v="7"/>
    <x v="0"/>
    <m/>
    <x v="3"/>
    <n v="173788"/>
    <m/>
    <n v="173788"/>
    <m/>
    <m/>
    <m/>
    <s v="Product C"/>
    <s v="Client 3"/>
  </r>
  <r>
    <x v="135"/>
    <x v="7"/>
    <x v="0"/>
    <m/>
    <x v="10"/>
    <n v="1160638.2760000001"/>
    <m/>
    <n v="1160638.2760000001"/>
    <m/>
    <m/>
    <m/>
    <m/>
    <s v="Product A"/>
  </r>
  <r>
    <x v="135"/>
    <x v="7"/>
    <x v="0"/>
    <m/>
    <x v="11"/>
    <m/>
    <n v="1160638.2760000001"/>
    <n v="-1160638.2760000001"/>
    <m/>
    <m/>
    <m/>
    <m/>
    <s v="Product A"/>
  </r>
  <r>
    <x v="135"/>
    <x v="7"/>
    <x v="0"/>
    <m/>
    <x v="15"/>
    <m/>
    <n v="1355424"/>
    <n v="-1355424"/>
    <m/>
    <m/>
    <m/>
    <s v="Product A"/>
    <s v="Client 2"/>
  </r>
  <r>
    <x v="136"/>
    <x v="7"/>
    <x v="0"/>
    <m/>
    <x v="2"/>
    <n v="1162070"/>
    <m/>
    <n v="1162070"/>
    <m/>
    <m/>
    <m/>
    <s v="Product A"/>
    <s v="Client 7"/>
  </r>
  <r>
    <x v="136"/>
    <x v="7"/>
    <x v="0"/>
    <m/>
    <x v="2"/>
    <m/>
    <n v="1338336"/>
    <n v="-1338336"/>
    <m/>
    <m/>
    <m/>
    <s v="Product A"/>
    <s v="Client 10"/>
  </r>
  <r>
    <x v="136"/>
    <x v="7"/>
    <x v="0"/>
    <m/>
    <x v="3"/>
    <n v="1338336"/>
    <m/>
    <n v="1338336"/>
    <m/>
    <m/>
    <m/>
    <s v="Product A"/>
    <s v="Client 10"/>
  </r>
  <r>
    <x v="136"/>
    <x v="7"/>
    <x v="0"/>
    <m/>
    <x v="10"/>
    <n v="820385.08266666613"/>
    <m/>
    <n v="820385.08266666613"/>
    <m/>
    <m/>
    <m/>
    <m/>
    <s v="Product A"/>
  </r>
  <r>
    <x v="136"/>
    <x v="7"/>
    <x v="0"/>
    <m/>
    <x v="11"/>
    <m/>
    <n v="820385.08266666613"/>
    <n v="-820385.08266666613"/>
    <m/>
    <m/>
    <m/>
    <m/>
    <s v="Product A"/>
  </r>
  <r>
    <x v="136"/>
    <x v="7"/>
    <x v="0"/>
    <m/>
    <x v="15"/>
    <m/>
    <n v="1162070"/>
    <n v="-1162070"/>
    <m/>
    <m/>
    <m/>
    <s v="Product A"/>
    <s v="Client 7"/>
  </r>
  <r>
    <x v="137"/>
    <x v="7"/>
    <x v="0"/>
    <m/>
    <x v="0"/>
    <n v="884000"/>
    <m/>
    <n v="884000"/>
    <m/>
    <m/>
    <m/>
    <s v="Component 5"/>
    <s v="Supplier D"/>
  </r>
  <r>
    <x v="137"/>
    <x v="7"/>
    <x v="0"/>
    <m/>
    <x v="3"/>
    <m/>
    <n v="884000"/>
    <n v="-884000"/>
    <m/>
    <m/>
    <m/>
    <s v="Component 5"/>
    <s v="Supplier D"/>
  </r>
  <r>
    <x v="138"/>
    <x v="7"/>
    <x v="0"/>
    <m/>
    <x v="16"/>
    <n v="803857"/>
    <m/>
    <n v="803857"/>
    <m/>
    <m/>
    <m/>
    <m/>
    <m/>
  </r>
  <r>
    <x v="138"/>
    <x v="7"/>
    <x v="0"/>
    <m/>
    <x v="3"/>
    <m/>
    <n v="227476.122"/>
    <n v="-227476.122"/>
    <m/>
    <m/>
    <m/>
    <m/>
    <m/>
  </r>
  <r>
    <x v="138"/>
    <x v="7"/>
    <x v="0"/>
    <m/>
    <x v="3"/>
    <m/>
    <n v="1034305"/>
    <n v="-1034305"/>
    <m/>
    <m/>
    <m/>
    <m/>
    <m/>
  </r>
  <r>
    <x v="138"/>
    <x v="7"/>
    <x v="0"/>
    <m/>
    <x v="3"/>
    <m/>
    <n v="804178"/>
    <n v="-804178"/>
    <m/>
    <m/>
    <m/>
    <m/>
    <m/>
  </r>
  <r>
    <x v="138"/>
    <x v="7"/>
    <x v="0"/>
    <m/>
    <x v="3"/>
    <m/>
    <n v="803857"/>
    <n v="-803857"/>
    <m/>
    <m/>
    <m/>
    <m/>
    <m/>
  </r>
  <r>
    <x v="138"/>
    <x v="7"/>
    <x v="0"/>
    <m/>
    <x v="3"/>
    <n v="1214125"/>
    <m/>
    <n v="1214125"/>
    <m/>
    <m/>
    <m/>
    <m/>
    <m/>
  </r>
  <r>
    <x v="138"/>
    <x v="7"/>
    <x v="0"/>
    <m/>
    <x v="3"/>
    <m/>
    <n v="1200455"/>
    <n v="-1200455"/>
    <m/>
    <m/>
    <m/>
    <m/>
    <m/>
  </r>
  <r>
    <x v="138"/>
    <x v="7"/>
    <x v="0"/>
    <m/>
    <x v="17"/>
    <n v="804178"/>
    <m/>
    <n v="804178"/>
    <m/>
    <m/>
    <m/>
    <m/>
    <m/>
  </r>
  <r>
    <x v="138"/>
    <x v="7"/>
    <x v="0"/>
    <m/>
    <x v="18"/>
    <n v="1200455"/>
    <m/>
    <n v="1200455"/>
    <m/>
    <m/>
    <m/>
    <m/>
    <m/>
  </r>
  <r>
    <x v="138"/>
    <x v="7"/>
    <x v="0"/>
    <m/>
    <x v="19"/>
    <m/>
    <n v="1214125"/>
    <n v="-1214125"/>
    <m/>
    <m/>
    <m/>
    <m/>
    <m/>
  </r>
  <r>
    <x v="138"/>
    <x v="7"/>
    <x v="0"/>
    <m/>
    <x v="20"/>
    <n v="1034305"/>
    <m/>
    <n v="1034305"/>
    <m/>
    <m/>
    <m/>
    <m/>
    <m/>
  </r>
  <r>
    <x v="138"/>
    <x v="7"/>
    <x v="0"/>
    <m/>
    <x v="14"/>
    <n v="227476.122"/>
    <m/>
    <n v="227476.122"/>
    <m/>
    <m/>
    <m/>
    <m/>
    <m/>
  </r>
  <r>
    <x v="139"/>
    <x v="8"/>
    <x v="0"/>
    <m/>
    <x v="0"/>
    <n v="2310000"/>
    <m/>
    <n v="2310000"/>
    <m/>
    <m/>
    <m/>
    <s v="Component 4"/>
    <s v="Supplier B"/>
  </r>
  <r>
    <x v="139"/>
    <x v="8"/>
    <x v="0"/>
    <m/>
    <x v="2"/>
    <m/>
    <n v="1233648"/>
    <n v="-1233648"/>
    <m/>
    <m/>
    <m/>
    <s v="Product A"/>
    <s v="Client 9"/>
  </r>
  <r>
    <x v="139"/>
    <x v="8"/>
    <x v="0"/>
    <m/>
    <x v="3"/>
    <m/>
    <n v="2310000"/>
    <n v="-2310000"/>
    <m/>
    <m/>
    <m/>
    <s v="Component 4"/>
    <s v="Supplier B"/>
  </r>
  <r>
    <x v="139"/>
    <x v="8"/>
    <x v="0"/>
    <m/>
    <x v="3"/>
    <n v="1233648"/>
    <m/>
    <n v="1233648"/>
    <m/>
    <m/>
    <m/>
    <s v="Product A"/>
    <s v="Client 9"/>
  </r>
  <r>
    <x v="139"/>
    <x v="8"/>
    <x v="0"/>
    <m/>
    <x v="3"/>
    <n v="6455000"/>
    <m/>
    <n v="6455000"/>
    <m/>
    <m/>
    <m/>
    <m/>
    <m/>
  </r>
  <r>
    <x v="139"/>
    <x v="8"/>
    <x v="0"/>
    <m/>
    <x v="4"/>
    <n v="9045000"/>
    <m/>
    <n v="9045000"/>
    <m/>
    <m/>
    <m/>
    <m/>
    <m/>
  </r>
  <r>
    <x v="139"/>
    <x v="8"/>
    <x v="0"/>
    <m/>
    <x v="6"/>
    <n v="45000000"/>
    <m/>
    <n v="45000000"/>
    <m/>
    <m/>
    <m/>
    <m/>
    <m/>
  </r>
  <r>
    <x v="139"/>
    <x v="8"/>
    <x v="0"/>
    <m/>
    <x v="8"/>
    <m/>
    <n v="50000000"/>
    <n v="-50000000"/>
    <m/>
    <m/>
    <m/>
    <m/>
    <m/>
  </r>
  <r>
    <x v="139"/>
    <x v="8"/>
    <x v="0"/>
    <m/>
    <x v="9"/>
    <m/>
    <n v="10500000"/>
    <n v="-10500000"/>
    <m/>
    <m/>
    <m/>
    <m/>
    <m/>
  </r>
  <r>
    <x v="140"/>
    <x v="8"/>
    <x v="0"/>
    <m/>
    <x v="0"/>
    <n v="2210000"/>
    <m/>
    <n v="2210000"/>
    <m/>
    <m/>
    <m/>
    <s v="Component 3"/>
    <s v="Supplier A"/>
  </r>
  <r>
    <x v="140"/>
    <x v="8"/>
    <x v="0"/>
    <m/>
    <x v="0"/>
    <n v="880000"/>
    <m/>
    <n v="880000"/>
    <m/>
    <m/>
    <m/>
    <s v="Component 5"/>
    <s v="Supplier D"/>
  </r>
  <r>
    <x v="140"/>
    <x v="8"/>
    <x v="0"/>
    <m/>
    <x v="3"/>
    <m/>
    <n v="2210000"/>
    <n v="-2210000"/>
    <m/>
    <m/>
    <m/>
    <s v="Component 3"/>
    <s v="Supplier A"/>
  </r>
  <r>
    <x v="140"/>
    <x v="8"/>
    <x v="0"/>
    <m/>
    <x v="3"/>
    <m/>
    <n v="880000"/>
    <n v="-880000"/>
    <m/>
    <m/>
    <m/>
    <s v="Component 5"/>
    <s v="Supplier D"/>
  </r>
  <r>
    <x v="141"/>
    <x v="8"/>
    <x v="0"/>
    <m/>
    <x v="0"/>
    <n v="800000"/>
    <m/>
    <n v="800000"/>
    <m/>
    <m/>
    <m/>
    <s v="Component 1"/>
    <s v="Supplier A"/>
  </r>
  <r>
    <x v="141"/>
    <x v="8"/>
    <x v="0"/>
    <m/>
    <x v="2"/>
    <m/>
    <n v="933504"/>
    <n v="-933504"/>
    <m/>
    <m/>
    <m/>
    <s v="Product A"/>
    <s v="Client 7"/>
  </r>
  <r>
    <x v="141"/>
    <x v="8"/>
    <x v="0"/>
    <m/>
    <x v="3"/>
    <m/>
    <n v="800000"/>
    <n v="-800000"/>
    <m/>
    <m/>
    <m/>
    <s v="Component 1"/>
    <s v="Supplier A"/>
  </r>
  <r>
    <x v="141"/>
    <x v="8"/>
    <x v="0"/>
    <m/>
    <x v="3"/>
    <n v="933504"/>
    <m/>
    <n v="933504"/>
    <m/>
    <m/>
    <m/>
    <s v="Product A"/>
    <s v="Client 7"/>
  </r>
  <r>
    <x v="142"/>
    <x v="8"/>
    <x v="0"/>
    <m/>
    <x v="0"/>
    <m/>
    <n v="840000"/>
    <n v="-840000"/>
    <m/>
    <m/>
    <m/>
    <s v="Component 1"/>
    <s v="Supplier A"/>
  </r>
  <r>
    <x v="142"/>
    <x v="8"/>
    <x v="0"/>
    <m/>
    <x v="0"/>
    <m/>
    <n v="945000"/>
    <n v="-945000"/>
    <m/>
    <m/>
    <m/>
    <s v="Component 2"/>
    <s v="Supplier A"/>
  </r>
  <r>
    <x v="142"/>
    <x v="8"/>
    <x v="0"/>
    <m/>
    <x v="0"/>
    <m/>
    <n v="2200000"/>
    <n v="-2200000"/>
    <m/>
    <m/>
    <m/>
    <s v="Component 3"/>
    <s v="Supplier A"/>
  </r>
  <r>
    <x v="142"/>
    <x v="8"/>
    <x v="0"/>
    <m/>
    <x v="0"/>
    <m/>
    <n v="2200000"/>
    <n v="-2200000"/>
    <m/>
    <m/>
    <m/>
    <s v="Component 4"/>
    <s v="Supplier B"/>
  </r>
  <r>
    <x v="142"/>
    <x v="8"/>
    <x v="0"/>
    <m/>
    <x v="0"/>
    <m/>
    <n v="720000"/>
    <n v="-720000"/>
    <m/>
    <m/>
    <m/>
    <s v="Component 5"/>
    <s v="Supplier D"/>
  </r>
  <r>
    <x v="142"/>
    <x v="8"/>
    <x v="0"/>
    <m/>
    <x v="0"/>
    <m/>
    <n v="1774885"/>
    <n v="-1774885"/>
    <m/>
    <m/>
    <m/>
    <s v="Component 6"/>
    <s v="Supplier D"/>
  </r>
  <r>
    <x v="142"/>
    <x v="8"/>
    <x v="0"/>
    <m/>
    <x v="0"/>
    <n v="2192505"/>
    <m/>
    <n v="2192505"/>
    <m/>
    <m/>
    <m/>
    <s v="Component 6"/>
    <s v="Supplier D"/>
  </r>
  <r>
    <x v="142"/>
    <x v="8"/>
    <x v="0"/>
    <m/>
    <x v="3"/>
    <m/>
    <n v="2192505"/>
    <n v="-2192505"/>
    <m/>
    <m/>
    <m/>
    <s v="Component 6"/>
    <s v="Supplier D"/>
  </r>
  <r>
    <x v="142"/>
    <x v="8"/>
    <x v="0"/>
    <m/>
    <x v="7"/>
    <n v="840000"/>
    <m/>
    <n v="840000"/>
    <m/>
    <m/>
    <m/>
    <s v="Component 1"/>
    <s v="Supplier A"/>
  </r>
  <r>
    <x v="142"/>
    <x v="8"/>
    <x v="0"/>
    <m/>
    <x v="7"/>
    <n v="945000"/>
    <m/>
    <n v="945000"/>
    <m/>
    <m/>
    <m/>
    <s v="Component 2"/>
    <s v="Supplier A"/>
  </r>
  <r>
    <x v="142"/>
    <x v="8"/>
    <x v="0"/>
    <m/>
    <x v="7"/>
    <n v="2200000"/>
    <m/>
    <n v="2200000"/>
    <m/>
    <m/>
    <m/>
    <s v="Component 3"/>
    <s v="Supplier A"/>
  </r>
  <r>
    <x v="142"/>
    <x v="8"/>
    <x v="0"/>
    <m/>
    <x v="7"/>
    <n v="2200000"/>
    <m/>
    <n v="2200000"/>
    <m/>
    <m/>
    <m/>
    <s v="Component 4"/>
    <s v="Supplier B"/>
  </r>
  <r>
    <x v="142"/>
    <x v="8"/>
    <x v="0"/>
    <m/>
    <x v="7"/>
    <n v="720000"/>
    <m/>
    <n v="720000"/>
    <m/>
    <m/>
    <m/>
    <s v="Component 5"/>
    <s v="Supplier D"/>
  </r>
  <r>
    <x v="142"/>
    <x v="8"/>
    <x v="0"/>
    <m/>
    <x v="7"/>
    <n v="1774885"/>
    <m/>
    <n v="1774885"/>
    <m/>
    <m/>
    <m/>
    <s v="Component 6"/>
    <s v="Supplier D"/>
  </r>
  <r>
    <x v="143"/>
    <x v="8"/>
    <x v="0"/>
    <m/>
    <x v="2"/>
    <m/>
    <n v="1641031"/>
    <n v="-1641031"/>
    <m/>
    <m/>
    <m/>
    <s v="Product A"/>
    <s v="Client 9"/>
  </r>
  <r>
    <x v="143"/>
    <x v="8"/>
    <x v="0"/>
    <m/>
    <x v="3"/>
    <n v="1641031"/>
    <m/>
    <n v="1641031"/>
    <m/>
    <m/>
    <m/>
    <s v="Product A"/>
    <s v="Client 9"/>
  </r>
  <r>
    <x v="144"/>
    <x v="8"/>
    <x v="0"/>
    <m/>
    <x v="2"/>
    <m/>
    <n v="522000"/>
    <n v="-522000"/>
    <m/>
    <m/>
    <m/>
    <s v="Product B"/>
    <s v="Client 8"/>
  </r>
  <r>
    <x v="144"/>
    <x v="8"/>
    <x v="0"/>
    <m/>
    <x v="3"/>
    <n v="522000"/>
    <m/>
    <n v="522000"/>
    <m/>
    <m/>
    <m/>
    <s v="Product B"/>
    <s v="Client 8"/>
  </r>
  <r>
    <x v="145"/>
    <x v="8"/>
    <x v="0"/>
    <m/>
    <x v="0"/>
    <n v="760000"/>
    <m/>
    <n v="760000"/>
    <m/>
    <m/>
    <m/>
    <s v="Component 1"/>
    <s v="Supplier A"/>
  </r>
  <r>
    <x v="145"/>
    <x v="8"/>
    <x v="0"/>
    <m/>
    <x v="3"/>
    <m/>
    <n v="760000"/>
    <n v="-760000"/>
    <m/>
    <m/>
    <m/>
    <s v="Component 1"/>
    <s v="Supplier A"/>
  </r>
  <r>
    <x v="146"/>
    <x v="8"/>
    <x v="0"/>
    <m/>
    <x v="0"/>
    <n v="2100000"/>
    <m/>
    <n v="2100000"/>
    <m/>
    <m/>
    <m/>
    <s v="Component 3"/>
    <s v="Supplier A"/>
  </r>
  <r>
    <x v="146"/>
    <x v="8"/>
    <x v="0"/>
    <m/>
    <x v="3"/>
    <m/>
    <n v="2100000"/>
    <n v="-2100000"/>
    <m/>
    <m/>
    <m/>
    <s v="Component 3"/>
    <s v="Supplier A"/>
  </r>
  <r>
    <x v="146"/>
    <x v="8"/>
    <x v="0"/>
    <m/>
    <x v="10"/>
    <n v="715560.8"/>
    <m/>
    <n v="715560.8"/>
    <m/>
    <m/>
    <m/>
    <s v="Supplier A"/>
    <s v="Component 1"/>
  </r>
  <r>
    <x v="146"/>
    <x v="8"/>
    <x v="0"/>
    <m/>
    <x v="10"/>
    <n v="843424.5"/>
    <m/>
    <n v="843424.5"/>
    <m/>
    <m/>
    <m/>
    <s v="Supplier A"/>
    <s v="Component 2"/>
  </r>
  <r>
    <x v="146"/>
    <x v="8"/>
    <x v="0"/>
    <m/>
    <x v="10"/>
    <n v="2132295.12"/>
    <m/>
    <n v="2132295.12"/>
    <m/>
    <m/>
    <m/>
    <s v="Supplier A"/>
    <s v="Component 3"/>
  </r>
  <r>
    <x v="146"/>
    <x v="8"/>
    <x v="0"/>
    <m/>
    <x v="10"/>
    <n v="1633814"/>
    <m/>
    <n v="1633814"/>
    <m/>
    <m/>
    <m/>
    <s v="Supplier B"/>
    <s v="Component 4"/>
  </r>
  <r>
    <x v="146"/>
    <x v="8"/>
    <x v="0"/>
    <m/>
    <x v="10"/>
    <n v="845158"/>
    <m/>
    <n v="845158"/>
    <m/>
    <m/>
    <m/>
    <s v="Supplier D"/>
    <s v="Component 5"/>
  </r>
  <r>
    <x v="146"/>
    <x v="8"/>
    <x v="0"/>
    <m/>
    <x v="10"/>
    <n v="1805512"/>
    <m/>
    <n v="1805512"/>
    <m/>
    <m/>
    <m/>
    <s v="Supplier D"/>
    <s v="Component 6"/>
  </r>
  <r>
    <x v="146"/>
    <x v="8"/>
    <x v="0"/>
    <m/>
    <x v="10"/>
    <m/>
    <n v="715560.8"/>
    <n v="-715560.8"/>
    <m/>
    <m/>
    <m/>
    <m/>
    <s v="Component 1"/>
  </r>
  <r>
    <x v="146"/>
    <x v="8"/>
    <x v="0"/>
    <m/>
    <x v="10"/>
    <m/>
    <n v="843424.5"/>
    <n v="-843424.5"/>
    <m/>
    <m/>
    <m/>
    <m/>
    <s v="Component 2"/>
  </r>
  <r>
    <x v="146"/>
    <x v="8"/>
    <x v="0"/>
    <m/>
    <x v="10"/>
    <m/>
    <n v="2132295.12"/>
    <n v="-2132295.12"/>
    <m/>
    <m/>
    <m/>
    <m/>
    <s v="Component 3"/>
  </r>
  <r>
    <x v="146"/>
    <x v="8"/>
    <x v="0"/>
    <m/>
    <x v="10"/>
    <m/>
    <n v="1633814"/>
    <n v="-1633814"/>
    <m/>
    <m/>
    <m/>
    <m/>
    <s v="Component 4"/>
  </r>
  <r>
    <x v="146"/>
    <x v="8"/>
    <x v="0"/>
    <m/>
    <x v="10"/>
    <m/>
    <n v="845158"/>
    <n v="-845158"/>
    <m/>
    <m/>
    <m/>
    <m/>
    <s v="Component 5"/>
  </r>
  <r>
    <x v="146"/>
    <x v="8"/>
    <x v="0"/>
    <m/>
    <x v="10"/>
    <m/>
    <n v="1805512"/>
    <n v="-1805512"/>
    <m/>
    <m/>
    <m/>
    <m/>
    <s v="Component 6"/>
  </r>
  <r>
    <x v="146"/>
    <x v="8"/>
    <x v="0"/>
    <m/>
    <x v="7"/>
    <m/>
    <n v="715560.8"/>
    <n v="-715560.8"/>
    <m/>
    <m/>
    <m/>
    <s v="Component 1"/>
    <s v="Supplier A"/>
  </r>
  <r>
    <x v="146"/>
    <x v="8"/>
    <x v="0"/>
    <m/>
    <x v="7"/>
    <m/>
    <n v="843424.5"/>
    <n v="-843424.5"/>
    <m/>
    <m/>
    <m/>
    <s v="Component 2"/>
    <s v="Supplier A"/>
  </r>
  <r>
    <x v="146"/>
    <x v="8"/>
    <x v="0"/>
    <m/>
    <x v="7"/>
    <m/>
    <n v="2132295.12"/>
    <n v="-2132295.12"/>
    <m/>
    <m/>
    <m/>
    <s v="Component 3"/>
    <s v="Supplier A"/>
  </r>
  <r>
    <x v="146"/>
    <x v="8"/>
    <x v="0"/>
    <m/>
    <x v="7"/>
    <m/>
    <n v="1633814"/>
    <n v="-1633814"/>
    <m/>
    <m/>
    <m/>
    <s v="Component 4"/>
    <s v="Supplier B"/>
  </r>
  <r>
    <x v="146"/>
    <x v="8"/>
    <x v="0"/>
    <m/>
    <x v="7"/>
    <m/>
    <n v="845158"/>
    <n v="-845158"/>
    <m/>
    <m/>
    <m/>
    <s v="Component 5"/>
    <s v="Supplier D"/>
  </r>
  <r>
    <x v="146"/>
    <x v="8"/>
    <x v="0"/>
    <m/>
    <x v="7"/>
    <m/>
    <n v="1805512"/>
    <n v="-1805512"/>
    <m/>
    <m/>
    <m/>
    <s v="Component 6"/>
    <s v="Supplier D"/>
  </r>
  <r>
    <x v="147"/>
    <x v="8"/>
    <x v="0"/>
    <m/>
    <x v="11"/>
    <n v="3768187.0299999993"/>
    <m/>
    <n v="3768187.0299999993"/>
    <m/>
    <m/>
    <m/>
    <m/>
    <m/>
  </r>
  <r>
    <x v="147"/>
    <x v="8"/>
    <x v="0"/>
    <m/>
    <x v="12"/>
    <n v="2123448.7400000002"/>
    <m/>
    <n v="2123448.7400000002"/>
    <m/>
    <m/>
    <m/>
    <m/>
    <m/>
  </r>
  <r>
    <x v="147"/>
    <x v="8"/>
    <x v="0"/>
    <m/>
    <x v="13"/>
    <n v="2306040.9480000003"/>
    <m/>
    <n v="2306040.9480000003"/>
    <m/>
    <m/>
    <m/>
    <m/>
    <m/>
  </r>
  <r>
    <x v="147"/>
    <x v="8"/>
    <x v="0"/>
    <m/>
    <x v="14"/>
    <m/>
    <n v="221912.29800000001"/>
    <n v="-221912.29800000001"/>
    <m/>
    <m/>
    <m/>
    <m/>
    <m/>
  </r>
  <r>
    <x v="148"/>
    <x v="8"/>
    <x v="0"/>
    <m/>
    <x v="2"/>
    <n v="1976853"/>
    <m/>
    <n v="1976853"/>
    <m/>
    <m/>
    <m/>
    <s v="Product A"/>
    <s v="Client 5"/>
  </r>
  <r>
    <x v="148"/>
    <x v="8"/>
    <x v="0"/>
    <m/>
    <x v="10"/>
    <n v="1226818.2660000001"/>
    <m/>
    <n v="1226818.2660000001"/>
    <m/>
    <m/>
    <m/>
    <m/>
    <s v="Product A"/>
  </r>
  <r>
    <x v="148"/>
    <x v="8"/>
    <x v="0"/>
    <m/>
    <x v="11"/>
    <m/>
    <n v="1226818.2660000001"/>
    <n v="-1226818.2660000001"/>
    <m/>
    <m/>
    <m/>
    <m/>
    <s v="Product A"/>
  </r>
  <r>
    <x v="148"/>
    <x v="8"/>
    <x v="0"/>
    <m/>
    <x v="15"/>
    <m/>
    <n v="1976853"/>
    <n v="-1976853"/>
    <m/>
    <m/>
    <m/>
    <s v="Product A"/>
    <s v="Client 5"/>
  </r>
  <r>
    <x v="149"/>
    <x v="8"/>
    <x v="0"/>
    <m/>
    <x v="2"/>
    <m/>
    <n v="1177393"/>
    <n v="-1177393"/>
    <m/>
    <m/>
    <m/>
    <s v="Product B"/>
    <s v="Client 8"/>
  </r>
  <r>
    <x v="149"/>
    <x v="8"/>
    <x v="0"/>
    <m/>
    <x v="3"/>
    <n v="1177393"/>
    <m/>
    <n v="1177393"/>
    <m/>
    <m/>
    <m/>
    <s v="Product B"/>
    <s v="Client 8"/>
  </r>
  <r>
    <x v="150"/>
    <x v="8"/>
    <x v="0"/>
    <m/>
    <x v="3"/>
    <n v="1750932"/>
    <m/>
    <n v="1750932"/>
    <m/>
    <m/>
    <m/>
    <s v="Product C"/>
    <s v="Client 3"/>
  </r>
  <r>
    <x v="151"/>
    <x v="8"/>
    <x v="0"/>
    <m/>
    <x v="2"/>
    <m/>
    <n v="675328"/>
    <n v="-675328"/>
    <m/>
    <m/>
    <m/>
    <s v="Product B"/>
    <s v="Client 6"/>
  </r>
  <r>
    <x v="151"/>
    <x v="8"/>
    <x v="0"/>
    <m/>
    <x v="3"/>
    <n v="675328"/>
    <m/>
    <n v="675328"/>
    <m/>
    <m/>
    <m/>
    <s v="Product B"/>
    <s v="Client 6"/>
  </r>
  <r>
    <x v="152"/>
    <x v="8"/>
    <x v="0"/>
    <m/>
    <x v="0"/>
    <n v="1400000"/>
    <m/>
    <n v="1400000"/>
    <m/>
    <m/>
    <m/>
    <s v="Component 5"/>
    <s v="Supplier D"/>
  </r>
  <r>
    <x v="152"/>
    <x v="8"/>
    <x v="0"/>
    <m/>
    <x v="2"/>
    <n v="554164"/>
    <m/>
    <n v="554164"/>
    <m/>
    <m/>
    <m/>
    <s v="Product A"/>
    <s v="Client 10"/>
  </r>
  <r>
    <x v="152"/>
    <x v="8"/>
    <x v="0"/>
    <m/>
    <x v="3"/>
    <m/>
    <n v="1400000"/>
    <n v="-1400000"/>
    <m/>
    <m/>
    <m/>
    <s v="Component 5"/>
    <s v="Supplier D"/>
  </r>
  <r>
    <x v="152"/>
    <x v="8"/>
    <x v="0"/>
    <m/>
    <x v="10"/>
    <n v="400319.55399999971"/>
    <m/>
    <n v="400319.55399999971"/>
    <m/>
    <m/>
    <m/>
    <m/>
    <s v="Product A"/>
  </r>
  <r>
    <x v="152"/>
    <x v="8"/>
    <x v="0"/>
    <m/>
    <x v="11"/>
    <m/>
    <n v="400319.55399999971"/>
    <n v="-400319.55399999971"/>
    <m/>
    <m/>
    <m/>
    <m/>
    <s v="Product A"/>
  </r>
  <r>
    <x v="152"/>
    <x v="8"/>
    <x v="0"/>
    <m/>
    <x v="15"/>
    <m/>
    <n v="554164"/>
    <n v="-554164"/>
    <m/>
    <m/>
    <m/>
    <s v="Product A"/>
    <s v="Client 10"/>
  </r>
  <r>
    <x v="153"/>
    <x v="8"/>
    <x v="0"/>
    <m/>
    <x v="2"/>
    <n v="1400236"/>
    <m/>
    <n v="1400236"/>
    <m/>
    <m/>
    <m/>
    <s v="Product B"/>
    <s v="Client 4"/>
  </r>
  <r>
    <x v="153"/>
    <x v="8"/>
    <x v="0"/>
    <m/>
    <x v="10"/>
    <n v="962348.4040000001"/>
    <m/>
    <n v="962348.4040000001"/>
    <m/>
    <m/>
    <m/>
    <m/>
    <s v="Product B"/>
  </r>
  <r>
    <x v="153"/>
    <x v="8"/>
    <x v="0"/>
    <m/>
    <x v="12"/>
    <m/>
    <n v="962348.4040000001"/>
    <n v="-962348.4040000001"/>
    <m/>
    <m/>
    <m/>
    <m/>
    <s v="Product B"/>
  </r>
  <r>
    <x v="153"/>
    <x v="8"/>
    <x v="0"/>
    <m/>
    <x v="15"/>
    <m/>
    <n v="1400236"/>
    <n v="-1400236"/>
    <m/>
    <m/>
    <m/>
    <s v="Product B"/>
    <s v="Client 4"/>
  </r>
  <r>
    <x v="108"/>
    <x v="6"/>
    <x v="0"/>
    <m/>
    <x v="2"/>
    <m/>
    <n v="1466607"/>
    <n v="-1466607"/>
    <m/>
    <m/>
    <m/>
    <s v="Product C"/>
    <s v="Client 3"/>
  </r>
  <r>
    <x v="154"/>
    <x v="8"/>
    <x v="0"/>
    <m/>
    <x v="10"/>
    <n v="362284.50600000005"/>
    <m/>
    <n v="362284.50600000005"/>
    <m/>
    <m/>
    <m/>
    <m/>
    <s v="Product C"/>
  </r>
  <r>
    <x v="154"/>
    <x v="8"/>
    <x v="0"/>
    <m/>
    <x v="13"/>
    <m/>
    <n v="362284.50600000005"/>
    <n v="-362284.50600000005"/>
    <m/>
    <m/>
    <m/>
    <m/>
    <s v="Product C"/>
  </r>
  <r>
    <x v="154"/>
    <x v="8"/>
    <x v="0"/>
    <m/>
    <x v="15"/>
    <m/>
    <n v="383184"/>
    <n v="-383184"/>
    <m/>
    <m/>
    <m/>
    <s v="Product C"/>
    <s v="Client 3"/>
  </r>
  <r>
    <x v="155"/>
    <x v="8"/>
    <x v="0"/>
    <m/>
    <x v="2"/>
    <m/>
    <n v="1159740"/>
    <n v="-1159740"/>
    <m/>
    <m/>
    <m/>
    <s v="Product A"/>
    <s v="Client 7"/>
  </r>
  <r>
    <x v="155"/>
    <x v="8"/>
    <x v="0"/>
    <m/>
    <x v="2"/>
    <m/>
    <n v="1299942"/>
    <n v="-1299942"/>
    <m/>
    <m/>
    <m/>
    <s v="Product A"/>
    <s v="Client 9"/>
  </r>
  <r>
    <x v="155"/>
    <x v="8"/>
    <x v="0"/>
    <m/>
    <x v="3"/>
    <n v="1159740"/>
    <m/>
    <n v="1159740"/>
    <m/>
    <m/>
    <m/>
    <s v="Product A"/>
    <s v="Client 7"/>
  </r>
  <r>
    <x v="155"/>
    <x v="8"/>
    <x v="0"/>
    <m/>
    <x v="3"/>
    <n v="1299942"/>
    <m/>
    <n v="1299942"/>
    <m/>
    <m/>
    <m/>
    <s v="Product A"/>
    <s v="Client 9"/>
  </r>
  <r>
    <x v="156"/>
    <x v="8"/>
    <x v="0"/>
    <m/>
    <x v="2"/>
    <n v="1397760"/>
    <m/>
    <n v="1397760"/>
    <m/>
    <m/>
    <m/>
    <s v="Product A"/>
    <s v="Client 2"/>
  </r>
  <r>
    <x v="156"/>
    <x v="8"/>
    <x v="0"/>
    <m/>
    <x v="10"/>
    <n v="962314.08000000007"/>
    <m/>
    <n v="962314.08000000007"/>
    <m/>
    <m/>
    <m/>
    <m/>
    <s v="Product A"/>
  </r>
  <r>
    <x v="156"/>
    <x v="8"/>
    <x v="0"/>
    <m/>
    <x v="11"/>
    <m/>
    <n v="962314.08000000007"/>
    <n v="-962314.08000000007"/>
    <m/>
    <m/>
    <m/>
    <m/>
    <s v="Product A"/>
  </r>
  <r>
    <x v="156"/>
    <x v="8"/>
    <x v="0"/>
    <m/>
    <x v="15"/>
    <m/>
    <n v="1397760"/>
    <n v="-1397760"/>
    <m/>
    <m/>
    <m/>
    <s v="Product A"/>
    <s v="Client 2"/>
  </r>
  <r>
    <x v="157"/>
    <x v="8"/>
    <x v="0"/>
    <m/>
    <x v="0"/>
    <n v="810000"/>
    <m/>
    <n v="810000"/>
    <m/>
    <m/>
    <m/>
    <s v="Component 2"/>
    <s v="Supplier A"/>
  </r>
  <r>
    <x v="157"/>
    <x v="8"/>
    <x v="0"/>
    <m/>
    <x v="2"/>
    <n v="489124"/>
    <m/>
    <n v="489124"/>
    <m/>
    <m/>
    <m/>
    <s v="Product A"/>
    <s v="Client 7"/>
  </r>
  <r>
    <x v="157"/>
    <x v="8"/>
    <x v="0"/>
    <m/>
    <x v="2"/>
    <n v="1051848"/>
    <m/>
    <n v="1051848"/>
    <m/>
    <m/>
    <m/>
    <s v="Product B"/>
    <s v="Client 8"/>
  </r>
  <r>
    <x v="157"/>
    <x v="8"/>
    <x v="0"/>
    <m/>
    <x v="2"/>
    <m/>
    <n v="754700"/>
    <n v="-754700"/>
    <m/>
    <m/>
    <m/>
    <s v="Product A"/>
    <s v="Client 5"/>
  </r>
  <r>
    <x v="157"/>
    <x v="8"/>
    <x v="0"/>
    <m/>
    <x v="3"/>
    <m/>
    <n v="810000"/>
    <n v="-810000"/>
    <m/>
    <m/>
    <m/>
    <s v="Component 2"/>
    <s v="Supplier A"/>
  </r>
  <r>
    <x v="157"/>
    <x v="8"/>
    <x v="0"/>
    <m/>
    <x v="3"/>
    <n v="754700"/>
    <m/>
    <n v="754700"/>
    <m/>
    <m/>
    <m/>
    <s v="Product A"/>
    <s v="Client 5"/>
  </r>
  <r>
    <x v="157"/>
    <x v="8"/>
    <x v="0"/>
    <m/>
    <x v="10"/>
    <n v="247688.78599999967"/>
    <m/>
    <n v="247688.78599999967"/>
    <m/>
    <m/>
    <m/>
    <m/>
    <s v="Product A"/>
  </r>
  <r>
    <x v="157"/>
    <x v="8"/>
    <x v="0"/>
    <m/>
    <x v="10"/>
    <n v="748727.946"/>
    <m/>
    <n v="748727.946"/>
    <m/>
    <m/>
    <m/>
    <m/>
    <s v="Product B"/>
  </r>
  <r>
    <x v="157"/>
    <x v="8"/>
    <x v="0"/>
    <m/>
    <x v="11"/>
    <m/>
    <n v="247688.78599999967"/>
    <n v="-247688.78599999967"/>
    <m/>
    <m/>
    <m/>
    <m/>
    <s v="Product A"/>
  </r>
  <r>
    <x v="157"/>
    <x v="8"/>
    <x v="0"/>
    <m/>
    <x v="12"/>
    <m/>
    <n v="748727.946"/>
    <n v="-748727.946"/>
    <m/>
    <m/>
    <m/>
    <m/>
    <s v="Product B"/>
  </r>
  <r>
    <x v="157"/>
    <x v="8"/>
    <x v="0"/>
    <m/>
    <x v="15"/>
    <m/>
    <n v="489124"/>
    <n v="-489124"/>
    <m/>
    <m/>
    <m/>
    <s v="Product A"/>
    <s v="Client 7"/>
  </r>
  <r>
    <x v="157"/>
    <x v="8"/>
    <x v="0"/>
    <m/>
    <x v="15"/>
    <m/>
    <n v="1051848"/>
    <n v="-1051848"/>
    <m/>
    <m/>
    <m/>
    <s v="Product B"/>
    <s v="Client 8"/>
  </r>
  <r>
    <x v="158"/>
    <x v="8"/>
    <x v="0"/>
    <m/>
    <x v="2"/>
    <n v="682770"/>
    <m/>
    <n v="682770"/>
    <m/>
    <m/>
    <m/>
    <s v="Product B"/>
    <s v="Client 6"/>
  </r>
  <r>
    <x v="158"/>
    <x v="8"/>
    <x v="0"/>
    <m/>
    <x v="10"/>
    <n v="412372.39"/>
    <m/>
    <n v="412372.39"/>
    <m/>
    <m/>
    <m/>
    <m/>
    <s v="Product B"/>
  </r>
  <r>
    <x v="158"/>
    <x v="8"/>
    <x v="0"/>
    <m/>
    <x v="12"/>
    <m/>
    <n v="412372.39"/>
    <n v="-412372.39"/>
    <m/>
    <m/>
    <m/>
    <m/>
    <s v="Product B"/>
  </r>
  <r>
    <x v="158"/>
    <x v="8"/>
    <x v="0"/>
    <m/>
    <x v="15"/>
    <m/>
    <n v="682770"/>
    <n v="-682770"/>
    <m/>
    <m/>
    <m/>
    <s v="Product B"/>
    <s v="Client 6"/>
  </r>
  <r>
    <x v="159"/>
    <x v="8"/>
    <x v="0"/>
    <m/>
    <x v="2"/>
    <n v="2098719"/>
    <m/>
    <n v="2098719"/>
    <m/>
    <m/>
    <m/>
    <s v="Product C"/>
    <s v="Client 1"/>
  </r>
  <r>
    <x v="118"/>
    <x v="6"/>
    <x v="0"/>
    <m/>
    <x v="2"/>
    <n v="1750932"/>
    <m/>
    <n v="1750932"/>
    <m/>
    <m/>
    <m/>
    <s v="Product C"/>
    <s v="Client 3"/>
  </r>
  <r>
    <x v="159"/>
    <x v="8"/>
    <x v="0"/>
    <m/>
    <x v="3"/>
    <n v="444024"/>
    <m/>
    <n v="444024"/>
    <m/>
    <m/>
    <m/>
    <s v="Product C"/>
    <s v="Client 3"/>
  </r>
  <r>
    <x v="159"/>
    <x v="8"/>
    <x v="0"/>
    <m/>
    <x v="10"/>
    <n v="1943756.4420000003"/>
    <m/>
    <n v="1943756.4420000003"/>
    <m/>
    <m/>
    <m/>
    <m/>
    <s v="Product C"/>
  </r>
  <r>
    <x v="159"/>
    <x v="8"/>
    <x v="0"/>
    <m/>
    <x v="13"/>
    <m/>
    <n v="1943756.4420000003"/>
    <n v="-1943756.4420000003"/>
    <m/>
    <m/>
    <m/>
    <m/>
    <s v="Product C"/>
  </r>
  <r>
    <x v="159"/>
    <x v="8"/>
    <x v="0"/>
    <m/>
    <x v="15"/>
    <m/>
    <n v="2098719"/>
    <n v="-2098719"/>
    <m/>
    <m/>
    <m/>
    <s v="Product C"/>
    <s v="Client 1"/>
  </r>
  <r>
    <x v="160"/>
    <x v="8"/>
    <x v="0"/>
    <m/>
    <x v="2"/>
    <n v="1452928"/>
    <m/>
    <n v="1452928"/>
    <m/>
    <m/>
    <m/>
    <s v="Product A"/>
    <s v="Client 9"/>
  </r>
  <r>
    <x v="160"/>
    <x v="8"/>
    <x v="0"/>
    <m/>
    <x v="16"/>
    <n v="789374"/>
    <m/>
    <n v="789374"/>
    <m/>
    <m/>
    <m/>
    <m/>
    <m/>
  </r>
  <r>
    <x v="160"/>
    <x v="8"/>
    <x v="0"/>
    <m/>
    <x v="3"/>
    <m/>
    <n v="221912.29800000001"/>
    <n v="-221912.29800000001"/>
    <m/>
    <m/>
    <m/>
    <m/>
    <m/>
  </r>
  <r>
    <x v="160"/>
    <x v="8"/>
    <x v="0"/>
    <m/>
    <x v="3"/>
    <m/>
    <n v="926975"/>
    <n v="-926975"/>
    <m/>
    <m/>
    <m/>
    <m/>
    <m/>
  </r>
  <r>
    <x v="160"/>
    <x v="8"/>
    <x v="0"/>
    <m/>
    <x v="3"/>
    <m/>
    <n v="776615"/>
    <n v="-776615"/>
    <m/>
    <m/>
    <m/>
    <m/>
    <m/>
  </r>
  <r>
    <x v="160"/>
    <x v="8"/>
    <x v="0"/>
    <m/>
    <x v="3"/>
    <m/>
    <n v="789374"/>
    <n v="-789374"/>
    <m/>
    <m/>
    <m/>
    <m/>
    <m/>
  </r>
  <r>
    <x v="160"/>
    <x v="8"/>
    <x v="0"/>
    <m/>
    <x v="3"/>
    <n v="1232767"/>
    <m/>
    <n v="1232767"/>
    <m/>
    <m/>
    <m/>
    <m/>
    <m/>
  </r>
  <r>
    <x v="160"/>
    <x v="8"/>
    <x v="0"/>
    <m/>
    <x v="3"/>
    <m/>
    <n v="1223081"/>
    <n v="-1223081"/>
    <m/>
    <m/>
    <m/>
    <m/>
    <m/>
  </r>
  <r>
    <x v="160"/>
    <x v="8"/>
    <x v="0"/>
    <m/>
    <x v="10"/>
    <n v="931046.34399999981"/>
    <m/>
    <n v="931046.34399999981"/>
    <m/>
    <m/>
    <m/>
    <m/>
    <s v="Product A"/>
  </r>
  <r>
    <x v="160"/>
    <x v="8"/>
    <x v="0"/>
    <m/>
    <x v="17"/>
    <n v="776615"/>
    <m/>
    <n v="776615"/>
    <m/>
    <m/>
    <m/>
    <m/>
    <m/>
  </r>
  <r>
    <x v="160"/>
    <x v="8"/>
    <x v="0"/>
    <m/>
    <x v="18"/>
    <n v="1223081"/>
    <m/>
    <n v="1223081"/>
    <m/>
    <m/>
    <m/>
    <m/>
    <m/>
  </r>
  <r>
    <x v="160"/>
    <x v="8"/>
    <x v="0"/>
    <m/>
    <x v="19"/>
    <m/>
    <n v="1232767"/>
    <n v="-1232767"/>
    <m/>
    <m/>
    <m/>
    <m/>
    <m/>
  </r>
  <r>
    <x v="160"/>
    <x v="8"/>
    <x v="0"/>
    <m/>
    <x v="11"/>
    <m/>
    <n v="931046.34399999981"/>
    <n v="-931046.34399999981"/>
    <m/>
    <m/>
    <m/>
    <m/>
    <s v="Product A"/>
  </r>
  <r>
    <x v="160"/>
    <x v="8"/>
    <x v="0"/>
    <m/>
    <x v="20"/>
    <n v="926975"/>
    <m/>
    <n v="926975"/>
    <m/>
    <m/>
    <m/>
    <m/>
    <m/>
  </r>
  <r>
    <x v="160"/>
    <x v="8"/>
    <x v="0"/>
    <m/>
    <x v="15"/>
    <m/>
    <n v="1452928"/>
    <n v="-1452928"/>
    <m/>
    <m/>
    <m/>
    <s v="Product A"/>
    <s v="Client 9"/>
  </r>
  <r>
    <x v="160"/>
    <x v="8"/>
    <x v="0"/>
    <m/>
    <x v="14"/>
    <n v="221912.29800000001"/>
    <m/>
    <n v="221912.29800000001"/>
    <m/>
    <m/>
    <m/>
    <m/>
    <m/>
  </r>
  <r>
    <x v="161"/>
    <x v="9"/>
    <x v="0"/>
    <m/>
    <x v="3"/>
    <n v="6455000"/>
    <m/>
    <n v="6455000"/>
    <m/>
    <m/>
    <m/>
    <m/>
    <m/>
  </r>
  <r>
    <x v="161"/>
    <x v="9"/>
    <x v="0"/>
    <m/>
    <x v="4"/>
    <n v="9045000"/>
    <m/>
    <n v="9045000"/>
    <m/>
    <m/>
    <m/>
    <m/>
    <m/>
  </r>
  <r>
    <x v="161"/>
    <x v="9"/>
    <x v="0"/>
    <m/>
    <x v="6"/>
    <n v="45000000"/>
    <m/>
    <n v="45000000"/>
    <m/>
    <m/>
    <m/>
    <m/>
    <m/>
  </r>
  <r>
    <x v="161"/>
    <x v="9"/>
    <x v="0"/>
    <m/>
    <x v="8"/>
    <m/>
    <n v="50000000"/>
    <n v="-50000000"/>
    <m/>
    <m/>
    <m/>
    <m/>
    <m/>
  </r>
  <r>
    <x v="161"/>
    <x v="9"/>
    <x v="0"/>
    <m/>
    <x v="9"/>
    <m/>
    <n v="10500000"/>
    <n v="-10500000"/>
    <m/>
    <m/>
    <m/>
    <m/>
    <m/>
  </r>
  <r>
    <x v="162"/>
    <x v="9"/>
    <x v="0"/>
    <m/>
    <x v="0"/>
    <m/>
    <n v="720000"/>
    <n v="-720000"/>
    <m/>
    <m/>
    <m/>
    <s v="Component 1"/>
    <s v="Supplier A"/>
  </r>
  <r>
    <x v="162"/>
    <x v="9"/>
    <x v="0"/>
    <m/>
    <x v="0"/>
    <m/>
    <n v="855000"/>
    <n v="-855000"/>
    <m/>
    <m/>
    <m/>
    <s v="Component 2"/>
    <s v="Supplier A"/>
  </r>
  <r>
    <x v="162"/>
    <x v="9"/>
    <x v="0"/>
    <m/>
    <x v="0"/>
    <m/>
    <n v="2000000"/>
    <n v="-2000000"/>
    <m/>
    <m/>
    <m/>
    <s v="Component 3"/>
    <s v="Supplier A"/>
  </r>
  <r>
    <x v="162"/>
    <x v="9"/>
    <x v="0"/>
    <m/>
    <x v="0"/>
    <m/>
    <n v="2310000"/>
    <n v="-2310000"/>
    <m/>
    <m/>
    <m/>
    <s v="Component 4"/>
    <s v="Supplier B"/>
  </r>
  <r>
    <x v="162"/>
    <x v="9"/>
    <x v="0"/>
    <m/>
    <x v="0"/>
    <m/>
    <n v="800000"/>
    <n v="-800000"/>
    <m/>
    <m/>
    <m/>
    <s v="Component 5"/>
    <s v="Supplier D"/>
  </r>
  <r>
    <x v="162"/>
    <x v="9"/>
    <x v="0"/>
    <m/>
    <x v="0"/>
    <m/>
    <n v="1983695"/>
    <n v="-1983695"/>
    <m/>
    <m/>
    <m/>
    <s v="Component 6"/>
    <s v="Supplier D"/>
  </r>
  <r>
    <x v="162"/>
    <x v="9"/>
    <x v="0"/>
    <m/>
    <x v="2"/>
    <m/>
    <n v="915151"/>
    <n v="-915151"/>
    <m/>
    <m/>
    <m/>
    <s v="Product B"/>
    <s v="Client 4"/>
  </r>
  <r>
    <x v="162"/>
    <x v="9"/>
    <x v="0"/>
    <m/>
    <x v="3"/>
    <n v="915151"/>
    <m/>
    <n v="915151"/>
    <m/>
    <m/>
    <m/>
    <s v="Product B"/>
    <s v="Client 4"/>
  </r>
  <r>
    <x v="162"/>
    <x v="9"/>
    <x v="0"/>
    <m/>
    <x v="7"/>
    <n v="720000"/>
    <m/>
    <n v="720000"/>
    <m/>
    <m/>
    <m/>
    <s v="Component 1"/>
    <s v="Supplier A"/>
  </r>
  <r>
    <x v="162"/>
    <x v="9"/>
    <x v="0"/>
    <m/>
    <x v="7"/>
    <n v="855000"/>
    <m/>
    <n v="855000"/>
    <m/>
    <m/>
    <m/>
    <s v="Component 2"/>
    <s v="Supplier A"/>
  </r>
  <r>
    <x v="162"/>
    <x v="9"/>
    <x v="0"/>
    <m/>
    <x v="7"/>
    <n v="2000000"/>
    <m/>
    <n v="2000000"/>
    <m/>
    <m/>
    <m/>
    <s v="Component 3"/>
    <s v="Supplier A"/>
  </r>
  <r>
    <x v="162"/>
    <x v="9"/>
    <x v="0"/>
    <m/>
    <x v="7"/>
    <n v="2310000"/>
    <m/>
    <n v="2310000"/>
    <m/>
    <m/>
    <m/>
    <s v="Component 4"/>
    <s v="Supplier B"/>
  </r>
  <r>
    <x v="162"/>
    <x v="9"/>
    <x v="0"/>
    <m/>
    <x v="7"/>
    <n v="800000"/>
    <m/>
    <n v="800000"/>
    <m/>
    <m/>
    <m/>
    <s v="Component 5"/>
    <s v="Supplier D"/>
  </r>
  <r>
    <x v="162"/>
    <x v="9"/>
    <x v="0"/>
    <m/>
    <x v="7"/>
    <n v="1983695"/>
    <m/>
    <n v="1983695"/>
    <m/>
    <m/>
    <m/>
    <s v="Component 6"/>
    <s v="Supplier D"/>
  </r>
  <r>
    <x v="163"/>
    <x v="9"/>
    <x v="0"/>
    <m/>
    <x v="2"/>
    <m/>
    <n v="1990443"/>
    <n v="-1990443"/>
    <m/>
    <m/>
    <m/>
    <s v="Product B"/>
    <s v="Client 4"/>
  </r>
  <r>
    <x v="163"/>
    <x v="9"/>
    <x v="0"/>
    <m/>
    <x v="2"/>
    <m/>
    <n v="708324"/>
    <n v="-708324"/>
    <m/>
    <m/>
    <m/>
    <s v="Product B"/>
    <s v="Client 6"/>
  </r>
  <r>
    <x v="163"/>
    <x v="9"/>
    <x v="0"/>
    <m/>
    <x v="3"/>
    <n v="1990443"/>
    <m/>
    <n v="1990443"/>
    <m/>
    <m/>
    <m/>
    <s v="Product B"/>
    <s v="Client 4"/>
  </r>
  <r>
    <x v="163"/>
    <x v="9"/>
    <x v="0"/>
    <m/>
    <x v="3"/>
    <n v="708324"/>
    <m/>
    <n v="708324"/>
    <m/>
    <m/>
    <m/>
    <s v="Product B"/>
    <s v="Client 6"/>
  </r>
  <r>
    <x v="164"/>
    <x v="9"/>
    <x v="0"/>
    <m/>
    <x v="0"/>
    <n v="2380000"/>
    <m/>
    <n v="2380000"/>
    <m/>
    <m/>
    <m/>
    <s v="Component 6"/>
    <s v="Supplier D"/>
  </r>
  <r>
    <x v="164"/>
    <x v="9"/>
    <x v="0"/>
    <m/>
    <x v="3"/>
    <m/>
    <n v="2380000"/>
    <n v="-2380000"/>
    <m/>
    <m/>
    <m/>
    <s v="Component 6"/>
    <s v="Supplier D"/>
  </r>
  <r>
    <x v="165"/>
    <x v="9"/>
    <x v="0"/>
    <m/>
    <x v="2"/>
    <m/>
    <n v="1162070"/>
    <n v="-1162070"/>
    <m/>
    <m/>
    <m/>
    <s v="Product A"/>
    <s v="Client 7"/>
  </r>
  <r>
    <x v="165"/>
    <x v="9"/>
    <x v="0"/>
    <m/>
    <x v="3"/>
    <n v="1162070"/>
    <m/>
    <n v="1162070"/>
    <m/>
    <m/>
    <m/>
    <s v="Product A"/>
    <s v="Client 7"/>
  </r>
  <r>
    <x v="165"/>
    <x v="9"/>
    <x v="0"/>
    <m/>
    <x v="10"/>
    <n v="851001.59999999986"/>
    <m/>
    <n v="851001.59999999986"/>
    <m/>
    <m/>
    <m/>
    <s v="Supplier A"/>
    <s v="Component 1"/>
  </r>
  <r>
    <x v="165"/>
    <x v="9"/>
    <x v="0"/>
    <m/>
    <x v="10"/>
    <n v="851028.88000000012"/>
    <m/>
    <n v="851028.88000000012"/>
    <m/>
    <m/>
    <m/>
    <s v="Supplier A"/>
    <s v="Component 2"/>
  </r>
  <r>
    <x v="165"/>
    <x v="9"/>
    <x v="0"/>
    <m/>
    <x v="10"/>
    <n v="1972135.2799999998"/>
    <m/>
    <n v="1972135.2799999998"/>
    <m/>
    <m/>
    <m/>
    <s v="Supplier A"/>
    <s v="Component 3"/>
  </r>
  <r>
    <x v="165"/>
    <x v="9"/>
    <x v="0"/>
    <m/>
    <x v="10"/>
    <n v="1886144"/>
    <m/>
    <n v="1886144"/>
    <m/>
    <m/>
    <m/>
    <s v="Supplier B"/>
    <s v="Component 4"/>
  </r>
  <r>
    <x v="165"/>
    <x v="9"/>
    <x v="0"/>
    <m/>
    <x v="10"/>
    <n v="790023.3"/>
    <m/>
    <n v="790023.3"/>
    <m/>
    <m/>
    <m/>
    <s v="Supplier D"/>
    <s v="Component 5"/>
  </r>
  <r>
    <x v="165"/>
    <x v="9"/>
    <x v="0"/>
    <m/>
    <x v="10"/>
    <n v="1785537"/>
    <m/>
    <n v="1785537"/>
    <m/>
    <m/>
    <m/>
    <s v="Supplier D"/>
    <s v="Component 6"/>
  </r>
  <r>
    <x v="165"/>
    <x v="9"/>
    <x v="0"/>
    <m/>
    <x v="10"/>
    <m/>
    <n v="851001.59999999986"/>
    <n v="-851001.59999999986"/>
    <m/>
    <m/>
    <m/>
    <m/>
    <s v="Component 1"/>
  </r>
  <r>
    <x v="165"/>
    <x v="9"/>
    <x v="0"/>
    <m/>
    <x v="10"/>
    <m/>
    <n v="851028.88000000012"/>
    <n v="-851028.88000000012"/>
    <m/>
    <m/>
    <m/>
    <m/>
    <s v="Component 2"/>
  </r>
  <r>
    <x v="165"/>
    <x v="9"/>
    <x v="0"/>
    <m/>
    <x v="10"/>
    <m/>
    <n v="1972135.2799999998"/>
    <n v="-1972135.2799999998"/>
    <m/>
    <m/>
    <m/>
    <m/>
    <s v="Component 3"/>
  </r>
  <r>
    <x v="165"/>
    <x v="9"/>
    <x v="0"/>
    <m/>
    <x v="10"/>
    <m/>
    <n v="1886144"/>
    <n v="-1886144"/>
    <m/>
    <m/>
    <m/>
    <m/>
    <s v="Component 4"/>
  </r>
  <r>
    <x v="165"/>
    <x v="9"/>
    <x v="0"/>
    <m/>
    <x v="10"/>
    <m/>
    <n v="790023.3"/>
    <n v="-790023.3"/>
    <m/>
    <m/>
    <m/>
    <m/>
    <s v="Component 5"/>
  </r>
  <r>
    <x v="165"/>
    <x v="9"/>
    <x v="0"/>
    <m/>
    <x v="10"/>
    <m/>
    <n v="1785537"/>
    <n v="-1785537"/>
    <m/>
    <m/>
    <m/>
    <m/>
    <s v="Component 6"/>
  </r>
  <r>
    <x v="165"/>
    <x v="9"/>
    <x v="0"/>
    <m/>
    <x v="7"/>
    <m/>
    <n v="851001.59999999986"/>
    <n v="-851001.59999999986"/>
    <m/>
    <m/>
    <m/>
    <s v="Component 1"/>
    <s v="Supplier A"/>
  </r>
  <r>
    <x v="165"/>
    <x v="9"/>
    <x v="0"/>
    <m/>
    <x v="7"/>
    <m/>
    <n v="851028.88000000012"/>
    <n v="-851028.88000000012"/>
    <m/>
    <m/>
    <m/>
    <s v="Component 2"/>
    <s v="Supplier A"/>
  </r>
  <r>
    <x v="165"/>
    <x v="9"/>
    <x v="0"/>
    <m/>
    <x v="7"/>
    <m/>
    <n v="1972135.2799999998"/>
    <n v="-1972135.2799999998"/>
    <m/>
    <m/>
    <m/>
    <s v="Component 3"/>
    <s v="Supplier A"/>
  </r>
  <r>
    <x v="165"/>
    <x v="9"/>
    <x v="0"/>
    <m/>
    <x v="7"/>
    <m/>
    <n v="1886144"/>
    <n v="-1886144"/>
    <m/>
    <m/>
    <m/>
    <s v="Component 4"/>
    <s v="Supplier B"/>
  </r>
  <r>
    <x v="165"/>
    <x v="9"/>
    <x v="0"/>
    <m/>
    <x v="7"/>
    <m/>
    <n v="790023.3"/>
    <n v="-790023.3"/>
    <m/>
    <m/>
    <m/>
    <s v="Component 5"/>
    <s v="Supplier D"/>
  </r>
  <r>
    <x v="165"/>
    <x v="9"/>
    <x v="0"/>
    <m/>
    <x v="7"/>
    <m/>
    <n v="1785537"/>
    <n v="-1785537"/>
    <m/>
    <m/>
    <m/>
    <s v="Component 6"/>
    <s v="Supplier D"/>
  </r>
  <r>
    <x v="166"/>
    <x v="9"/>
    <x v="0"/>
    <m/>
    <x v="11"/>
    <n v="4188887.9299999997"/>
    <m/>
    <n v="4188887.9299999997"/>
    <m/>
    <m/>
    <m/>
    <m/>
    <m/>
  </r>
  <r>
    <x v="166"/>
    <x v="9"/>
    <x v="0"/>
    <m/>
    <x v="12"/>
    <n v="1981224.6120000002"/>
    <m/>
    <n v="1981224.6120000002"/>
    <m/>
    <m/>
    <m/>
    <m/>
    <m/>
  </r>
  <r>
    <x v="166"/>
    <x v="9"/>
    <x v="0"/>
    <m/>
    <x v="13"/>
    <n v="2187138.7860000003"/>
    <m/>
    <n v="2187138.7860000003"/>
    <m/>
    <m/>
    <m/>
    <m/>
    <m/>
  </r>
  <r>
    <x v="166"/>
    <x v="9"/>
    <x v="0"/>
    <m/>
    <x v="14"/>
    <m/>
    <n v="221381.26799999998"/>
    <n v="-221381.26799999998"/>
    <m/>
    <m/>
    <m/>
    <m/>
    <m/>
  </r>
  <r>
    <x v="167"/>
    <x v="9"/>
    <x v="0"/>
    <m/>
    <x v="2"/>
    <n v="2665260"/>
    <m/>
    <n v="2665260"/>
    <m/>
    <m/>
    <m/>
    <s v="Product C"/>
    <s v="Client 1"/>
  </r>
  <r>
    <x v="167"/>
    <x v="9"/>
    <x v="0"/>
    <m/>
    <x v="10"/>
    <n v="2066553.7620000003"/>
    <m/>
    <n v="2066553.7620000003"/>
    <m/>
    <m/>
    <m/>
    <m/>
    <s v="Product C"/>
  </r>
  <r>
    <x v="167"/>
    <x v="9"/>
    <x v="0"/>
    <m/>
    <x v="13"/>
    <m/>
    <n v="2066553.7620000003"/>
    <n v="-2066553.7620000003"/>
    <m/>
    <m/>
    <m/>
    <m/>
    <s v="Product C"/>
  </r>
  <r>
    <x v="167"/>
    <x v="9"/>
    <x v="0"/>
    <m/>
    <x v="15"/>
    <m/>
    <n v="2665260"/>
    <n v="-2665260"/>
    <m/>
    <m/>
    <m/>
    <s v="Product C"/>
    <s v="Client 1"/>
  </r>
  <r>
    <x v="168"/>
    <x v="9"/>
    <x v="0"/>
    <m/>
    <x v="2"/>
    <m/>
    <n v="3161070"/>
    <n v="-3161070"/>
    <m/>
    <m/>
    <m/>
    <s v="Product C"/>
    <s v="Client 1"/>
  </r>
  <r>
    <x v="168"/>
    <x v="9"/>
    <x v="0"/>
    <m/>
    <x v="3"/>
    <n v="3161070"/>
    <m/>
    <n v="3161070"/>
    <m/>
    <m/>
    <m/>
    <s v="Product C"/>
    <s v="Client 1"/>
  </r>
  <r>
    <x v="169"/>
    <x v="9"/>
    <x v="0"/>
    <m/>
    <x v="2"/>
    <n v="487665"/>
    <m/>
    <n v="487665"/>
    <m/>
    <m/>
    <m/>
    <s v="Product B"/>
    <s v="Client 6"/>
  </r>
  <r>
    <x v="169"/>
    <x v="9"/>
    <x v="0"/>
    <m/>
    <x v="10"/>
    <n v="447806.51400000002"/>
    <m/>
    <n v="447806.51400000002"/>
    <m/>
    <m/>
    <m/>
    <m/>
    <s v="Product B"/>
  </r>
  <r>
    <x v="169"/>
    <x v="9"/>
    <x v="0"/>
    <m/>
    <x v="12"/>
    <m/>
    <n v="447806.51400000002"/>
    <n v="-447806.51400000002"/>
    <m/>
    <m/>
    <m/>
    <m/>
    <s v="Product B"/>
  </r>
  <r>
    <x v="169"/>
    <x v="9"/>
    <x v="0"/>
    <m/>
    <x v="15"/>
    <m/>
    <n v="487665"/>
    <n v="-487665"/>
    <m/>
    <m/>
    <m/>
    <s v="Product B"/>
    <s v="Client 6"/>
  </r>
  <r>
    <x v="170"/>
    <x v="9"/>
    <x v="0"/>
    <m/>
    <x v="2"/>
    <n v="947030"/>
    <m/>
    <n v="947030"/>
    <m/>
    <m/>
    <m/>
    <s v="Product B"/>
    <s v="Client 4"/>
  </r>
  <r>
    <x v="170"/>
    <x v="9"/>
    <x v="0"/>
    <m/>
    <x v="10"/>
    <n v="559045.33799999999"/>
    <m/>
    <n v="559045.33799999999"/>
    <m/>
    <m/>
    <m/>
    <m/>
    <s v="Product B"/>
  </r>
  <r>
    <x v="170"/>
    <x v="9"/>
    <x v="0"/>
    <m/>
    <x v="12"/>
    <m/>
    <n v="559045.33799999999"/>
    <n v="-559045.33799999999"/>
    <m/>
    <m/>
    <m/>
    <m/>
    <s v="Product B"/>
  </r>
  <r>
    <x v="170"/>
    <x v="9"/>
    <x v="0"/>
    <m/>
    <x v="15"/>
    <m/>
    <n v="947030"/>
    <n v="-947030"/>
    <m/>
    <m/>
    <m/>
    <s v="Product B"/>
    <s v="Client 4"/>
  </r>
  <r>
    <x v="171"/>
    <x v="9"/>
    <x v="0"/>
    <m/>
    <x v="2"/>
    <n v="425961"/>
    <m/>
    <n v="425961"/>
    <m/>
    <m/>
    <m/>
    <s v="Product A"/>
    <s v="Client 2"/>
  </r>
  <r>
    <x v="171"/>
    <x v="9"/>
    <x v="0"/>
    <m/>
    <x v="2"/>
    <m/>
    <n v="1019031"/>
    <n v="-1019031"/>
    <m/>
    <m/>
    <m/>
    <s v="Product A"/>
    <s v="Client 2"/>
  </r>
  <r>
    <x v="171"/>
    <x v="9"/>
    <x v="0"/>
    <m/>
    <x v="3"/>
    <n v="1019031"/>
    <m/>
    <n v="1019031"/>
    <m/>
    <m/>
    <m/>
    <s v="Product A"/>
    <s v="Client 2"/>
  </r>
  <r>
    <x v="171"/>
    <x v="9"/>
    <x v="0"/>
    <m/>
    <x v="10"/>
    <n v="341749.31400000001"/>
    <m/>
    <n v="341749.31400000001"/>
    <m/>
    <m/>
    <m/>
    <m/>
    <s v="Product A"/>
  </r>
  <r>
    <x v="171"/>
    <x v="9"/>
    <x v="0"/>
    <m/>
    <x v="11"/>
    <m/>
    <n v="341749.31400000001"/>
    <n v="-341749.31400000001"/>
    <m/>
    <m/>
    <m/>
    <m/>
    <s v="Product A"/>
  </r>
  <r>
    <x v="171"/>
    <x v="9"/>
    <x v="0"/>
    <m/>
    <x v="15"/>
    <m/>
    <n v="425961"/>
    <n v="-425961"/>
    <m/>
    <m/>
    <m/>
    <s v="Product A"/>
    <s v="Client 2"/>
  </r>
  <r>
    <x v="172"/>
    <x v="9"/>
    <x v="0"/>
    <m/>
    <x v="2"/>
    <m/>
    <n v="1764378"/>
    <n v="-1764378"/>
    <m/>
    <m/>
    <m/>
    <s v="Product A"/>
    <s v="Client 7"/>
  </r>
  <r>
    <x v="172"/>
    <x v="9"/>
    <x v="0"/>
    <m/>
    <x v="2"/>
    <m/>
    <n v="1462450"/>
    <n v="-1462450"/>
    <m/>
    <m/>
    <m/>
    <s v="Product B"/>
    <s v="Client 4"/>
  </r>
  <r>
    <x v="172"/>
    <x v="9"/>
    <x v="0"/>
    <m/>
    <x v="3"/>
    <n v="1764378"/>
    <m/>
    <n v="1764378"/>
    <m/>
    <m/>
    <m/>
    <s v="Product A"/>
    <s v="Client 7"/>
  </r>
  <r>
    <x v="172"/>
    <x v="9"/>
    <x v="0"/>
    <m/>
    <x v="3"/>
    <n v="1462450"/>
    <m/>
    <n v="1462450"/>
    <m/>
    <m/>
    <m/>
    <s v="Product B"/>
    <s v="Client 4"/>
  </r>
  <r>
    <x v="173"/>
    <x v="9"/>
    <x v="0"/>
    <m/>
    <x v="2"/>
    <n v="1125402"/>
    <m/>
    <n v="1125402"/>
    <m/>
    <m/>
    <m/>
    <s v="Product A"/>
    <s v="Client 9"/>
  </r>
  <r>
    <x v="173"/>
    <x v="9"/>
    <x v="0"/>
    <m/>
    <x v="2"/>
    <m/>
    <n v="907731"/>
    <n v="-907731"/>
    <m/>
    <m/>
    <m/>
    <s v="Product A"/>
    <s v="Client 9"/>
  </r>
  <r>
    <x v="173"/>
    <x v="9"/>
    <x v="0"/>
    <m/>
    <x v="3"/>
    <n v="907731"/>
    <m/>
    <n v="907731"/>
    <m/>
    <m/>
    <m/>
    <s v="Product A"/>
    <s v="Client 9"/>
  </r>
  <r>
    <x v="173"/>
    <x v="9"/>
    <x v="0"/>
    <m/>
    <x v="10"/>
    <n v="897470.39466666663"/>
    <m/>
    <n v="897470.39466666663"/>
    <m/>
    <m/>
    <m/>
    <m/>
    <s v="Product A"/>
  </r>
  <r>
    <x v="173"/>
    <x v="9"/>
    <x v="0"/>
    <m/>
    <x v="11"/>
    <m/>
    <n v="897470.39466666663"/>
    <n v="-897470.39466666663"/>
    <m/>
    <m/>
    <m/>
    <m/>
    <s v="Product A"/>
  </r>
  <r>
    <x v="173"/>
    <x v="9"/>
    <x v="0"/>
    <m/>
    <x v="15"/>
    <m/>
    <n v="1125402"/>
    <n v="-1125402"/>
    <m/>
    <m/>
    <m/>
    <s v="Product A"/>
    <s v="Client 9"/>
  </r>
  <r>
    <x v="174"/>
    <x v="9"/>
    <x v="0"/>
    <m/>
    <x v="0"/>
    <n v="2200000"/>
    <m/>
    <n v="2200000"/>
    <m/>
    <m/>
    <m/>
    <s v="Component 3"/>
    <s v="Supplier A"/>
  </r>
  <r>
    <x v="174"/>
    <x v="9"/>
    <x v="0"/>
    <m/>
    <x v="2"/>
    <n v="1398420"/>
    <m/>
    <n v="1398420"/>
    <m/>
    <m/>
    <m/>
    <s v="Product A"/>
    <s v="Client 5"/>
  </r>
  <r>
    <x v="174"/>
    <x v="9"/>
    <x v="0"/>
    <m/>
    <x v="3"/>
    <m/>
    <n v="2200000"/>
    <n v="-2200000"/>
    <m/>
    <m/>
    <m/>
    <s v="Component 3"/>
    <s v="Supplier A"/>
  </r>
  <r>
    <x v="174"/>
    <x v="9"/>
    <x v="0"/>
    <m/>
    <x v="10"/>
    <n v="874464.92999999993"/>
    <m/>
    <n v="874464.92999999993"/>
    <m/>
    <m/>
    <m/>
    <m/>
    <s v="Product A"/>
  </r>
  <r>
    <x v="174"/>
    <x v="9"/>
    <x v="0"/>
    <m/>
    <x v="11"/>
    <m/>
    <n v="874464.92999999993"/>
    <n v="-874464.92999999993"/>
    <m/>
    <m/>
    <m/>
    <m/>
    <s v="Product A"/>
  </r>
  <r>
    <x v="174"/>
    <x v="9"/>
    <x v="0"/>
    <m/>
    <x v="15"/>
    <m/>
    <n v="1398420"/>
    <n v="-1398420"/>
    <m/>
    <m/>
    <m/>
    <s v="Product A"/>
    <s v="Client 5"/>
  </r>
  <r>
    <x v="175"/>
    <x v="9"/>
    <x v="0"/>
    <m/>
    <x v="2"/>
    <m/>
    <n v="670390"/>
    <n v="-670390"/>
    <m/>
    <m/>
    <m/>
    <s v="Product B"/>
    <s v="Client 6"/>
  </r>
  <r>
    <x v="175"/>
    <x v="9"/>
    <x v="0"/>
    <m/>
    <x v="3"/>
    <n v="670390"/>
    <m/>
    <n v="670390"/>
    <m/>
    <m/>
    <m/>
    <s v="Product B"/>
    <s v="Client 6"/>
  </r>
  <r>
    <x v="176"/>
    <x v="9"/>
    <x v="0"/>
    <m/>
    <x v="2"/>
    <n v="1149234"/>
    <m/>
    <n v="1149234"/>
    <m/>
    <m/>
    <m/>
    <s v="Product A"/>
    <s v="Client 7"/>
  </r>
  <r>
    <x v="176"/>
    <x v="9"/>
    <x v="0"/>
    <m/>
    <x v="10"/>
    <n v="851886.81066666672"/>
    <m/>
    <n v="851886.81066666672"/>
    <m/>
    <m/>
    <m/>
    <m/>
    <s v="Product A"/>
  </r>
  <r>
    <x v="176"/>
    <x v="9"/>
    <x v="0"/>
    <m/>
    <x v="11"/>
    <m/>
    <n v="851886.81066666672"/>
    <n v="-851886.81066666672"/>
    <m/>
    <m/>
    <m/>
    <m/>
    <s v="Product A"/>
  </r>
  <r>
    <x v="176"/>
    <x v="9"/>
    <x v="0"/>
    <m/>
    <x v="15"/>
    <m/>
    <n v="1149234"/>
    <n v="-1149234"/>
    <m/>
    <m/>
    <m/>
    <s v="Product A"/>
    <s v="Client 7"/>
  </r>
  <r>
    <x v="177"/>
    <x v="9"/>
    <x v="0"/>
    <m/>
    <x v="2"/>
    <n v="1391220"/>
    <m/>
    <n v="1391220"/>
    <m/>
    <m/>
    <m/>
    <s v="Product B"/>
    <s v="Client 8"/>
  </r>
  <r>
    <x v="177"/>
    <x v="9"/>
    <x v="0"/>
    <m/>
    <x v="10"/>
    <n v="974372.76"/>
    <m/>
    <n v="974372.76"/>
    <m/>
    <m/>
    <m/>
    <m/>
    <s v="Product B"/>
  </r>
  <r>
    <x v="177"/>
    <x v="9"/>
    <x v="0"/>
    <m/>
    <x v="12"/>
    <m/>
    <n v="974372.76"/>
    <n v="-974372.76"/>
    <m/>
    <m/>
    <m/>
    <m/>
    <s v="Product B"/>
  </r>
  <r>
    <x v="177"/>
    <x v="9"/>
    <x v="0"/>
    <m/>
    <x v="15"/>
    <m/>
    <n v="1391220"/>
    <n v="-1391220"/>
    <m/>
    <m/>
    <m/>
    <s v="Product B"/>
    <s v="Client 8"/>
  </r>
  <r>
    <x v="178"/>
    <x v="9"/>
    <x v="0"/>
    <m/>
    <x v="2"/>
    <n v="1589335"/>
    <m/>
    <n v="1589335"/>
    <m/>
    <m/>
    <m/>
    <s v="Product A"/>
    <s v="Client 10"/>
  </r>
  <r>
    <x v="178"/>
    <x v="9"/>
    <x v="0"/>
    <m/>
    <x v="10"/>
    <n v="1223316.4806666668"/>
    <m/>
    <n v="1223316.4806666668"/>
    <m/>
    <m/>
    <m/>
    <m/>
    <s v="Product A"/>
  </r>
  <r>
    <x v="178"/>
    <x v="9"/>
    <x v="0"/>
    <m/>
    <x v="11"/>
    <m/>
    <n v="1223316.4806666668"/>
    <n v="-1223316.4806666668"/>
    <m/>
    <m/>
    <m/>
    <m/>
    <s v="Product A"/>
  </r>
  <r>
    <x v="178"/>
    <x v="9"/>
    <x v="0"/>
    <m/>
    <x v="15"/>
    <m/>
    <n v="1589335"/>
    <n v="-1589335"/>
    <m/>
    <m/>
    <m/>
    <s v="Product A"/>
    <s v="Client 10"/>
  </r>
  <r>
    <x v="179"/>
    <x v="9"/>
    <x v="0"/>
    <m/>
    <x v="0"/>
    <n v="945000"/>
    <m/>
    <n v="945000"/>
    <m/>
    <m/>
    <m/>
    <s v="Component 2"/>
    <s v="Supplier A"/>
  </r>
  <r>
    <x v="179"/>
    <x v="9"/>
    <x v="0"/>
    <m/>
    <x v="2"/>
    <m/>
    <n v="1618086"/>
    <n v="-1618086"/>
    <m/>
    <m/>
    <m/>
    <s v="Product B"/>
    <s v="Client 8"/>
  </r>
  <r>
    <x v="179"/>
    <x v="9"/>
    <x v="0"/>
    <m/>
    <x v="3"/>
    <m/>
    <n v="945000"/>
    <n v="-945000"/>
    <m/>
    <m/>
    <m/>
    <s v="Component 2"/>
    <s v="Supplier A"/>
  </r>
  <r>
    <x v="179"/>
    <x v="9"/>
    <x v="0"/>
    <m/>
    <x v="3"/>
    <n v="1618086"/>
    <m/>
    <n v="1618086"/>
    <m/>
    <m/>
    <m/>
    <s v="Product B"/>
    <s v="Client 8"/>
  </r>
  <r>
    <x v="121"/>
    <x v="6"/>
    <x v="0"/>
    <m/>
    <x v="2"/>
    <m/>
    <n v="1584380"/>
    <n v="-1584380"/>
    <m/>
    <m/>
    <m/>
    <s v="Product C"/>
    <s v="Client 3"/>
  </r>
  <r>
    <x v="180"/>
    <x v="9"/>
    <x v="0"/>
    <m/>
    <x v="2"/>
    <m/>
    <n v="605178"/>
    <n v="-605178"/>
    <m/>
    <m/>
    <m/>
    <s v="Product A"/>
    <s v="Client 10"/>
  </r>
  <r>
    <x v="180"/>
    <x v="9"/>
    <x v="0"/>
    <m/>
    <x v="3"/>
    <n v="605178"/>
    <m/>
    <n v="605178"/>
    <m/>
    <m/>
    <m/>
    <s v="Product A"/>
    <s v="Client 10"/>
  </r>
  <r>
    <x v="180"/>
    <x v="9"/>
    <x v="0"/>
    <m/>
    <x v="10"/>
    <n v="120585.02400000002"/>
    <m/>
    <n v="120585.02400000002"/>
    <m/>
    <m/>
    <m/>
    <m/>
    <s v="Product C"/>
  </r>
  <r>
    <x v="180"/>
    <x v="9"/>
    <x v="0"/>
    <m/>
    <x v="13"/>
    <m/>
    <n v="120585.02400000002"/>
    <n v="-120585.02400000002"/>
    <m/>
    <m/>
    <m/>
    <m/>
    <s v="Product C"/>
  </r>
  <r>
    <x v="180"/>
    <x v="9"/>
    <x v="0"/>
    <m/>
    <x v="15"/>
    <m/>
    <n v="173664"/>
    <n v="-173664"/>
    <m/>
    <m/>
    <m/>
    <s v="Product C"/>
    <s v="Client 3"/>
  </r>
  <r>
    <x v="181"/>
    <x v="9"/>
    <x v="0"/>
    <m/>
    <x v="2"/>
    <m/>
    <n v="577216"/>
    <n v="-577216"/>
    <m/>
    <m/>
    <m/>
    <s v="Product A"/>
    <s v="Client 10"/>
  </r>
  <r>
    <x v="181"/>
    <x v="9"/>
    <x v="0"/>
    <m/>
    <x v="3"/>
    <n v="577216"/>
    <m/>
    <n v="577216"/>
    <m/>
    <m/>
    <m/>
    <s v="Product A"/>
    <s v="Client 10"/>
  </r>
  <r>
    <x v="182"/>
    <x v="9"/>
    <x v="0"/>
    <m/>
    <x v="0"/>
    <n v="2000000"/>
    <m/>
    <n v="2000000"/>
    <m/>
    <m/>
    <m/>
    <s v="Component 3"/>
    <s v="Supplier A"/>
  </r>
  <r>
    <x v="182"/>
    <x v="9"/>
    <x v="0"/>
    <m/>
    <x v="2"/>
    <m/>
    <n v="756884"/>
    <n v="-756884"/>
    <m/>
    <m/>
    <m/>
    <s v="Product A"/>
    <s v="Client 5"/>
  </r>
  <r>
    <x v="182"/>
    <x v="9"/>
    <x v="0"/>
    <m/>
    <x v="3"/>
    <m/>
    <n v="2000000"/>
    <n v="-2000000"/>
    <m/>
    <m/>
    <m/>
    <s v="Component 3"/>
    <s v="Supplier A"/>
  </r>
  <r>
    <x v="182"/>
    <x v="9"/>
    <x v="0"/>
    <m/>
    <x v="3"/>
    <n v="756884"/>
    <m/>
    <n v="756884"/>
    <m/>
    <m/>
    <m/>
    <s v="Product A"/>
    <s v="Client 5"/>
  </r>
  <r>
    <x v="183"/>
    <x v="9"/>
    <x v="0"/>
    <m/>
    <x v="16"/>
    <n v="796762"/>
    <m/>
    <n v="796762"/>
    <m/>
    <m/>
    <m/>
    <m/>
    <m/>
  </r>
  <r>
    <x v="183"/>
    <x v="9"/>
    <x v="0"/>
    <m/>
    <x v="3"/>
    <m/>
    <n v="221381.26799999998"/>
    <n v="-221381.26799999998"/>
    <m/>
    <m/>
    <m/>
    <m/>
    <m/>
  </r>
  <r>
    <x v="183"/>
    <x v="9"/>
    <x v="0"/>
    <m/>
    <x v="3"/>
    <m/>
    <n v="1071231"/>
    <n v="-1071231"/>
    <m/>
    <m/>
    <m/>
    <m/>
    <m/>
  </r>
  <r>
    <x v="183"/>
    <x v="9"/>
    <x v="0"/>
    <m/>
    <x v="3"/>
    <m/>
    <n v="789096"/>
    <n v="-789096"/>
    <m/>
    <m/>
    <m/>
    <m/>
    <m/>
  </r>
  <r>
    <x v="183"/>
    <x v="9"/>
    <x v="0"/>
    <m/>
    <x v="3"/>
    <m/>
    <n v="796762"/>
    <n v="-796762"/>
    <m/>
    <m/>
    <m/>
    <m/>
    <m/>
  </r>
  <r>
    <x v="183"/>
    <x v="9"/>
    <x v="0"/>
    <m/>
    <x v="3"/>
    <n v="1205676"/>
    <m/>
    <n v="1205676"/>
    <m/>
    <m/>
    <m/>
    <m/>
    <m/>
  </r>
  <r>
    <x v="183"/>
    <x v="9"/>
    <x v="0"/>
    <m/>
    <x v="3"/>
    <m/>
    <n v="1216045"/>
    <n v="-1216045"/>
    <m/>
    <m/>
    <m/>
    <m/>
    <m/>
  </r>
  <r>
    <x v="183"/>
    <x v="9"/>
    <x v="0"/>
    <m/>
    <x v="17"/>
    <n v="789096"/>
    <m/>
    <n v="789096"/>
    <m/>
    <m/>
    <m/>
    <m/>
    <m/>
  </r>
  <r>
    <x v="183"/>
    <x v="9"/>
    <x v="0"/>
    <m/>
    <x v="18"/>
    <n v="1216045"/>
    <m/>
    <n v="1216045"/>
    <m/>
    <m/>
    <m/>
    <m/>
    <m/>
  </r>
  <r>
    <x v="183"/>
    <x v="9"/>
    <x v="0"/>
    <m/>
    <x v="19"/>
    <m/>
    <n v="1205676"/>
    <n v="-1205676"/>
    <m/>
    <m/>
    <m/>
    <m/>
    <m/>
  </r>
  <r>
    <x v="183"/>
    <x v="9"/>
    <x v="0"/>
    <m/>
    <x v="20"/>
    <n v="1071231"/>
    <m/>
    <n v="1071231"/>
    <m/>
    <m/>
    <m/>
    <m/>
    <m/>
  </r>
  <r>
    <x v="183"/>
    <x v="9"/>
    <x v="0"/>
    <m/>
    <x v="14"/>
    <n v="221381.26799999998"/>
    <m/>
    <n v="221381.26799999998"/>
    <m/>
    <m/>
    <m/>
    <m/>
    <m/>
  </r>
  <r>
    <x v="184"/>
    <x v="10"/>
    <x v="0"/>
    <m/>
    <x v="0"/>
    <m/>
    <n v="880000"/>
    <n v="-880000"/>
    <m/>
    <m/>
    <m/>
    <s v="Component 1"/>
    <s v="Supplier A"/>
  </r>
  <r>
    <x v="184"/>
    <x v="10"/>
    <x v="0"/>
    <m/>
    <x v="0"/>
    <m/>
    <n v="765000"/>
    <n v="-765000"/>
    <m/>
    <m/>
    <m/>
    <s v="Component 2"/>
    <s v="Supplier A"/>
  </r>
  <r>
    <x v="184"/>
    <x v="10"/>
    <x v="0"/>
    <m/>
    <x v="0"/>
    <m/>
    <n v="1800000"/>
    <n v="-1800000"/>
    <m/>
    <m/>
    <m/>
    <s v="Component 3"/>
    <s v="Supplier A"/>
  </r>
  <r>
    <x v="184"/>
    <x v="10"/>
    <x v="0"/>
    <m/>
    <x v="0"/>
    <m/>
    <n v="2090000"/>
    <n v="-2090000"/>
    <m/>
    <m/>
    <m/>
    <s v="Component 4"/>
    <s v="Supplier B"/>
  </r>
  <r>
    <x v="184"/>
    <x v="10"/>
    <x v="0"/>
    <m/>
    <x v="0"/>
    <m/>
    <n v="800000"/>
    <n v="-800000"/>
    <m/>
    <m/>
    <m/>
    <s v="Component 5"/>
    <s v="Supplier D"/>
  </r>
  <r>
    <x v="184"/>
    <x v="10"/>
    <x v="0"/>
    <m/>
    <x v="0"/>
    <m/>
    <n v="1774885"/>
    <n v="-1774885"/>
    <m/>
    <m/>
    <m/>
    <s v="Component 6"/>
    <s v="Supplier D"/>
  </r>
  <r>
    <x v="184"/>
    <x v="10"/>
    <x v="0"/>
    <m/>
    <x v="3"/>
    <n v="6455000"/>
    <m/>
    <n v="6455000"/>
    <m/>
    <m/>
    <m/>
    <m/>
    <m/>
  </r>
  <r>
    <x v="184"/>
    <x v="10"/>
    <x v="0"/>
    <m/>
    <x v="4"/>
    <n v="9045000"/>
    <m/>
    <n v="9045000"/>
    <m/>
    <m/>
    <m/>
    <m/>
    <m/>
  </r>
  <r>
    <x v="184"/>
    <x v="10"/>
    <x v="0"/>
    <m/>
    <x v="6"/>
    <n v="45000000"/>
    <m/>
    <n v="45000000"/>
    <m/>
    <m/>
    <m/>
    <m/>
    <m/>
  </r>
  <r>
    <x v="184"/>
    <x v="10"/>
    <x v="0"/>
    <m/>
    <x v="7"/>
    <n v="880000"/>
    <m/>
    <n v="880000"/>
    <m/>
    <m/>
    <m/>
    <s v="Component 1"/>
    <s v="Supplier A"/>
  </r>
  <r>
    <x v="184"/>
    <x v="10"/>
    <x v="0"/>
    <m/>
    <x v="7"/>
    <n v="765000"/>
    <m/>
    <n v="765000"/>
    <m/>
    <m/>
    <m/>
    <s v="Component 2"/>
    <s v="Supplier A"/>
  </r>
  <r>
    <x v="184"/>
    <x v="10"/>
    <x v="0"/>
    <m/>
    <x v="7"/>
    <n v="1800000"/>
    <m/>
    <n v="1800000"/>
    <m/>
    <m/>
    <m/>
    <s v="Component 3"/>
    <s v="Supplier A"/>
  </r>
  <r>
    <x v="184"/>
    <x v="10"/>
    <x v="0"/>
    <m/>
    <x v="7"/>
    <n v="2090000"/>
    <m/>
    <n v="2090000"/>
    <m/>
    <m/>
    <m/>
    <s v="Component 4"/>
    <s v="Supplier B"/>
  </r>
  <r>
    <x v="184"/>
    <x v="10"/>
    <x v="0"/>
    <m/>
    <x v="7"/>
    <n v="800000"/>
    <m/>
    <n v="800000"/>
    <m/>
    <m/>
    <m/>
    <s v="Component 5"/>
    <s v="Supplier D"/>
  </r>
  <r>
    <x v="184"/>
    <x v="10"/>
    <x v="0"/>
    <m/>
    <x v="7"/>
    <n v="1774885"/>
    <m/>
    <n v="1774885"/>
    <m/>
    <m/>
    <m/>
    <s v="Component 6"/>
    <s v="Supplier D"/>
  </r>
  <r>
    <x v="184"/>
    <x v="10"/>
    <x v="0"/>
    <m/>
    <x v="8"/>
    <m/>
    <n v="50000000"/>
    <n v="-50000000"/>
    <m/>
    <m/>
    <m/>
    <m/>
    <m/>
  </r>
  <r>
    <x v="184"/>
    <x v="10"/>
    <x v="0"/>
    <m/>
    <x v="9"/>
    <m/>
    <n v="10500000"/>
    <n v="-10500000"/>
    <m/>
    <m/>
    <m/>
    <m/>
    <m/>
  </r>
  <r>
    <x v="185"/>
    <x v="10"/>
    <x v="0"/>
    <m/>
    <x v="0"/>
    <n v="2090000"/>
    <m/>
    <n v="2090000"/>
    <m/>
    <m/>
    <m/>
    <s v="Component 4"/>
    <s v="Supplier B"/>
  </r>
  <r>
    <x v="185"/>
    <x v="10"/>
    <x v="0"/>
    <m/>
    <x v="3"/>
    <m/>
    <n v="2090000"/>
    <n v="-2090000"/>
    <m/>
    <m/>
    <m/>
    <s v="Component 4"/>
    <s v="Supplier B"/>
  </r>
  <r>
    <x v="186"/>
    <x v="10"/>
    <x v="0"/>
    <m/>
    <x v="0"/>
    <n v="1774885"/>
    <m/>
    <n v="1774885"/>
    <m/>
    <m/>
    <m/>
    <s v="Component 6"/>
    <s v="Supplier D"/>
  </r>
  <r>
    <x v="186"/>
    <x v="10"/>
    <x v="0"/>
    <m/>
    <x v="2"/>
    <m/>
    <n v="1654350"/>
    <n v="-1654350"/>
    <m/>
    <m/>
    <m/>
    <s v="Product C"/>
    <s v="Client 1"/>
  </r>
  <r>
    <x v="186"/>
    <x v="10"/>
    <x v="0"/>
    <m/>
    <x v="3"/>
    <m/>
    <n v="1774885"/>
    <n v="-1774885"/>
    <m/>
    <m/>
    <m/>
    <s v="Component 6"/>
    <s v="Supplier D"/>
  </r>
  <r>
    <x v="186"/>
    <x v="10"/>
    <x v="0"/>
    <m/>
    <x v="3"/>
    <n v="1654350"/>
    <m/>
    <n v="1654350"/>
    <m/>
    <m/>
    <m/>
    <s v="Product C"/>
    <s v="Client 1"/>
  </r>
  <r>
    <x v="187"/>
    <x v="10"/>
    <x v="0"/>
    <m/>
    <x v="10"/>
    <n v="636362.39999999991"/>
    <m/>
    <n v="636362.39999999991"/>
    <m/>
    <m/>
    <m/>
    <s v="Supplier A"/>
    <s v="Component 1"/>
  </r>
  <r>
    <x v="187"/>
    <x v="10"/>
    <x v="0"/>
    <m/>
    <x v="10"/>
    <n v="790902.6399999999"/>
    <m/>
    <n v="790902.6399999999"/>
    <m/>
    <m/>
    <m/>
    <s v="Supplier A"/>
    <s v="Component 2"/>
  </r>
  <r>
    <x v="187"/>
    <x v="10"/>
    <x v="0"/>
    <m/>
    <x v="10"/>
    <n v="1931439.8200000003"/>
    <m/>
    <n v="1931439.8200000003"/>
    <m/>
    <m/>
    <m/>
    <s v="Supplier A"/>
    <s v="Component 3"/>
  </r>
  <r>
    <x v="187"/>
    <x v="10"/>
    <x v="0"/>
    <m/>
    <x v="10"/>
    <n v="2181323"/>
    <m/>
    <n v="2181323"/>
    <m/>
    <m/>
    <m/>
    <s v="Supplier B"/>
    <s v="Component 4"/>
  </r>
  <r>
    <x v="187"/>
    <x v="10"/>
    <x v="0"/>
    <m/>
    <x v="10"/>
    <n v="920426"/>
    <m/>
    <n v="920426"/>
    <m/>
    <m/>
    <m/>
    <s v="Supplier D"/>
    <s v="Component 5"/>
  </r>
  <r>
    <x v="187"/>
    <x v="10"/>
    <x v="0"/>
    <m/>
    <x v="10"/>
    <n v="1835445"/>
    <m/>
    <n v="1835445"/>
    <m/>
    <m/>
    <m/>
    <s v="Supplier D"/>
    <s v="Component 6"/>
  </r>
  <r>
    <x v="187"/>
    <x v="10"/>
    <x v="0"/>
    <m/>
    <x v="10"/>
    <m/>
    <n v="636362.39999999991"/>
    <n v="-636362.39999999991"/>
    <m/>
    <m/>
    <m/>
    <m/>
    <s v="Component 1"/>
  </r>
  <r>
    <x v="187"/>
    <x v="10"/>
    <x v="0"/>
    <m/>
    <x v="10"/>
    <m/>
    <n v="790902.6399999999"/>
    <n v="-790902.6399999999"/>
    <m/>
    <m/>
    <m/>
    <m/>
    <s v="Component 2"/>
  </r>
  <r>
    <x v="187"/>
    <x v="10"/>
    <x v="0"/>
    <m/>
    <x v="10"/>
    <m/>
    <n v="1931439.8200000003"/>
    <n v="-1931439.8200000003"/>
    <m/>
    <m/>
    <m/>
    <m/>
    <s v="Component 3"/>
  </r>
  <r>
    <x v="187"/>
    <x v="10"/>
    <x v="0"/>
    <m/>
    <x v="10"/>
    <m/>
    <n v="2181323"/>
    <n v="-2181323"/>
    <m/>
    <m/>
    <m/>
    <m/>
    <s v="Component 4"/>
  </r>
  <r>
    <x v="187"/>
    <x v="10"/>
    <x v="0"/>
    <m/>
    <x v="10"/>
    <m/>
    <n v="920426"/>
    <n v="-920426"/>
    <m/>
    <m/>
    <m/>
    <m/>
    <s v="Component 5"/>
  </r>
  <r>
    <x v="187"/>
    <x v="10"/>
    <x v="0"/>
    <m/>
    <x v="10"/>
    <m/>
    <n v="1835445"/>
    <n v="-1835445"/>
    <m/>
    <m/>
    <m/>
    <m/>
    <s v="Component 6"/>
  </r>
  <r>
    <x v="187"/>
    <x v="10"/>
    <x v="0"/>
    <m/>
    <x v="7"/>
    <m/>
    <n v="636362.39999999991"/>
    <n v="-636362.39999999991"/>
    <m/>
    <m/>
    <m/>
    <s v="Component 1"/>
    <s v="Supplier A"/>
  </r>
  <r>
    <x v="187"/>
    <x v="10"/>
    <x v="0"/>
    <m/>
    <x v="7"/>
    <m/>
    <n v="790902.6399999999"/>
    <n v="-790902.6399999999"/>
    <m/>
    <m/>
    <m/>
    <s v="Component 2"/>
    <s v="Supplier A"/>
  </r>
  <r>
    <x v="187"/>
    <x v="10"/>
    <x v="0"/>
    <m/>
    <x v="7"/>
    <m/>
    <n v="1931439.8200000003"/>
    <n v="-1931439.8200000003"/>
    <m/>
    <m/>
    <m/>
    <s v="Component 3"/>
    <s v="Supplier A"/>
  </r>
  <r>
    <x v="187"/>
    <x v="10"/>
    <x v="0"/>
    <m/>
    <x v="7"/>
    <m/>
    <n v="2181323"/>
    <n v="-2181323"/>
    <m/>
    <m/>
    <m/>
    <s v="Component 4"/>
    <s v="Supplier B"/>
  </r>
  <r>
    <x v="187"/>
    <x v="10"/>
    <x v="0"/>
    <m/>
    <x v="7"/>
    <m/>
    <n v="920426"/>
    <n v="-920426"/>
    <m/>
    <m/>
    <m/>
    <s v="Component 5"/>
    <s v="Supplier D"/>
  </r>
  <r>
    <x v="187"/>
    <x v="10"/>
    <x v="0"/>
    <m/>
    <x v="7"/>
    <m/>
    <n v="1835445"/>
    <n v="-1835445"/>
    <m/>
    <m/>
    <m/>
    <s v="Component 6"/>
    <s v="Supplier D"/>
  </r>
  <r>
    <x v="188"/>
    <x v="10"/>
    <x v="0"/>
    <m/>
    <x v="2"/>
    <n v="718977"/>
    <m/>
    <n v="718977"/>
    <m/>
    <m/>
    <m/>
    <s v="Product B"/>
    <s v="Client 6"/>
  </r>
  <r>
    <x v="188"/>
    <x v="10"/>
    <x v="0"/>
    <m/>
    <x v="10"/>
    <n v="407584.84200000006"/>
    <m/>
    <n v="407584.84200000006"/>
    <m/>
    <m/>
    <m/>
    <m/>
    <s v="Product B"/>
  </r>
  <r>
    <x v="188"/>
    <x v="10"/>
    <x v="0"/>
    <m/>
    <x v="11"/>
    <n v="4151178.1780000003"/>
    <m/>
    <n v="4151178.1780000003"/>
    <m/>
    <m/>
    <m/>
    <m/>
    <m/>
  </r>
  <r>
    <x v="188"/>
    <x v="10"/>
    <x v="0"/>
    <m/>
    <x v="12"/>
    <n v="1192141.0340000002"/>
    <m/>
    <n v="1192141.0340000002"/>
    <m/>
    <m/>
    <m/>
    <m/>
    <m/>
  </r>
  <r>
    <x v="188"/>
    <x v="10"/>
    <x v="0"/>
    <m/>
    <x v="12"/>
    <m/>
    <n v="407584.84200000006"/>
    <n v="-407584.84200000006"/>
    <m/>
    <m/>
    <m/>
    <m/>
    <s v="Product B"/>
  </r>
  <r>
    <x v="188"/>
    <x v="10"/>
    <x v="0"/>
    <m/>
    <x v="13"/>
    <n v="3180209.9400000004"/>
    <m/>
    <n v="3180209.9400000004"/>
    <m/>
    <m/>
    <m/>
    <m/>
    <m/>
  </r>
  <r>
    <x v="188"/>
    <x v="10"/>
    <x v="0"/>
    <m/>
    <x v="15"/>
    <m/>
    <n v="718977"/>
    <n v="-718977"/>
    <m/>
    <m/>
    <m/>
    <s v="Product B"/>
    <s v="Client 6"/>
  </r>
  <r>
    <x v="188"/>
    <x v="10"/>
    <x v="0"/>
    <m/>
    <x v="14"/>
    <m/>
    <n v="227630.29200000002"/>
    <n v="-227630.29200000002"/>
    <m/>
    <m/>
    <m/>
    <m/>
    <m/>
  </r>
  <r>
    <x v="189"/>
    <x v="10"/>
    <x v="0"/>
    <m/>
    <x v="0"/>
    <n v="720000"/>
    <m/>
    <n v="720000"/>
    <m/>
    <m/>
    <m/>
    <s v="Component 5"/>
    <s v="Supplier D"/>
  </r>
  <r>
    <x v="189"/>
    <x v="10"/>
    <x v="0"/>
    <m/>
    <x v="3"/>
    <m/>
    <n v="720000"/>
    <n v="-720000"/>
    <m/>
    <m/>
    <m/>
    <s v="Component 5"/>
    <s v="Supplier D"/>
  </r>
  <r>
    <x v="190"/>
    <x v="10"/>
    <x v="0"/>
    <m/>
    <x v="2"/>
    <n v="415476"/>
    <m/>
    <n v="415476"/>
    <m/>
    <m/>
    <m/>
    <s v="Product B"/>
    <s v="Client 8"/>
  </r>
  <r>
    <x v="190"/>
    <x v="10"/>
    <x v="0"/>
    <m/>
    <x v="2"/>
    <n v="1233232"/>
    <m/>
    <n v="1233232"/>
    <m/>
    <m/>
    <m/>
    <s v="Product A"/>
    <s v="Client 9"/>
  </r>
  <r>
    <x v="190"/>
    <x v="10"/>
    <x v="0"/>
    <m/>
    <x v="10"/>
    <n v="292233.50800000003"/>
    <m/>
    <n v="292233.50800000003"/>
    <m/>
    <m/>
    <m/>
    <m/>
    <s v="Product B"/>
  </r>
  <r>
    <x v="190"/>
    <x v="10"/>
    <x v="0"/>
    <m/>
    <x v="10"/>
    <n v="1138150.4493333334"/>
    <m/>
    <n v="1138150.4493333334"/>
    <m/>
    <m/>
    <m/>
    <m/>
    <s v="Product A"/>
  </r>
  <r>
    <x v="190"/>
    <x v="10"/>
    <x v="0"/>
    <m/>
    <x v="11"/>
    <m/>
    <n v="1138150.4493333334"/>
    <n v="-1138150.4493333334"/>
    <m/>
    <m/>
    <m/>
    <m/>
    <s v="Product A"/>
  </r>
  <r>
    <x v="190"/>
    <x v="10"/>
    <x v="0"/>
    <m/>
    <x v="12"/>
    <m/>
    <n v="292233.50800000003"/>
    <n v="-292233.50800000003"/>
    <m/>
    <m/>
    <m/>
    <m/>
    <s v="Product B"/>
  </r>
  <r>
    <x v="190"/>
    <x v="10"/>
    <x v="0"/>
    <m/>
    <x v="15"/>
    <m/>
    <n v="415476"/>
    <n v="-415476"/>
    <m/>
    <m/>
    <m/>
    <s v="Product B"/>
    <s v="Client 8"/>
  </r>
  <r>
    <x v="190"/>
    <x v="10"/>
    <x v="0"/>
    <m/>
    <x v="15"/>
    <m/>
    <n v="1233232"/>
    <n v="-1233232"/>
    <m/>
    <m/>
    <m/>
    <s v="Product A"/>
    <s v="Client 9"/>
  </r>
  <r>
    <x v="191"/>
    <x v="10"/>
    <x v="0"/>
    <m/>
    <x v="2"/>
    <n v="756560"/>
    <m/>
    <n v="756560"/>
    <m/>
    <m/>
    <m/>
    <s v="Product A"/>
    <s v="Client 7"/>
  </r>
  <r>
    <x v="191"/>
    <x v="10"/>
    <x v="0"/>
    <m/>
    <x v="10"/>
    <n v="741423.15333333332"/>
    <m/>
    <n v="741423.15333333332"/>
    <m/>
    <m/>
    <m/>
    <m/>
    <s v="Product A"/>
  </r>
  <r>
    <x v="191"/>
    <x v="10"/>
    <x v="0"/>
    <m/>
    <x v="11"/>
    <m/>
    <n v="741423.15333333332"/>
    <n v="-741423.15333333332"/>
    <m/>
    <m/>
    <m/>
    <m/>
    <s v="Product A"/>
  </r>
  <r>
    <x v="191"/>
    <x v="10"/>
    <x v="0"/>
    <m/>
    <x v="15"/>
    <m/>
    <n v="756560"/>
    <n v="-756560"/>
    <m/>
    <m/>
    <m/>
    <s v="Product A"/>
    <s v="Client 7"/>
  </r>
  <r>
    <x v="192"/>
    <x v="10"/>
    <x v="0"/>
    <m/>
    <x v="2"/>
    <m/>
    <n v="2098719"/>
    <n v="-2098719"/>
    <m/>
    <m/>
    <m/>
    <s v="Product C"/>
    <s v="Client 1"/>
  </r>
  <r>
    <x v="192"/>
    <x v="10"/>
    <x v="0"/>
    <m/>
    <x v="3"/>
    <n v="2098719"/>
    <m/>
    <n v="2098719"/>
    <m/>
    <m/>
    <m/>
    <s v="Product C"/>
    <s v="Client 1"/>
  </r>
  <r>
    <x v="193"/>
    <x v="10"/>
    <x v="0"/>
    <m/>
    <x v="2"/>
    <n v="1111460"/>
    <m/>
    <n v="1111460"/>
    <m/>
    <m/>
    <m/>
    <s v="Product A"/>
    <s v="Client 10"/>
  </r>
  <r>
    <x v="193"/>
    <x v="10"/>
    <x v="0"/>
    <m/>
    <x v="10"/>
    <n v="778330.86333333328"/>
    <m/>
    <n v="778330.86333333328"/>
    <m/>
    <m/>
    <m/>
    <m/>
    <s v="Product A"/>
  </r>
  <r>
    <x v="193"/>
    <x v="10"/>
    <x v="0"/>
    <m/>
    <x v="11"/>
    <m/>
    <n v="778330.86333333328"/>
    <n v="-778330.86333333328"/>
    <m/>
    <m/>
    <m/>
    <m/>
    <s v="Product A"/>
  </r>
  <r>
    <x v="193"/>
    <x v="10"/>
    <x v="0"/>
    <m/>
    <x v="15"/>
    <m/>
    <n v="1111460"/>
    <n v="-1111460"/>
    <m/>
    <m/>
    <m/>
    <s v="Product A"/>
    <s v="Client 10"/>
  </r>
  <r>
    <x v="194"/>
    <x v="10"/>
    <x v="0"/>
    <m/>
    <x v="2"/>
    <m/>
    <n v="2665260"/>
    <n v="-2665260"/>
    <m/>
    <m/>
    <m/>
    <s v="Product C"/>
    <s v="Client 1"/>
  </r>
  <r>
    <x v="194"/>
    <x v="10"/>
    <x v="0"/>
    <m/>
    <x v="3"/>
    <n v="2665260"/>
    <m/>
    <n v="2665260"/>
    <m/>
    <m/>
    <m/>
    <s v="Product C"/>
    <s v="Client 1"/>
  </r>
  <r>
    <x v="194"/>
    <x v="10"/>
    <x v="0"/>
    <m/>
    <x v="10"/>
    <n v="769844.28600000008"/>
    <m/>
    <n v="769844.28600000008"/>
    <m/>
    <m/>
    <m/>
    <m/>
    <s v="Product C"/>
  </r>
  <r>
    <x v="194"/>
    <x v="10"/>
    <x v="0"/>
    <m/>
    <x v="13"/>
    <m/>
    <n v="769844.28600000008"/>
    <n v="-769844.28600000008"/>
    <m/>
    <m/>
    <m/>
    <m/>
    <s v="Product C"/>
  </r>
  <r>
    <x v="194"/>
    <x v="10"/>
    <x v="0"/>
    <m/>
    <x v="15"/>
    <m/>
    <n v="846141"/>
    <n v="-846141"/>
    <m/>
    <m/>
    <m/>
    <s v="Product C"/>
    <s v="Client 3"/>
  </r>
  <r>
    <x v="195"/>
    <x v="10"/>
    <x v="0"/>
    <m/>
    <x v="2"/>
    <n v="761550"/>
    <m/>
    <n v="761550"/>
    <m/>
    <m/>
    <m/>
    <s v="Product A"/>
    <s v="Client 2"/>
  </r>
  <r>
    <x v="195"/>
    <x v="10"/>
    <x v="0"/>
    <m/>
    <x v="10"/>
    <n v="621150.64200000011"/>
    <m/>
    <n v="621150.64200000011"/>
    <m/>
    <m/>
    <m/>
    <m/>
    <s v="Product A"/>
  </r>
  <r>
    <x v="195"/>
    <x v="10"/>
    <x v="0"/>
    <m/>
    <x v="11"/>
    <m/>
    <n v="621150.64200000011"/>
    <n v="-621150.64200000011"/>
    <m/>
    <m/>
    <m/>
    <m/>
    <s v="Product A"/>
  </r>
  <r>
    <x v="195"/>
    <x v="10"/>
    <x v="0"/>
    <m/>
    <x v="15"/>
    <m/>
    <n v="761550"/>
    <n v="-761550"/>
    <m/>
    <m/>
    <m/>
    <s v="Product A"/>
    <s v="Client 2"/>
  </r>
  <r>
    <x v="196"/>
    <x v="10"/>
    <x v="0"/>
    <m/>
    <x v="2"/>
    <m/>
    <n v="682770"/>
    <n v="-682770"/>
    <m/>
    <m/>
    <m/>
    <s v="Product B"/>
    <s v="Client 6"/>
  </r>
  <r>
    <x v="196"/>
    <x v="10"/>
    <x v="0"/>
    <m/>
    <x v="3"/>
    <n v="682770"/>
    <m/>
    <n v="682770"/>
    <m/>
    <m/>
    <m/>
    <s v="Product B"/>
    <s v="Client 6"/>
  </r>
  <r>
    <x v="197"/>
    <x v="10"/>
    <x v="0"/>
    <m/>
    <x v="0"/>
    <n v="2200000"/>
    <m/>
    <n v="2200000"/>
    <m/>
    <m/>
    <m/>
    <s v="Component 4"/>
    <s v="Supplier B"/>
  </r>
  <r>
    <x v="197"/>
    <x v="10"/>
    <x v="0"/>
    <m/>
    <x v="3"/>
    <m/>
    <n v="2200000"/>
    <n v="-2200000"/>
    <m/>
    <m/>
    <m/>
    <s v="Component 4"/>
    <s v="Supplier B"/>
  </r>
  <r>
    <x v="198"/>
    <x v="10"/>
    <x v="0"/>
    <m/>
    <x v="2"/>
    <n v="829568"/>
    <m/>
    <n v="829568"/>
    <m/>
    <m/>
    <m/>
    <s v="Product B"/>
    <s v="Client 4"/>
  </r>
  <r>
    <x v="198"/>
    <x v="10"/>
    <x v="0"/>
    <m/>
    <x v="10"/>
    <n v="492322.68400000007"/>
    <m/>
    <n v="492322.68400000007"/>
    <m/>
    <m/>
    <m/>
    <m/>
    <s v="Product B"/>
  </r>
  <r>
    <x v="198"/>
    <x v="10"/>
    <x v="0"/>
    <m/>
    <x v="12"/>
    <m/>
    <n v="492322.68400000007"/>
    <n v="-492322.68400000007"/>
    <m/>
    <m/>
    <m/>
    <m/>
    <s v="Product B"/>
  </r>
  <r>
    <x v="198"/>
    <x v="10"/>
    <x v="0"/>
    <m/>
    <x v="15"/>
    <m/>
    <n v="829568"/>
    <n v="-829568"/>
    <m/>
    <m/>
    <m/>
    <s v="Product B"/>
    <s v="Client 4"/>
  </r>
  <r>
    <x v="199"/>
    <x v="10"/>
    <x v="0"/>
    <m/>
    <x v="0"/>
    <n v="800000"/>
    <m/>
    <n v="800000"/>
    <m/>
    <m/>
    <m/>
    <s v="Component 5"/>
    <s v="Supplier D"/>
  </r>
  <r>
    <x v="199"/>
    <x v="10"/>
    <x v="0"/>
    <m/>
    <x v="2"/>
    <m/>
    <n v="489124"/>
    <n v="-489124"/>
    <m/>
    <m/>
    <m/>
    <s v="Product A"/>
    <s v="Client 7"/>
  </r>
  <r>
    <x v="199"/>
    <x v="10"/>
    <x v="0"/>
    <m/>
    <x v="2"/>
    <m/>
    <n v="1391220"/>
    <n v="-1391220"/>
    <m/>
    <m/>
    <m/>
    <s v="Product B"/>
    <s v="Client 8"/>
  </r>
  <r>
    <x v="199"/>
    <x v="10"/>
    <x v="0"/>
    <m/>
    <x v="3"/>
    <m/>
    <n v="800000"/>
    <n v="-800000"/>
    <m/>
    <m/>
    <m/>
    <s v="Component 5"/>
    <s v="Supplier D"/>
  </r>
  <r>
    <x v="199"/>
    <x v="10"/>
    <x v="0"/>
    <m/>
    <x v="3"/>
    <n v="489124"/>
    <m/>
    <n v="489124"/>
    <m/>
    <m/>
    <m/>
    <s v="Product A"/>
    <s v="Client 7"/>
  </r>
  <r>
    <x v="199"/>
    <x v="10"/>
    <x v="0"/>
    <m/>
    <x v="3"/>
    <n v="1391220"/>
    <m/>
    <n v="1391220"/>
    <m/>
    <m/>
    <m/>
    <s v="Product B"/>
    <s v="Client 8"/>
  </r>
  <r>
    <x v="200"/>
    <x v="10"/>
    <x v="0"/>
    <m/>
    <x v="2"/>
    <n v="1112020"/>
    <m/>
    <n v="1112020"/>
    <m/>
    <m/>
    <m/>
    <s v="Product A"/>
    <s v="Client 5"/>
  </r>
  <r>
    <x v="200"/>
    <x v="10"/>
    <x v="0"/>
    <m/>
    <x v="10"/>
    <n v="872123.07000000007"/>
    <m/>
    <n v="872123.07000000007"/>
    <m/>
    <m/>
    <m/>
    <m/>
    <s v="Product A"/>
  </r>
  <r>
    <x v="200"/>
    <x v="10"/>
    <x v="0"/>
    <m/>
    <x v="11"/>
    <m/>
    <n v="872123.07000000007"/>
    <n v="-872123.07000000007"/>
    <m/>
    <m/>
    <m/>
    <m/>
    <s v="Product A"/>
  </r>
  <r>
    <x v="200"/>
    <x v="10"/>
    <x v="0"/>
    <m/>
    <x v="15"/>
    <m/>
    <n v="1112020"/>
    <n v="-1112020"/>
    <m/>
    <m/>
    <m/>
    <s v="Product A"/>
    <s v="Client 5"/>
  </r>
  <r>
    <x v="201"/>
    <x v="10"/>
    <x v="0"/>
    <m/>
    <x v="2"/>
    <n v="3494754"/>
    <m/>
    <n v="3494754"/>
    <m/>
    <m/>
    <m/>
    <s v="Product C"/>
    <s v="Client 1"/>
  </r>
  <r>
    <x v="201"/>
    <x v="10"/>
    <x v="0"/>
    <m/>
    <x v="10"/>
    <n v="2410365.6540000006"/>
    <m/>
    <n v="2410365.6540000006"/>
    <m/>
    <m/>
    <m/>
    <m/>
    <s v="Product C"/>
  </r>
  <r>
    <x v="201"/>
    <x v="10"/>
    <x v="0"/>
    <m/>
    <x v="13"/>
    <m/>
    <n v="2410365.6540000006"/>
    <n v="-2410365.6540000006"/>
    <m/>
    <m/>
    <m/>
    <m/>
    <s v="Product C"/>
  </r>
  <r>
    <x v="201"/>
    <x v="10"/>
    <x v="0"/>
    <m/>
    <x v="15"/>
    <m/>
    <n v="3494754"/>
    <n v="-3494754"/>
    <m/>
    <m/>
    <m/>
    <s v="Product C"/>
    <s v="Client 1"/>
  </r>
  <r>
    <x v="202"/>
    <x v="10"/>
    <x v="0"/>
    <m/>
    <x v="16"/>
    <n v="793038"/>
    <m/>
    <n v="793038"/>
    <m/>
    <m/>
    <m/>
    <m/>
    <m/>
  </r>
  <r>
    <x v="202"/>
    <x v="10"/>
    <x v="0"/>
    <m/>
    <x v="3"/>
    <m/>
    <n v="227630.29200000002"/>
    <n v="-227630.29200000002"/>
    <m/>
    <m/>
    <m/>
    <m/>
    <m/>
  </r>
  <r>
    <x v="202"/>
    <x v="10"/>
    <x v="0"/>
    <m/>
    <x v="3"/>
    <m/>
    <n v="1065789"/>
    <n v="-1065789"/>
    <m/>
    <m/>
    <m/>
    <m/>
    <m/>
  </r>
  <r>
    <x v="202"/>
    <x v="10"/>
    <x v="0"/>
    <m/>
    <x v="3"/>
    <m/>
    <n v="797691"/>
    <n v="-797691"/>
    <m/>
    <m/>
    <m/>
    <m/>
    <m/>
  </r>
  <r>
    <x v="202"/>
    <x v="10"/>
    <x v="0"/>
    <m/>
    <x v="3"/>
    <m/>
    <n v="793038"/>
    <n v="-793038"/>
    <m/>
    <m/>
    <m/>
    <m/>
    <m/>
  </r>
  <r>
    <x v="202"/>
    <x v="10"/>
    <x v="0"/>
    <m/>
    <x v="3"/>
    <n v="1225635"/>
    <m/>
    <n v="1225635"/>
    <m/>
    <m/>
    <m/>
    <m/>
    <m/>
  </r>
  <r>
    <x v="202"/>
    <x v="10"/>
    <x v="0"/>
    <m/>
    <x v="3"/>
    <m/>
    <n v="1232187"/>
    <n v="-1232187"/>
    <m/>
    <m/>
    <m/>
    <m/>
    <m/>
  </r>
  <r>
    <x v="202"/>
    <x v="10"/>
    <x v="0"/>
    <m/>
    <x v="17"/>
    <n v="797691"/>
    <m/>
    <n v="797691"/>
    <m/>
    <m/>
    <m/>
    <m/>
    <m/>
  </r>
  <r>
    <x v="202"/>
    <x v="10"/>
    <x v="0"/>
    <m/>
    <x v="18"/>
    <n v="1232187"/>
    <m/>
    <n v="1232187"/>
    <m/>
    <m/>
    <m/>
    <m/>
    <m/>
  </r>
  <r>
    <x v="202"/>
    <x v="10"/>
    <x v="0"/>
    <m/>
    <x v="19"/>
    <m/>
    <n v="1225635"/>
    <n v="-1225635"/>
    <m/>
    <m/>
    <m/>
    <m/>
    <m/>
  </r>
  <r>
    <x v="202"/>
    <x v="10"/>
    <x v="0"/>
    <m/>
    <x v="20"/>
    <n v="1065789"/>
    <m/>
    <n v="1065789"/>
    <m/>
    <m/>
    <m/>
    <m/>
    <m/>
  </r>
  <r>
    <x v="202"/>
    <x v="10"/>
    <x v="0"/>
    <m/>
    <x v="14"/>
    <n v="227630.29200000002"/>
    <m/>
    <n v="227630.29200000002"/>
    <m/>
    <m/>
    <m/>
    <m/>
    <m/>
  </r>
  <r>
    <x v="203"/>
    <x v="11"/>
    <x v="0"/>
    <m/>
    <x v="3"/>
    <n v="6455000"/>
    <m/>
    <n v="6455000"/>
    <m/>
    <m/>
    <m/>
    <m/>
    <m/>
  </r>
  <r>
    <x v="203"/>
    <x v="11"/>
    <x v="0"/>
    <m/>
    <x v="4"/>
    <n v="9045000"/>
    <m/>
    <n v="9045000"/>
    <m/>
    <m/>
    <m/>
    <m/>
    <m/>
  </r>
  <r>
    <x v="203"/>
    <x v="11"/>
    <x v="0"/>
    <m/>
    <x v="6"/>
    <n v="45000000"/>
    <m/>
    <n v="45000000"/>
    <m/>
    <m/>
    <m/>
    <m/>
    <m/>
  </r>
  <r>
    <x v="203"/>
    <x v="11"/>
    <x v="0"/>
    <m/>
    <x v="8"/>
    <m/>
    <n v="50000000"/>
    <n v="-50000000"/>
    <m/>
    <m/>
    <m/>
    <m/>
    <m/>
  </r>
  <r>
    <x v="203"/>
    <x v="11"/>
    <x v="0"/>
    <m/>
    <x v="9"/>
    <m/>
    <n v="10500000"/>
    <n v="-10500000"/>
    <m/>
    <m/>
    <m/>
    <m/>
    <m/>
  </r>
  <r>
    <x v="204"/>
    <x v="11"/>
    <x v="0"/>
    <m/>
    <x v="2"/>
    <m/>
    <n v="1398420"/>
    <n v="-1398420"/>
    <m/>
    <m/>
    <m/>
    <s v="Product A"/>
    <s v="Client 5"/>
  </r>
  <r>
    <x v="204"/>
    <x v="11"/>
    <x v="0"/>
    <m/>
    <x v="3"/>
    <n v="1398420"/>
    <m/>
    <n v="1398420"/>
    <m/>
    <m/>
    <m/>
    <s v="Product A"/>
    <s v="Client 5"/>
  </r>
  <r>
    <x v="205"/>
    <x v="11"/>
    <x v="0"/>
    <m/>
    <x v="2"/>
    <m/>
    <n v="1397760"/>
    <n v="-1397760"/>
    <m/>
    <m/>
    <m/>
    <s v="Product A"/>
    <s v="Client 2"/>
  </r>
  <r>
    <x v="205"/>
    <x v="11"/>
    <x v="0"/>
    <m/>
    <x v="3"/>
    <n v="1397760"/>
    <m/>
    <n v="1397760"/>
    <m/>
    <m/>
    <m/>
    <s v="Product A"/>
    <s v="Client 2"/>
  </r>
  <r>
    <x v="206"/>
    <x v="11"/>
    <x v="0"/>
    <m/>
    <x v="0"/>
    <m/>
    <n v="720000"/>
    <n v="-720000"/>
    <m/>
    <m/>
    <m/>
    <s v="Component 1"/>
    <s v="Supplier A"/>
  </r>
  <r>
    <x v="206"/>
    <x v="11"/>
    <x v="0"/>
    <m/>
    <x v="0"/>
    <m/>
    <n v="990000"/>
    <n v="-990000"/>
    <m/>
    <m/>
    <m/>
    <s v="Component 2"/>
    <s v="Supplier A"/>
  </r>
  <r>
    <x v="206"/>
    <x v="11"/>
    <x v="0"/>
    <m/>
    <x v="0"/>
    <m/>
    <n v="1800000"/>
    <n v="-1800000"/>
    <m/>
    <m/>
    <m/>
    <s v="Component 3"/>
    <s v="Supplier A"/>
  </r>
  <r>
    <x v="206"/>
    <x v="11"/>
    <x v="0"/>
    <m/>
    <x v="0"/>
    <m/>
    <n v="2310000"/>
    <n v="-2310000"/>
    <m/>
    <m/>
    <m/>
    <s v="Component 4"/>
    <s v="Supplier B"/>
  </r>
  <r>
    <x v="206"/>
    <x v="11"/>
    <x v="0"/>
    <m/>
    <x v="0"/>
    <m/>
    <n v="720000"/>
    <n v="-720000"/>
    <m/>
    <m/>
    <m/>
    <s v="Component 5"/>
    <s v="Supplier D"/>
  </r>
  <r>
    <x v="206"/>
    <x v="11"/>
    <x v="0"/>
    <m/>
    <x v="0"/>
    <m/>
    <n v="1774885"/>
    <n v="-1774885"/>
    <m/>
    <m/>
    <m/>
    <s v="Component 6"/>
    <s v="Supplier D"/>
  </r>
  <r>
    <x v="206"/>
    <x v="11"/>
    <x v="0"/>
    <m/>
    <x v="7"/>
    <n v="720000"/>
    <m/>
    <n v="720000"/>
    <m/>
    <m/>
    <m/>
    <s v="Component 1"/>
    <s v="Supplier A"/>
  </r>
  <r>
    <x v="206"/>
    <x v="11"/>
    <x v="0"/>
    <m/>
    <x v="7"/>
    <n v="990000"/>
    <m/>
    <n v="990000"/>
    <m/>
    <m/>
    <m/>
    <s v="Component 2"/>
    <s v="Supplier A"/>
  </r>
  <r>
    <x v="206"/>
    <x v="11"/>
    <x v="0"/>
    <m/>
    <x v="7"/>
    <n v="1800000"/>
    <m/>
    <n v="1800000"/>
    <m/>
    <m/>
    <m/>
    <s v="Component 3"/>
    <s v="Supplier A"/>
  </r>
  <r>
    <x v="206"/>
    <x v="11"/>
    <x v="0"/>
    <m/>
    <x v="7"/>
    <n v="2310000"/>
    <m/>
    <n v="2310000"/>
    <m/>
    <m/>
    <m/>
    <s v="Component 4"/>
    <s v="Supplier B"/>
  </r>
  <r>
    <x v="206"/>
    <x v="11"/>
    <x v="0"/>
    <m/>
    <x v="7"/>
    <n v="720000"/>
    <m/>
    <n v="720000"/>
    <m/>
    <m/>
    <m/>
    <s v="Component 5"/>
    <s v="Supplier D"/>
  </r>
  <r>
    <x v="206"/>
    <x v="11"/>
    <x v="0"/>
    <m/>
    <x v="7"/>
    <n v="1774885"/>
    <m/>
    <n v="1774885"/>
    <m/>
    <m/>
    <m/>
    <s v="Component 6"/>
    <s v="Supplier D"/>
  </r>
  <r>
    <x v="207"/>
    <x v="11"/>
    <x v="0"/>
    <m/>
    <x v="0"/>
    <n v="2310000"/>
    <m/>
    <n v="2310000"/>
    <m/>
    <m/>
    <m/>
    <s v="Component 4"/>
    <s v="Supplier B"/>
  </r>
  <r>
    <x v="207"/>
    <x v="11"/>
    <x v="0"/>
    <m/>
    <x v="3"/>
    <m/>
    <n v="2310000"/>
    <n v="-2310000"/>
    <m/>
    <m/>
    <m/>
    <s v="Component 4"/>
    <s v="Supplier B"/>
  </r>
  <r>
    <x v="208"/>
    <x v="11"/>
    <x v="0"/>
    <m/>
    <x v="2"/>
    <m/>
    <n v="1125402"/>
    <n v="-1125402"/>
    <m/>
    <m/>
    <m/>
    <s v="Product A"/>
    <s v="Client 9"/>
  </r>
  <r>
    <x v="208"/>
    <x v="11"/>
    <x v="0"/>
    <m/>
    <x v="3"/>
    <n v="1125402"/>
    <m/>
    <n v="1125402"/>
    <m/>
    <m/>
    <m/>
    <s v="Product A"/>
    <s v="Client 9"/>
  </r>
  <r>
    <x v="209"/>
    <x v="11"/>
    <x v="0"/>
    <m/>
    <x v="0"/>
    <n v="2000000"/>
    <m/>
    <n v="2000000"/>
    <m/>
    <m/>
    <m/>
    <s v="Component 3"/>
    <s v="Supplier A"/>
  </r>
  <r>
    <x v="209"/>
    <x v="11"/>
    <x v="0"/>
    <m/>
    <x v="3"/>
    <m/>
    <n v="2000000"/>
    <n v="-2000000"/>
    <m/>
    <m/>
    <m/>
    <s v="Component 3"/>
    <s v="Supplier A"/>
  </r>
  <r>
    <x v="210"/>
    <x v="11"/>
    <x v="0"/>
    <m/>
    <x v="2"/>
    <m/>
    <n v="1355424"/>
    <n v="-1355424"/>
    <m/>
    <m/>
    <m/>
    <s v="Product A"/>
    <s v="Client 2"/>
  </r>
  <r>
    <x v="210"/>
    <x v="11"/>
    <x v="0"/>
    <m/>
    <x v="2"/>
    <m/>
    <n v="947030"/>
    <n v="-947030"/>
    <m/>
    <m/>
    <m/>
    <s v="Product B"/>
    <s v="Client 4"/>
  </r>
  <r>
    <x v="210"/>
    <x v="11"/>
    <x v="0"/>
    <m/>
    <x v="3"/>
    <n v="1355424"/>
    <m/>
    <n v="1355424"/>
    <m/>
    <m/>
    <m/>
    <s v="Product A"/>
    <s v="Client 2"/>
  </r>
  <r>
    <x v="210"/>
    <x v="11"/>
    <x v="0"/>
    <m/>
    <x v="3"/>
    <n v="947030"/>
    <m/>
    <n v="947030"/>
    <m/>
    <m/>
    <m/>
    <s v="Product B"/>
    <s v="Client 4"/>
  </r>
  <r>
    <x v="211"/>
    <x v="11"/>
    <x v="0"/>
    <m/>
    <x v="0"/>
    <n v="840000"/>
    <m/>
    <n v="840000"/>
    <m/>
    <m/>
    <m/>
    <s v="Component 1"/>
    <s v="Supplier A"/>
  </r>
  <r>
    <x v="211"/>
    <x v="11"/>
    <x v="0"/>
    <m/>
    <x v="3"/>
    <m/>
    <n v="840000"/>
    <n v="-840000"/>
    <m/>
    <m/>
    <m/>
    <s v="Component 1"/>
    <s v="Supplier A"/>
  </r>
  <r>
    <x v="212"/>
    <x v="11"/>
    <x v="0"/>
    <m/>
    <x v="0"/>
    <n v="720000"/>
    <m/>
    <n v="720000"/>
    <m/>
    <m/>
    <m/>
    <s v="Component 1"/>
    <s v="Supplier A"/>
  </r>
  <r>
    <x v="212"/>
    <x v="11"/>
    <x v="0"/>
    <m/>
    <x v="3"/>
    <m/>
    <n v="720000"/>
    <n v="-720000"/>
    <m/>
    <m/>
    <m/>
    <s v="Component 1"/>
    <s v="Supplier A"/>
  </r>
  <r>
    <x v="212"/>
    <x v="11"/>
    <x v="0"/>
    <m/>
    <x v="10"/>
    <n v="918443.20000000019"/>
    <m/>
    <n v="918443.20000000019"/>
    <m/>
    <m/>
    <m/>
    <s v="Supplier A"/>
    <s v="Component 1"/>
  </r>
  <r>
    <x v="212"/>
    <x v="11"/>
    <x v="0"/>
    <m/>
    <x v="10"/>
    <n v="825855.3"/>
    <m/>
    <n v="825855.3"/>
    <m/>
    <m/>
    <m/>
    <s v="Supplier A"/>
    <s v="Component 2"/>
  </r>
  <r>
    <x v="212"/>
    <x v="11"/>
    <x v="0"/>
    <m/>
    <x v="10"/>
    <n v="1778721.1199999999"/>
    <m/>
    <n v="1778721.1199999999"/>
    <m/>
    <m/>
    <m/>
    <s v="Supplier A"/>
    <s v="Component 3"/>
  </r>
  <r>
    <x v="212"/>
    <x v="11"/>
    <x v="0"/>
    <m/>
    <x v="10"/>
    <n v="1666860"/>
    <m/>
    <n v="1666860"/>
    <m/>
    <m/>
    <m/>
    <s v="Supplier B"/>
    <s v="Component 4"/>
  </r>
  <r>
    <x v="212"/>
    <x v="11"/>
    <x v="0"/>
    <m/>
    <x v="10"/>
    <n v="735751.39999999991"/>
    <m/>
    <n v="735751.39999999991"/>
    <m/>
    <m/>
    <m/>
    <s v="Supplier D"/>
    <s v="Component 5"/>
  </r>
  <r>
    <x v="212"/>
    <x v="11"/>
    <x v="0"/>
    <m/>
    <x v="10"/>
    <n v="1617142"/>
    <m/>
    <n v="1617142"/>
    <m/>
    <m/>
    <m/>
    <s v="Supplier D"/>
    <s v="Component 6"/>
  </r>
  <r>
    <x v="212"/>
    <x v="11"/>
    <x v="0"/>
    <m/>
    <x v="10"/>
    <m/>
    <n v="918443.20000000019"/>
    <n v="-918443.20000000019"/>
    <m/>
    <m/>
    <m/>
    <m/>
    <s v="Component 1"/>
  </r>
  <r>
    <x v="212"/>
    <x v="11"/>
    <x v="0"/>
    <m/>
    <x v="10"/>
    <m/>
    <n v="825855.3"/>
    <n v="-825855.3"/>
    <m/>
    <m/>
    <m/>
    <m/>
    <s v="Component 2"/>
  </r>
  <r>
    <x v="212"/>
    <x v="11"/>
    <x v="0"/>
    <m/>
    <x v="10"/>
    <m/>
    <n v="1778721.1199999999"/>
    <n v="-1778721.1199999999"/>
    <m/>
    <m/>
    <m/>
    <m/>
    <s v="Component 3"/>
  </r>
  <r>
    <x v="212"/>
    <x v="11"/>
    <x v="0"/>
    <m/>
    <x v="10"/>
    <m/>
    <n v="1666859.5100000044"/>
    <n v="-1666859.5100000044"/>
    <m/>
    <m/>
    <m/>
    <m/>
    <s v="Component 4"/>
  </r>
  <r>
    <x v="212"/>
    <x v="11"/>
    <x v="0"/>
    <m/>
    <x v="10"/>
    <m/>
    <n v="735751.39999999991"/>
    <n v="-735751.39999999991"/>
    <m/>
    <m/>
    <m/>
    <m/>
    <s v="Component 5"/>
  </r>
  <r>
    <x v="212"/>
    <x v="11"/>
    <x v="0"/>
    <m/>
    <x v="10"/>
    <m/>
    <n v="1617142"/>
    <n v="-1617142"/>
    <m/>
    <m/>
    <m/>
    <m/>
    <s v="Component 6"/>
  </r>
  <r>
    <x v="212"/>
    <x v="11"/>
    <x v="0"/>
    <m/>
    <x v="7"/>
    <m/>
    <n v="918443.20000000019"/>
    <n v="-918443.20000000019"/>
    <m/>
    <m/>
    <m/>
    <s v="Component 1"/>
    <s v="Supplier A"/>
  </r>
  <r>
    <x v="212"/>
    <x v="11"/>
    <x v="0"/>
    <m/>
    <x v="7"/>
    <m/>
    <n v="825855.3"/>
    <n v="-825855.3"/>
    <m/>
    <m/>
    <m/>
    <s v="Component 2"/>
    <s v="Supplier A"/>
  </r>
  <r>
    <x v="212"/>
    <x v="11"/>
    <x v="0"/>
    <m/>
    <x v="7"/>
    <m/>
    <n v="1778721.1199999999"/>
    <n v="-1778721.1199999999"/>
    <m/>
    <m/>
    <m/>
    <s v="Component 3"/>
    <s v="Supplier A"/>
  </r>
  <r>
    <x v="212"/>
    <x v="11"/>
    <x v="0"/>
    <m/>
    <x v="7"/>
    <m/>
    <n v="1666860"/>
    <n v="-1666860"/>
    <m/>
    <m/>
    <m/>
    <s v="Component 4"/>
    <s v="Supplier B"/>
  </r>
  <r>
    <x v="212"/>
    <x v="11"/>
    <x v="0"/>
    <m/>
    <x v="7"/>
    <m/>
    <n v="735751.39999999991"/>
    <n v="-735751.39999999991"/>
    <m/>
    <m/>
    <m/>
    <s v="Component 5"/>
    <s v="Supplier D"/>
  </r>
  <r>
    <x v="212"/>
    <x v="11"/>
    <x v="0"/>
    <m/>
    <x v="7"/>
    <m/>
    <n v="1617142"/>
    <n v="-1617142"/>
    <m/>
    <m/>
    <m/>
    <s v="Component 6"/>
    <s v="Supplier D"/>
  </r>
  <r>
    <x v="213"/>
    <x v="11"/>
    <x v="0"/>
    <m/>
    <x v="2"/>
    <m/>
    <n v="1400236"/>
    <n v="-1400236"/>
    <m/>
    <m/>
    <m/>
    <s v="Product B"/>
    <s v="Client 4"/>
  </r>
  <r>
    <x v="213"/>
    <x v="11"/>
    <x v="0"/>
    <m/>
    <x v="3"/>
    <n v="1400236"/>
    <m/>
    <n v="1400236"/>
    <m/>
    <m/>
    <m/>
    <s v="Product B"/>
    <s v="Client 4"/>
  </r>
  <r>
    <x v="213"/>
    <x v="11"/>
    <x v="0"/>
    <m/>
    <x v="11"/>
    <n v="3880322.5279999999"/>
    <m/>
    <n v="3880322.5279999999"/>
    <m/>
    <m/>
    <m/>
    <m/>
    <m/>
  </r>
  <r>
    <x v="213"/>
    <x v="11"/>
    <x v="0"/>
    <m/>
    <x v="12"/>
    <n v="1646968.2040000001"/>
    <m/>
    <n v="1646968.2040000001"/>
    <m/>
    <m/>
    <m/>
    <m/>
    <m/>
  </r>
  <r>
    <x v="213"/>
    <x v="11"/>
    <x v="0"/>
    <m/>
    <x v="13"/>
    <n v="2238492.048"/>
    <m/>
    <n v="2238492.048"/>
    <m/>
    <m/>
    <m/>
    <m/>
    <m/>
  </r>
  <r>
    <x v="213"/>
    <x v="11"/>
    <x v="0"/>
    <m/>
    <x v="14"/>
    <m/>
    <n v="223010.25"/>
    <n v="-223010.25"/>
    <m/>
    <m/>
    <m/>
    <m/>
    <m/>
  </r>
  <r>
    <x v="214"/>
    <x v="11"/>
    <x v="0"/>
    <m/>
    <x v="2"/>
    <n v="2085210"/>
    <m/>
    <n v="2085210"/>
    <m/>
    <m/>
    <m/>
    <s v="Product C"/>
    <s v="Client 1"/>
  </r>
  <r>
    <x v="214"/>
    <x v="11"/>
    <x v="0"/>
    <m/>
    <x v="2"/>
    <n v="677376"/>
    <m/>
    <n v="677376"/>
    <m/>
    <m/>
    <m/>
    <s v="Product A"/>
    <s v="Client 5"/>
  </r>
  <r>
    <x v="214"/>
    <x v="11"/>
    <x v="0"/>
    <m/>
    <x v="2"/>
    <n v="1075932"/>
    <m/>
    <n v="1075932"/>
    <m/>
    <m/>
    <m/>
    <s v="Product B"/>
    <s v="Client 8"/>
  </r>
  <r>
    <x v="214"/>
    <x v="11"/>
    <x v="0"/>
    <m/>
    <x v="10"/>
    <n v="1990773.1560000002"/>
    <m/>
    <n v="1990773.1560000002"/>
    <m/>
    <m/>
    <m/>
    <m/>
    <s v="Product C"/>
  </r>
  <r>
    <x v="214"/>
    <x v="11"/>
    <x v="0"/>
    <m/>
    <x v="10"/>
    <n v="447512.68800000002"/>
    <m/>
    <n v="447512.68800000002"/>
    <m/>
    <m/>
    <m/>
    <m/>
    <s v="Product A"/>
  </r>
  <r>
    <x v="214"/>
    <x v="11"/>
    <x v="0"/>
    <m/>
    <x v="10"/>
    <n v="624073.16400000011"/>
    <m/>
    <n v="624073.16400000011"/>
    <m/>
    <m/>
    <m/>
    <m/>
    <s v="Product B"/>
  </r>
  <r>
    <x v="214"/>
    <x v="11"/>
    <x v="0"/>
    <m/>
    <x v="11"/>
    <m/>
    <n v="447512.68800000002"/>
    <n v="-447512.68800000002"/>
    <m/>
    <m/>
    <m/>
    <m/>
    <s v="Product A"/>
  </r>
  <r>
    <x v="214"/>
    <x v="11"/>
    <x v="0"/>
    <m/>
    <x v="12"/>
    <m/>
    <n v="624073.16400000011"/>
    <n v="-624073.16400000011"/>
    <m/>
    <m/>
    <m/>
    <m/>
    <s v="Product B"/>
  </r>
  <r>
    <x v="214"/>
    <x v="11"/>
    <x v="0"/>
    <m/>
    <x v="13"/>
    <m/>
    <n v="1990773.1560000002"/>
    <n v="-1990773.1560000002"/>
    <m/>
    <m/>
    <m/>
    <m/>
    <s v="Product C"/>
  </r>
  <r>
    <x v="214"/>
    <x v="11"/>
    <x v="0"/>
    <m/>
    <x v="15"/>
    <m/>
    <n v="2085210"/>
    <n v="-2085210"/>
    <m/>
    <m/>
    <m/>
    <s v="Product C"/>
    <s v="Client 1"/>
  </r>
  <r>
    <x v="214"/>
    <x v="11"/>
    <x v="0"/>
    <m/>
    <x v="15"/>
    <m/>
    <n v="677376"/>
    <n v="-677376"/>
    <m/>
    <m/>
    <m/>
    <s v="Product A"/>
    <s v="Client 5"/>
  </r>
  <r>
    <x v="214"/>
    <x v="11"/>
    <x v="0"/>
    <m/>
    <x v="15"/>
    <m/>
    <n v="1075932"/>
    <n v="-1075932"/>
    <m/>
    <m/>
    <m/>
    <s v="Product B"/>
    <s v="Client 8"/>
  </r>
  <r>
    <x v="215"/>
    <x v="11"/>
    <x v="0"/>
    <m/>
    <x v="0"/>
    <n v="880000"/>
    <m/>
    <n v="880000"/>
    <m/>
    <m/>
    <m/>
    <s v="Component 1"/>
    <s v="Supplier A"/>
  </r>
  <r>
    <x v="215"/>
    <x v="11"/>
    <x v="0"/>
    <m/>
    <x v="3"/>
    <m/>
    <n v="880000"/>
    <n v="-880000"/>
    <m/>
    <m/>
    <m/>
    <s v="Component 1"/>
    <s v="Supplier A"/>
  </r>
  <r>
    <x v="216"/>
    <x v="11"/>
    <x v="0"/>
    <m/>
    <x v="2"/>
    <n v="1640576"/>
    <m/>
    <n v="1640576"/>
    <m/>
    <m/>
    <m/>
    <s v="Product A"/>
    <s v="Client 10"/>
  </r>
  <r>
    <x v="216"/>
    <x v="11"/>
    <x v="0"/>
    <m/>
    <x v="10"/>
    <n v="1120563.8386666665"/>
    <m/>
    <n v="1120563.8386666665"/>
    <m/>
    <m/>
    <m/>
    <m/>
    <s v="Product A"/>
  </r>
  <r>
    <x v="216"/>
    <x v="11"/>
    <x v="0"/>
    <m/>
    <x v="11"/>
    <m/>
    <n v="1120563.8386666665"/>
    <n v="-1120563.8386666665"/>
    <m/>
    <m/>
    <m/>
    <m/>
    <s v="Product A"/>
  </r>
  <r>
    <x v="216"/>
    <x v="11"/>
    <x v="0"/>
    <m/>
    <x v="15"/>
    <m/>
    <n v="1640576"/>
    <n v="-1640576"/>
    <m/>
    <m/>
    <m/>
    <s v="Product A"/>
    <s v="Client 10"/>
  </r>
  <r>
    <x v="217"/>
    <x v="11"/>
    <x v="0"/>
    <m/>
    <x v="2"/>
    <n v="567736"/>
    <m/>
    <n v="567736"/>
    <m/>
    <m/>
    <m/>
    <s v="Product B"/>
    <s v="Client 6"/>
  </r>
  <r>
    <x v="217"/>
    <x v="11"/>
    <x v="0"/>
    <m/>
    <x v="2"/>
    <n v="1199400"/>
    <m/>
    <n v="1199400"/>
    <m/>
    <m/>
    <m/>
    <s v="Product A"/>
    <s v="Client 7"/>
  </r>
  <r>
    <x v="217"/>
    <x v="11"/>
    <x v="0"/>
    <m/>
    <x v="10"/>
    <n v="410076.78400000004"/>
    <m/>
    <n v="410076.78400000004"/>
    <m/>
    <m/>
    <m/>
    <m/>
    <s v="Product B"/>
  </r>
  <r>
    <x v="217"/>
    <x v="11"/>
    <x v="0"/>
    <m/>
    <x v="10"/>
    <n v="896130.98266666662"/>
    <m/>
    <n v="896130.98266666662"/>
    <m/>
    <m/>
    <m/>
    <m/>
    <s v="Product A"/>
  </r>
  <r>
    <x v="217"/>
    <x v="11"/>
    <x v="0"/>
    <m/>
    <x v="11"/>
    <m/>
    <n v="896130.98266666662"/>
    <n v="-896130.98266666662"/>
    <m/>
    <m/>
    <m/>
    <m/>
    <s v="Product A"/>
  </r>
  <r>
    <x v="217"/>
    <x v="11"/>
    <x v="0"/>
    <m/>
    <x v="12"/>
    <m/>
    <n v="410076.78400000004"/>
    <n v="-410076.78400000004"/>
    <m/>
    <m/>
    <m/>
    <m/>
    <s v="Product B"/>
  </r>
  <r>
    <x v="217"/>
    <x v="11"/>
    <x v="0"/>
    <m/>
    <x v="15"/>
    <m/>
    <n v="567736"/>
    <n v="-567736"/>
    <m/>
    <m/>
    <m/>
    <s v="Product B"/>
    <s v="Client 6"/>
  </r>
  <r>
    <x v="217"/>
    <x v="11"/>
    <x v="0"/>
    <m/>
    <x v="15"/>
    <m/>
    <n v="1199400"/>
    <n v="-1199400"/>
    <m/>
    <m/>
    <m/>
    <s v="Product A"/>
    <s v="Client 7"/>
  </r>
  <r>
    <x v="218"/>
    <x v="11"/>
    <x v="0"/>
    <m/>
    <x v="2"/>
    <n v="976488"/>
    <m/>
    <n v="976488"/>
    <m/>
    <m/>
    <m/>
    <s v="Product B"/>
    <s v="Client 4"/>
  </r>
  <r>
    <x v="218"/>
    <x v="11"/>
    <x v="0"/>
    <m/>
    <x v="10"/>
    <n v="612818.25600000005"/>
    <m/>
    <n v="612818.25600000005"/>
    <m/>
    <m/>
    <m/>
    <m/>
    <s v="Product B"/>
  </r>
  <r>
    <x v="218"/>
    <x v="11"/>
    <x v="0"/>
    <m/>
    <x v="12"/>
    <m/>
    <n v="612818.25600000005"/>
    <n v="-612818.25600000005"/>
    <m/>
    <m/>
    <m/>
    <m/>
    <s v="Product B"/>
  </r>
  <r>
    <x v="218"/>
    <x v="11"/>
    <x v="0"/>
    <m/>
    <x v="15"/>
    <m/>
    <n v="976488"/>
    <n v="-976488"/>
    <m/>
    <m/>
    <m/>
    <s v="Product B"/>
    <s v="Client 4"/>
  </r>
  <r>
    <x v="219"/>
    <x v="11"/>
    <x v="0"/>
    <m/>
    <x v="2"/>
    <m/>
    <n v="1976853"/>
    <n v="-1976853"/>
    <m/>
    <m/>
    <m/>
    <s v="Product A"/>
    <s v="Client 5"/>
  </r>
  <r>
    <x v="219"/>
    <x v="11"/>
    <x v="0"/>
    <m/>
    <x v="2"/>
    <m/>
    <n v="554164"/>
    <n v="-554164"/>
    <m/>
    <m/>
    <m/>
    <s v="Product A"/>
    <s v="Client 10"/>
  </r>
  <r>
    <x v="219"/>
    <x v="11"/>
    <x v="0"/>
    <m/>
    <x v="3"/>
    <n v="1976853"/>
    <m/>
    <n v="1976853"/>
    <m/>
    <m/>
    <m/>
    <s v="Product A"/>
    <s v="Client 5"/>
  </r>
  <r>
    <x v="219"/>
    <x v="11"/>
    <x v="0"/>
    <m/>
    <x v="3"/>
    <n v="554164"/>
    <m/>
    <n v="554164"/>
    <m/>
    <m/>
    <m/>
    <s v="Product A"/>
    <s v="Client 10"/>
  </r>
  <r>
    <x v="220"/>
    <x v="11"/>
    <x v="0"/>
    <m/>
    <x v="0"/>
    <n v="1983695"/>
    <m/>
    <n v="1983695"/>
    <m/>
    <m/>
    <m/>
    <s v="Component 6"/>
    <s v="Supplier D"/>
  </r>
  <r>
    <x v="220"/>
    <x v="11"/>
    <x v="0"/>
    <m/>
    <x v="3"/>
    <m/>
    <n v="1983695"/>
    <n v="-1983695"/>
    <m/>
    <m/>
    <m/>
    <s v="Component 6"/>
    <s v="Supplier D"/>
  </r>
  <r>
    <x v="221"/>
    <x v="11"/>
    <x v="0"/>
    <m/>
    <x v="0"/>
    <n v="800000"/>
    <m/>
    <n v="800000"/>
    <m/>
    <m/>
    <m/>
    <s v="Component 5"/>
    <s v="Supplier D"/>
  </r>
  <r>
    <x v="130"/>
    <x v="7"/>
    <x v="0"/>
    <m/>
    <x v="2"/>
    <n v="444024"/>
    <m/>
    <n v="444024"/>
    <m/>
    <m/>
    <m/>
    <s v="Product C"/>
    <s v="Client 3"/>
  </r>
  <r>
    <x v="221"/>
    <x v="11"/>
    <x v="0"/>
    <m/>
    <x v="2"/>
    <m/>
    <n v="718977"/>
    <n v="-718977"/>
    <m/>
    <m/>
    <m/>
    <s v="Product B"/>
    <s v="Client 6"/>
  </r>
  <r>
    <x v="221"/>
    <x v="11"/>
    <x v="0"/>
    <m/>
    <x v="3"/>
    <m/>
    <n v="800000"/>
    <n v="-800000"/>
    <m/>
    <m/>
    <m/>
    <s v="Component 5"/>
    <s v="Supplier D"/>
  </r>
  <r>
    <x v="221"/>
    <x v="11"/>
    <x v="0"/>
    <m/>
    <x v="3"/>
    <n v="718977"/>
    <m/>
    <n v="718977"/>
    <m/>
    <m/>
    <m/>
    <s v="Product B"/>
    <s v="Client 6"/>
  </r>
  <r>
    <x v="221"/>
    <x v="11"/>
    <x v="0"/>
    <m/>
    <x v="10"/>
    <n v="247718.89200000002"/>
    <m/>
    <n v="247718.89200000002"/>
    <m/>
    <m/>
    <m/>
    <m/>
    <s v="Product C"/>
  </r>
  <r>
    <x v="221"/>
    <x v="11"/>
    <x v="0"/>
    <m/>
    <x v="13"/>
    <m/>
    <n v="247718.89200000002"/>
    <n v="-247718.89200000002"/>
    <m/>
    <m/>
    <m/>
    <m/>
    <s v="Product C"/>
  </r>
  <r>
    <x v="221"/>
    <x v="11"/>
    <x v="0"/>
    <m/>
    <x v="15"/>
    <m/>
    <n v="369024"/>
    <n v="-369024"/>
    <m/>
    <m/>
    <m/>
    <s v="Product C"/>
    <s v="Client 3"/>
  </r>
  <r>
    <x v="222"/>
    <x v="11"/>
    <x v="0"/>
    <m/>
    <x v="2"/>
    <m/>
    <n v="761550"/>
    <n v="-761550"/>
    <m/>
    <m/>
    <m/>
    <s v="Product A"/>
    <s v="Client 2"/>
  </r>
  <r>
    <x v="222"/>
    <x v="11"/>
    <x v="0"/>
    <m/>
    <x v="3"/>
    <n v="761550"/>
    <m/>
    <n v="761550"/>
    <m/>
    <m/>
    <m/>
    <s v="Product A"/>
    <s v="Client 2"/>
  </r>
  <r>
    <x v="135"/>
    <x v="7"/>
    <x v="0"/>
    <m/>
    <x v="2"/>
    <m/>
    <n v="173788"/>
    <n v="-173788"/>
    <m/>
    <m/>
    <m/>
    <s v="Product C"/>
    <s v="Client 3"/>
  </r>
  <r>
    <x v="223"/>
    <x v="11"/>
    <x v="0"/>
    <m/>
    <x v="3"/>
    <n v="846141"/>
    <m/>
    <n v="846141"/>
    <m/>
    <m/>
    <m/>
    <s v="Product C"/>
    <s v="Client 3"/>
  </r>
  <r>
    <x v="224"/>
    <x v="11"/>
    <x v="0"/>
    <m/>
    <x v="3"/>
    <n v="383184"/>
    <m/>
    <n v="383184"/>
    <m/>
    <m/>
    <m/>
    <s v="Product C"/>
    <s v="Client 3"/>
  </r>
  <r>
    <x v="225"/>
    <x v="11"/>
    <x v="0"/>
    <m/>
    <x v="2"/>
    <n v="457200"/>
    <m/>
    <n v="457200"/>
    <m/>
    <m/>
    <m/>
    <s v="Product A"/>
    <s v="Client 2"/>
  </r>
  <r>
    <x v="225"/>
    <x v="11"/>
    <x v="0"/>
    <m/>
    <x v="2"/>
    <n v="1748626"/>
    <m/>
    <n v="1748626"/>
    <m/>
    <m/>
    <m/>
    <s v="Product A"/>
    <s v="Client 9"/>
  </r>
  <r>
    <x v="225"/>
    <x v="11"/>
    <x v="0"/>
    <m/>
    <x v="2"/>
    <m/>
    <n v="425961"/>
    <n v="-425961"/>
    <m/>
    <m/>
    <m/>
    <s v="Product A"/>
    <s v="Client 2"/>
  </r>
  <r>
    <x v="225"/>
    <x v="11"/>
    <x v="0"/>
    <m/>
    <x v="3"/>
    <n v="425961"/>
    <m/>
    <n v="425961"/>
    <m/>
    <m/>
    <m/>
    <s v="Product A"/>
    <s v="Client 2"/>
  </r>
  <r>
    <x v="225"/>
    <x v="11"/>
    <x v="0"/>
    <m/>
    <x v="10"/>
    <n v="322188.84000000003"/>
    <m/>
    <n v="322188.84000000003"/>
    <m/>
    <m/>
    <m/>
    <m/>
    <s v="Product A"/>
  </r>
  <r>
    <x v="225"/>
    <x v="11"/>
    <x v="0"/>
    <m/>
    <x v="10"/>
    <n v="1093926.1786666666"/>
    <m/>
    <n v="1093926.1786666666"/>
    <m/>
    <m/>
    <m/>
    <m/>
    <s v="Product A"/>
  </r>
  <r>
    <x v="225"/>
    <x v="11"/>
    <x v="0"/>
    <m/>
    <x v="11"/>
    <m/>
    <n v="322188.84000000003"/>
    <n v="-322188.84000000003"/>
    <m/>
    <m/>
    <m/>
    <m/>
    <s v="Product A"/>
  </r>
  <r>
    <x v="225"/>
    <x v="11"/>
    <x v="0"/>
    <m/>
    <x v="11"/>
    <m/>
    <n v="1093926.1786666666"/>
    <n v="-1093926.1786666666"/>
    <m/>
    <m/>
    <m/>
    <m/>
    <s v="Product A"/>
  </r>
  <r>
    <x v="225"/>
    <x v="11"/>
    <x v="0"/>
    <m/>
    <x v="15"/>
    <m/>
    <n v="457200"/>
    <n v="-457200"/>
    <m/>
    <m/>
    <m/>
    <s v="Product A"/>
    <s v="Client 2"/>
  </r>
  <r>
    <x v="225"/>
    <x v="11"/>
    <x v="0"/>
    <m/>
    <x v="15"/>
    <m/>
    <n v="1748626"/>
    <n v="-1748626"/>
    <m/>
    <m/>
    <m/>
    <s v="Product A"/>
    <s v="Client 9"/>
  </r>
  <r>
    <x v="226"/>
    <x v="11"/>
    <x v="0"/>
    <m/>
    <x v="16"/>
    <n v="796575"/>
    <m/>
    <n v="796575"/>
    <m/>
    <m/>
    <m/>
    <m/>
    <m/>
  </r>
  <r>
    <x v="226"/>
    <x v="11"/>
    <x v="0"/>
    <s v="Balance sheet cutoff"/>
    <x v="21"/>
    <m/>
    <n v="71005000"/>
    <n v="-71005000"/>
    <m/>
    <m/>
    <m/>
    <m/>
    <m/>
  </r>
  <r>
    <x v="226"/>
    <x v="11"/>
    <x v="0"/>
    <s v="Balance sheet cutoff"/>
    <x v="22"/>
    <n v="550000000"/>
    <m/>
    <n v="550000000"/>
    <m/>
    <m/>
    <m/>
    <m/>
    <m/>
  </r>
  <r>
    <x v="226"/>
    <x v="11"/>
    <x v="0"/>
    <s v="Balance sheet cutoff"/>
    <x v="23"/>
    <n v="115500000"/>
    <m/>
    <n v="115500000"/>
    <m/>
    <m/>
    <m/>
    <m/>
    <m/>
  </r>
  <r>
    <x v="226"/>
    <x v="11"/>
    <x v="0"/>
    <m/>
    <x v="3"/>
    <m/>
    <n v="223010.25"/>
    <n v="-223010.25"/>
    <m/>
    <m/>
    <m/>
    <m/>
    <m/>
  </r>
  <r>
    <x v="226"/>
    <x v="11"/>
    <x v="0"/>
    <m/>
    <x v="3"/>
    <m/>
    <n v="1033220"/>
    <n v="-1033220"/>
    <m/>
    <m/>
    <m/>
    <m/>
    <m/>
  </r>
  <r>
    <x v="226"/>
    <x v="11"/>
    <x v="0"/>
    <m/>
    <x v="3"/>
    <m/>
    <n v="804188"/>
    <n v="-804188"/>
    <m/>
    <m/>
    <m/>
    <m/>
    <m/>
  </r>
  <r>
    <x v="226"/>
    <x v="11"/>
    <x v="0"/>
    <m/>
    <x v="3"/>
    <m/>
    <n v="796575"/>
    <n v="-796575"/>
    <m/>
    <m/>
    <m/>
    <m/>
    <m/>
  </r>
  <r>
    <x v="226"/>
    <x v="11"/>
    <x v="0"/>
    <m/>
    <x v="3"/>
    <n v="1201981"/>
    <m/>
    <n v="1201981"/>
    <m/>
    <m/>
    <m/>
    <m/>
    <m/>
  </r>
  <r>
    <x v="226"/>
    <x v="11"/>
    <x v="0"/>
    <m/>
    <x v="3"/>
    <m/>
    <n v="1204389"/>
    <n v="-1204389"/>
    <m/>
    <m/>
    <m/>
    <m/>
    <m/>
  </r>
  <r>
    <x v="226"/>
    <x v="11"/>
    <x v="0"/>
    <m/>
    <x v="17"/>
    <n v="804188"/>
    <m/>
    <n v="804188"/>
    <m/>
    <m/>
    <m/>
    <m/>
    <m/>
  </r>
  <r>
    <x v="226"/>
    <x v="11"/>
    <x v="0"/>
    <m/>
    <x v="18"/>
    <n v="1204389"/>
    <m/>
    <n v="1204389"/>
    <m/>
    <m/>
    <m/>
    <m/>
    <m/>
  </r>
  <r>
    <x v="226"/>
    <x v="11"/>
    <x v="0"/>
    <m/>
    <x v="19"/>
    <m/>
    <n v="1201981"/>
    <n v="-1201981"/>
    <m/>
    <m/>
    <m/>
    <m/>
    <m/>
  </r>
  <r>
    <x v="226"/>
    <x v="11"/>
    <x v="0"/>
    <s v="Balance sheet cutoff"/>
    <x v="24"/>
    <m/>
    <n v="99495000"/>
    <n v="-99495000"/>
    <m/>
    <m/>
    <m/>
    <m/>
    <m/>
  </r>
  <r>
    <x v="226"/>
    <x v="11"/>
    <x v="0"/>
    <m/>
    <x v="20"/>
    <n v="1033220"/>
    <m/>
    <n v="1033220"/>
    <m/>
    <m/>
    <m/>
    <m/>
    <m/>
  </r>
  <r>
    <x v="226"/>
    <x v="11"/>
    <x v="0"/>
    <s v="Balance sheet cutoff"/>
    <x v="25"/>
    <m/>
    <n v="495000000"/>
    <n v="-495000000"/>
    <m/>
    <m/>
    <m/>
    <m/>
    <m/>
  </r>
  <r>
    <x v="226"/>
    <x v="11"/>
    <x v="0"/>
    <m/>
    <x v="14"/>
    <n v="223010.25"/>
    <m/>
    <n v="223010.25"/>
    <m/>
    <m/>
    <m/>
    <m/>
    <m/>
  </r>
  <r>
    <x v="227"/>
    <x v="1"/>
    <x v="1"/>
    <m/>
    <x v="0"/>
    <n v="855000"/>
    <m/>
    <n v="855000"/>
    <m/>
    <m/>
    <m/>
    <s v="Component 2"/>
    <s v="Supplier A"/>
  </r>
  <r>
    <x v="227"/>
    <x v="1"/>
    <x v="1"/>
    <m/>
    <x v="3"/>
    <m/>
    <n v="855000"/>
    <n v="-855000"/>
    <m/>
    <m/>
    <m/>
    <s v="Component 2"/>
    <s v="Supplier A"/>
  </r>
  <r>
    <x v="228"/>
    <x v="1"/>
    <x v="1"/>
    <m/>
    <x v="2"/>
    <m/>
    <n v="1452928"/>
    <n v="-1452928"/>
    <m/>
    <m/>
    <m/>
    <s v="Product A"/>
    <s v="Client 9"/>
  </r>
  <r>
    <x v="228"/>
    <x v="1"/>
    <x v="1"/>
    <m/>
    <x v="2"/>
    <m/>
    <n v="1149234"/>
    <n v="-1149234"/>
    <m/>
    <m/>
    <m/>
    <s v="Product A"/>
    <s v="Client 7"/>
  </r>
  <r>
    <x v="228"/>
    <x v="1"/>
    <x v="1"/>
    <m/>
    <x v="3"/>
    <n v="1452928"/>
    <m/>
    <n v="1452928"/>
    <m/>
    <m/>
    <m/>
    <s v="Product A"/>
    <s v="Client 9"/>
  </r>
  <r>
    <x v="228"/>
    <x v="1"/>
    <x v="1"/>
    <m/>
    <x v="3"/>
    <n v="1149234"/>
    <m/>
    <n v="1149234"/>
    <m/>
    <m/>
    <m/>
    <s v="Product A"/>
    <s v="Client 7"/>
  </r>
  <r>
    <x v="229"/>
    <x v="1"/>
    <x v="1"/>
    <m/>
    <x v="0"/>
    <n v="990000"/>
    <m/>
    <n v="990000"/>
    <m/>
    <m/>
    <m/>
    <s v="Component 2"/>
    <s v="Supplier A"/>
  </r>
  <r>
    <x v="229"/>
    <x v="1"/>
    <x v="1"/>
    <m/>
    <x v="3"/>
    <m/>
    <n v="990000"/>
    <n v="-990000"/>
    <m/>
    <m/>
    <m/>
    <s v="Component 2"/>
    <s v="Supplier A"/>
  </r>
  <r>
    <x v="230"/>
    <x v="1"/>
    <x v="1"/>
    <m/>
    <x v="0"/>
    <n v="720000"/>
    <m/>
    <n v="720000"/>
    <m/>
    <m/>
    <m/>
    <s v="Component 5"/>
    <s v="Supplier D"/>
  </r>
  <r>
    <x v="230"/>
    <x v="1"/>
    <x v="1"/>
    <m/>
    <x v="3"/>
    <m/>
    <n v="720000"/>
    <n v="-720000"/>
    <m/>
    <m/>
    <m/>
    <s v="Component 5"/>
    <s v="Supplier D"/>
  </r>
  <r>
    <x v="231"/>
    <x v="1"/>
    <x v="1"/>
    <m/>
    <x v="2"/>
    <m/>
    <n v="1051848"/>
    <n v="-1051848"/>
    <m/>
    <m/>
    <m/>
    <s v="Product B"/>
    <s v="Client 8"/>
  </r>
  <r>
    <x v="231"/>
    <x v="1"/>
    <x v="1"/>
    <m/>
    <x v="3"/>
    <n v="1051848"/>
    <m/>
    <n v="1051848"/>
    <m/>
    <m/>
    <m/>
    <s v="Product B"/>
    <s v="Client 8"/>
  </r>
  <r>
    <x v="232"/>
    <x v="1"/>
    <x v="1"/>
    <m/>
    <x v="0"/>
    <n v="2310000"/>
    <m/>
    <n v="2310000"/>
    <m/>
    <m/>
    <m/>
    <s v="Component 4"/>
    <s v="Supplier B"/>
  </r>
  <r>
    <x v="232"/>
    <x v="1"/>
    <x v="1"/>
    <m/>
    <x v="3"/>
    <m/>
    <n v="2310000"/>
    <n v="-2310000"/>
    <m/>
    <m/>
    <m/>
    <s v="Component 4"/>
    <s v="Supplier B"/>
  </r>
  <r>
    <x v="233"/>
    <x v="1"/>
    <x v="1"/>
    <m/>
    <x v="2"/>
    <m/>
    <n v="415476"/>
    <n v="-415476"/>
    <m/>
    <m/>
    <m/>
    <s v="Product B"/>
    <s v="Client 8"/>
  </r>
  <r>
    <x v="233"/>
    <x v="1"/>
    <x v="1"/>
    <m/>
    <x v="3"/>
    <n v="415476"/>
    <m/>
    <n v="415476"/>
    <m/>
    <m/>
    <m/>
    <s v="Product B"/>
    <s v="Client 8"/>
  </r>
  <r>
    <x v="234"/>
    <x v="1"/>
    <x v="1"/>
    <m/>
    <x v="2"/>
    <m/>
    <n v="1075932"/>
    <n v="-1075932"/>
    <m/>
    <m/>
    <m/>
    <s v="Product B"/>
    <s v="Client 8"/>
  </r>
  <r>
    <x v="234"/>
    <x v="1"/>
    <x v="1"/>
    <m/>
    <x v="3"/>
    <n v="1075932"/>
    <m/>
    <n v="1075932"/>
    <m/>
    <m/>
    <m/>
    <s v="Product B"/>
    <s v="Client 8"/>
  </r>
  <r>
    <x v="235"/>
    <x v="1"/>
    <x v="1"/>
    <m/>
    <x v="2"/>
    <m/>
    <n v="487665"/>
    <n v="-487665"/>
    <m/>
    <m/>
    <m/>
    <s v="Product B"/>
    <s v="Client 6"/>
  </r>
  <r>
    <x v="235"/>
    <x v="1"/>
    <x v="1"/>
    <m/>
    <x v="3"/>
    <n v="487665"/>
    <m/>
    <n v="487665"/>
    <m/>
    <m/>
    <m/>
    <s v="Product B"/>
    <s v="Client 6"/>
  </r>
  <r>
    <x v="236"/>
    <x v="1"/>
    <x v="1"/>
    <m/>
    <x v="0"/>
    <n v="765000"/>
    <m/>
    <n v="765000"/>
    <m/>
    <m/>
    <m/>
    <s v="Component 2"/>
    <s v="Supplier A"/>
  </r>
  <r>
    <x v="236"/>
    <x v="1"/>
    <x v="1"/>
    <m/>
    <x v="2"/>
    <m/>
    <n v="976488"/>
    <n v="-976488"/>
    <m/>
    <m/>
    <m/>
    <s v="Product B"/>
    <s v="Client 4"/>
  </r>
  <r>
    <x v="236"/>
    <x v="1"/>
    <x v="1"/>
    <m/>
    <x v="3"/>
    <m/>
    <n v="765000"/>
    <n v="-765000"/>
    <m/>
    <m/>
    <m/>
    <s v="Component 2"/>
    <s v="Supplier A"/>
  </r>
  <r>
    <x v="236"/>
    <x v="1"/>
    <x v="1"/>
    <m/>
    <x v="3"/>
    <n v="976488"/>
    <m/>
    <n v="976488"/>
    <m/>
    <m/>
    <m/>
    <s v="Product B"/>
    <s v="Client 4"/>
  </r>
  <r>
    <x v="150"/>
    <x v="8"/>
    <x v="0"/>
    <m/>
    <x v="2"/>
    <m/>
    <n v="1750932"/>
    <n v="-1750932"/>
    <m/>
    <m/>
    <m/>
    <s v="Product C"/>
    <s v="Client 3"/>
  </r>
  <r>
    <x v="237"/>
    <x v="1"/>
    <x v="1"/>
    <m/>
    <x v="2"/>
    <m/>
    <n v="1233232"/>
    <n v="-1233232"/>
    <m/>
    <m/>
    <m/>
    <s v="Product A"/>
    <s v="Client 9"/>
  </r>
  <r>
    <x v="237"/>
    <x v="1"/>
    <x v="1"/>
    <m/>
    <x v="3"/>
    <n v="173664"/>
    <m/>
    <n v="173664"/>
    <m/>
    <m/>
    <m/>
    <s v="Product C"/>
    <s v="Client 3"/>
  </r>
  <r>
    <x v="237"/>
    <x v="1"/>
    <x v="1"/>
    <m/>
    <x v="3"/>
    <n v="1233232"/>
    <m/>
    <n v="1233232"/>
    <m/>
    <m/>
    <m/>
    <s v="Product A"/>
    <s v="Client 9"/>
  </r>
  <r>
    <x v="238"/>
    <x v="1"/>
    <x v="1"/>
    <m/>
    <x v="0"/>
    <n v="2090000"/>
    <m/>
    <n v="2090000"/>
    <m/>
    <m/>
    <m/>
    <s v="Component 4"/>
    <s v="Supplier B"/>
  </r>
  <r>
    <x v="238"/>
    <x v="1"/>
    <x v="1"/>
    <m/>
    <x v="2"/>
    <m/>
    <n v="829568"/>
    <n v="-829568"/>
    <m/>
    <m/>
    <m/>
    <s v="Product B"/>
    <s v="Client 4"/>
  </r>
  <r>
    <x v="238"/>
    <x v="1"/>
    <x v="1"/>
    <m/>
    <x v="3"/>
    <m/>
    <n v="2090000"/>
    <n v="-2090000"/>
    <m/>
    <m/>
    <m/>
    <s v="Component 4"/>
    <s v="Supplier B"/>
  </r>
  <r>
    <x v="238"/>
    <x v="1"/>
    <x v="1"/>
    <m/>
    <x v="3"/>
    <n v="829568"/>
    <m/>
    <n v="829568"/>
    <m/>
    <m/>
    <m/>
    <s v="Product B"/>
    <s v="Client 4"/>
  </r>
  <r>
    <x v="239"/>
    <x v="0"/>
    <x v="1"/>
    <m/>
    <x v="2"/>
    <m/>
    <n v="567736"/>
    <n v="-567736"/>
    <m/>
    <m/>
    <m/>
    <s v="Product B"/>
    <s v="Client 6"/>
  </r>
  <r>
    <x v="239"/>
    <x v="0"/>
    <x v="1"/>
    <m/>
    <x v="2"/>
    <m/>
    <n v="1199400"/>
    <n v="-1199400"/>
    <m/>
    <m/>
    <m/>
    <s v="Product A"/>
    <s v="Client 7"/>
  </r>
  <r>
    <x v="239"/>
    <x v="0"/>
    <x v="1"/>
    <m/>
    <x v="3"/>
    <n v="567736"/>
    <m/>
    <n v="567736"/>
    <m/>
    <m/>
    <m/>
    <s v="Product B"/>
    <s v="Client 6"/>
  </r>
  <r>
    <x v="239"/>
    <x v="0"/>
    <x v="1"/>
    <m/>
    <x v="3"/>
    <n v="1199400"/>
    <m/>
    <n v="1199400"/>
    <m/>
    <m/>
    <m/>
    <s v="Product A"/>
    <s v="Client 7"/>
  </r>
  <r>
    <x v="240"/>
    <x v="0"/>
    <x v="1"/>
    <m/>
    <x v="0"/>
    <n v="1800000"/>
    <m/>
    <n v="1800000"/>
    <m/>
    <m/>
    <m/>
    <s v="Component 3"/>
    <s v="Supplier A"/>
  </r>
  <r>
    <x v="240"/>
    <x v="0"/>
    <x v="1"/>
    <m/>
    <x v="3"/>
    <m/>
    <n v="1800000"/>
    <n v="-1800000"/>
    <m/>
    <m/>
    <m/>
    <s v="Component 3"/>
    <s v="Supplier A"/>
  </r>
  <r>
    <x v="241"/>
    <x v="0"/>
    <x v="1"/>
    <m/>
    <x v="0"/>
    <n v="1774885"/>
    <m/>
    <n v="1774885"/>
    <m/>
    <m/>
    <m/>
    <s v="Component 6"/>
    <s v="Supplier D"/>
  </r>
  <r>
    <x v="241"/>
    <x v="0"/>
    <x v="1"/>
    <m/>
    <x v="3"/>
    <m/>
    <n v="1774885"/>
    <n v="-1774885"/>
    <m/>
    <m/>
    <m/>
    <s v="Component 6"/>
    <s v="Supplier D"/>
  </r>
  <r>
    <x v="242"/>
    <x v="0"/>
    <x v="1"/>
    <m/>
    <x v="0"/>
    <n v="720000"/>
    <m/>
    <n v="720000"/>
    <m/>
    <m/>
    <m/>
    <s v="Component 1"/>
    <s v="Supplier A"/>
  </r>
  <r>
    <x v="242"/>
    <x v="0"/>
    <x v="1"/>
    <m/>
    <x v="3"/>
    <m/>
    <n v="720000"/>
    <n v="-720000"/>
    <m/>
    <m/>
    <m/>
    <s v="Component 1"/>
    <s v="Supplier A"/>
  </r>
  <r>
    <x v="243"/>
    <x v="0"/>
    <x v="1"/>
    <m/>
    <x v="2"/>
    <m/>
    <n v="1589335"/>
    <n v="-1589335"/>
    <m/>
    <m/>
    <m/>
    <s v="Product A"/>
    <s v="Client 10"/>
  </r>
  <r>
    <x v="243"/>
    <x v="0"/>
    <x v="1"/>
    <m/>
    <x v="3"/>
    <n v="1589335"/>
    <m/>
    <n v="1589335"/>
    <m/>
    <m/>
    <m/>
    <s v="Product A"/>
    <s v="Client 10"/>
  </r>
  <r>
    <x v="244"/>
    <x v="0"/>
    <x v="1"/>
    <m/>
    <x v="2"/>
    <m/>
    <n v="457200"/>
    <n v="-457200"/>
    <m/>
    <m/>
    <m/>
    <s v="Product A"/>
    <s v="Client 2"/>
  </r>
  <r>
    <x v="244"/>
    <x v="0"/>
    <x v="1"/>
    <m/>
    <x v="3"/>
    <n v="457200"/>
    <m/>
    <n v="457200"/>
    <m/>
    <m/>
    <m/>
    <s v="Product A"/>
    <s v="Client 2"/>
  </r>
  <r>
    <x v="245"/>
    <x v="0"/>
    <x v="1"/>
    <m/>
    <x v="2"/>
    <m/>
    <n v="1112020"/>
    <n v="-1112020"/>
    <m/>
    <m/>
    <m/>
    <s v="Product A"/>
    <s v="Client 5"/>
  </r>
  <r>
    <x v="245"/>
    <x v="0"/>
    <x v="1"/>
    <m/>
    <x v="3"/>
    <n v="1112020"/>
    <m/>
    <n v="1112020"/>
    <m/>
    <m/>
    <m/>
    <s v="Product A"/>
    <s v="Client 5"/>
  </r>
  <r>
    <x v="246"/>
    <x v="0"/>
    <x v="1"/>
    <m/>
    <x v="2"/>
    <m/>
    <n v="1111460"/>
    <n v="-1111460"/>
    <m/>
    <m/>
    <m/>
    <s v="Product A"/>
    <s v="Client 10"/>
  </r>
  <r>
    <x v="246"/>
    <x v="0"/>
    <x v="1"/>
    <m/>
    <x v="3"/>
    <n v="1111460"/>
    <m/>
    <n v="1111460"/>
    <m/>
    <m/>
    <m/>
    <s v="Product A"/>
    <s v="Client 10"/>
  </r>
  <r>
    <x v="247"/>
    <x v="3"/>
    <x v="1"/>
    <m/>
    <x v="2"/>
    <m/>
    <n v="756560"/>
    <n v="-756560"/>
    <m/>
    <m/>
    <m/>
    <s v="Product A"/>
    <s v="Client 7"/>
  </r>
  <r>
    <x v="247"/>
    <x v="3"/>
    <x v="1"/>
    <m/>
    <x v="3"/>
    <n v="756560"/>
    <m/>
    <n v="756560"/>
    <m/>
    <m/>
    <m/>
    <s v="Product A"/>
    <s v="Client 7"/>
  </r>
  <r>
    <x v="248"/>
    <x v="3"/>
    <x v="1"/>
    <m/>
    <x v="2"/>
    <m/>
    <n v="3494754"/>
    <n v="-3494754"/>
    <m/>
    <m/>
    <m/>
    <s v="Product C"/>
    <s v="Client 1"/>
  </r>
  <r>
    <x v="248"/>
    <x v="3"/>
    <x v="1"/>
    <m/>
    <x v="2"/>
    <m/>
    <n v="677376"/>
    <n v="-677376"/>
    <m/>
    <m/>
    <m/>
    <s v="Product A"/>
    <s v="Client 5"/>
  </r>
  <r>
    <x v="248"/>
    <x v="3"/>
    <x v="1"/>
    <m/>
    <x v="3"/>
    <n v="3494754"/>
    <m/>
    <n v="3494754"/>
    <m/>
    <m/>
    <m/>
    <s v="Product C"/>
    <s v="Client 1"/>
  </r>
  <r>
    <x v="248"/>
    <x v="3"/>
    <x v="1"/>
    <m/>
    <x v="3"/>
    <n v="677376"/>
    <m/>
    <n v="677376"/>
    <m/>
    <m/>
    <m/>
    <s v="Product A"/>
    <s v="Client 5"/>
  </r>
  <r>
    <x v="249"/>
    <x v="3"/>
    <x v="1"/>
    <m/>
    <x v="2"/>
    <m/>
    <n v="2085210"/>
    <n v="-2085210"/>
    <m/>
    <m/>
    <m/>
    <s v="Product C"/>
    <s v="Client 1"/>
  </r>
  <r>
    <x v="249"/>
    <x v="3"/>
    <x v="1"/>
    <m/>
    <x v="3"/>
    <n v="2085210"/>
    <m/>
    <n v="2085210"/>
    <m/>
    <m/>
    <m/>
    <s v="Product C"/>
    <s v="Client 1"/>
  </r>
  <r>
    <x v="250"/>
    <x v="3"/>
    <x v="1"/>
    <m/>
    <x v="0"/>
    <n v="1774885"/>
    <m/>
    <n v="1774885"/>
    <m/>
    <m/>
    <m/>
    <s v="Component 6"/>
    <s v="Supplier D"/>
  </r>
  <r>
    <x v="250"/>
    <x v="3"/>
    <x v="1"/>
    <m/>
    <x v="3"/>
    <m/>
    <n v="1774885"/>
    <n v="-1774885"/>
    <m/>
    <m/>
    <m/>
    <s v="Component 6"/>
    <s v="Supplier D"/>
  </r>
  <r>
    <x v="251"/>
    <x v="3"/>
    <x v="1"/>
    <m/>
    <x v="2"/>
    <m/>
    <n v="1640576"/>
    <n v="-1640576"/>
    <m/>
    <m/>
    <m/>
    <s v="Product A"/>
    <s v="Client 10"/>
  </r>
  <r>
    <x v="251"/>
    <x v="3"/>
    <x v="1"/>
    <m/>
    <x v="3"/>
    <n v="1640576"/>
    <m/>
    <n v="1640576"/>
    <m/>
    <m/>
    <m/>
    <s v="Product A"/>
    <s v="Client 10"/>
  </r>
  <r>
    <x v="252"/>
    <x v="3"/>
    <x v="1"/>
    <m/>
    <x v="0"/>
    <n v="1800000"/>
    <m/>
    <n v="1800000"/>
    <m/>
    <m/>
    <m/>
    <s v="Component 3"/>
    <s v="Supplier A"/>
  </r>
  <r>
    <x v="252"/>
    <x v="3"/>
    <x v="1"/>
    <m/>
    <x v="3"/>
    <m/>
    <n v="1800000"/>
    <n v="-1800000"/>
    <m/>
    <m/>
    <m/>
    <s v="Component 3"/>
    <s v="Supplier A"/>
  </r>
  <r>
    <x v="154"/>
    <x v="8"/>
    <x v="0"/>
    <m/>
    <x v="2"/>
    <n v="383184"/>
    <m/>
    <n v="383184"/>
    <m/>
    <m/>
    <m/>
    <s v="Product C"/>
    <s v="Client 3"/>
  </r>
  <r>
    <x v="253"/>
    <x v="3"/>
    <x v="1"/>
    <m/>
    <x v="3"/>
    <n v="369024"/>
    <m/>
    <n v="369024"/>
    <m/>
    <m/>
    <m/>
    <s v="Product C"/>
    <s v="Client 3"/>
  </r>
  <r>
    <x v="254"/>
    <x v="2"/>
    <x v="1"/>
    <m/>
    <x v="2"/>
    <m/>
    <n v="1748626"/>
    <n v="-1748626"/>
    <m/>
    <m/>
    <m/>
    <s v="Product A"/>
    <s v="Client 9"/>
  </r>
  <r>
    <x v="254"/>
    <x v="2"/>
    <x v="1"/>
    <m/>
    <x v="3"/>
    <n v="1748626"/>
    <m/>
    <n v="1748626"/>
    <m/>
    <m/>
    <m/>
    <s v="Product A"/>
    <s v="Client 9"/>
  </r>
  <r>
    <x v="28"/>
    <x v="3"/>
    <x v="0"/>
    <m/>
    <x v="1"/>
    <n v="10965000"/>
    <m/>
    <n v="10965000"/>
    <m/>
    <m/>
    <m/>
    <m/>
    <s v="Supplier A"/>
  </r>
  <r>
    <x v="28"/>
    <x v="3"/>
    <x v="0"/>
    <m/>
    <x v="1"/>
    <n v="6104000"/>
    <m/>
    <n v="6104000"/>
    <m/>
    <m/>
    <m/>
    <m/>
    <s v="Supplier B"/>
  </r>
  <r>
    <x v="28"/>
    <x v="3"/>
    <x v="0"/>
    <m/>
    <x v="1"/>
    <n v="13663505"/>
    <m/>
    <n v="13663505"/>
    <m/>
    <m/>
    <m/>
    <m/>
    <s v="Supplier D"/>
  </r>
  <r>
    <x v="28"/>
    <x v="3"/>
    <x v="0"/>
    <m/>
    <x v="0"/>
    <m/>
    <n v="10965000"/>
    <n v="-10965000"/>
    <m/>
    <m/>
    <m/>
    <m/>
    <s v="Supplier A"/>
  </r>
  <r>
    <x v="28"/>
    <x v="3"/>
    <x v="0"/>
    <m/>
    <x v="0"/>
    <m/>
    <n v="6104000"/>
    <n v="-6104000"/>
    <m/>
    <m/>
    <m/>
    <m/>
    <s v="Supplier B"/>
  </r>
  <r>
    <x v="28"/>
    <x v="3"/>
    <x v="0"/>
    <m/>
    <x v="0"/>
    <m/>
    <n v="13663505"/>
    <n v="-13663505"/>
    <m/>
    <m/>
    <m/>
    <m/>
    <s v="Supplier D"/>
  </r>
  <r>
    <x v="45"/>
    <x v="2"/>
    <x v="0"/>
    <m/>
    <x v="1"/>
    <n v="10530000"/>
    <n v="0"/>
    <n v="10530000"/>
    <m/>
    <m/>
    <m/>
    <m/>
    <s v="Supplier A"/>
  </r>
  <r>
    <x v="45"/>
    <x v="2"/>
    <x v="0"/>
    <m/>
    <x v="1"/>
    <n v="6544000"/>
    <n v="0"/>
    <n v="6544000"/>
    <m/>
    <m/>
    <m/>
    <m/>
    <s v="Supplier B"/>
  </r>
  <r>
    <x v="45"/>
    <x v="2"/>
    <x v="0"/>
    <m/>
    <x v="1"/>
    <n v="14948505"/>
    <n v="0"/>
    <n v="14948505"/>
    <m/>
    <m/>
    <m/>
    <m/>
    <s v="Supplier D"/>
  </r>
  <r>
    <x v="45"/>
    <x v="2"/>
    <x v="0"/>
    <m/>
    <x v="0"/>
    <n v="0"/>
    <n v="10530000"/>
    <n v="-10530000"/>
    <m/>
    <m/>
    <m/>
    <m/>
    <s v="Supplier A"/>
  </r>
  <r>
    <x v="45"/>
    <x v="2"/>
    <x v="0"/>
    <m/>
    <x v="0"/>
    <n v="0"/>
    <n v="6544000"/>
    <n v="-6544000"/>
    <m/>
    <m/>
    <m/>
    <m/>
    <s v="Supplier B"/>
  </r>
  <r>
    <x v="45"/>
    <x v="2"/>
    <x v="0"/>
    <m/>
    <x v="0"/>
    <n v="0"/>
    <n v="14948505"/>
    <n v="-14948505"/>
    <m/>
    <m/>
    <m/>
    <m/>
    <s v="Supplier D"/>
  </r>
  <r>
    <x v="65"/>
    <x v="4"/>
    <x v="0"/>
    <m/>
    <x v="1"/>
    <n v="12690000"/>
    <n v="0"/>
    <n v="12690000"/>
    <m/>
    <m/>
    <m/>
    <m/>
    <s v="Supplier A"/>
  </r>
  <r>
    <x v="65"/>
    <x v="4"/>
    <x v="0"/>
    <m/>
    <x v="1"/>
    <n v="8744000"/>
    <n v="0"/>
    <n v="8744000"/>
    <m/>
    <m/>
    <m/>
    <m/>
    <s v="Supplier B"/>
  </r>
  <r>
    <x v="65"/>
    <x v="4"/>
    <x v="0"/>
    <m/>
    <x v="1"/>
    <n v="9117000"/>
    <n v="0"/>
    <n v="9117000"/>
    <m/>
    <m/>
    <m/>
    <m/>
    <s v="Supplier D"/>
  </r>
  <r>
    <x v="65"/>
    <x v="4"/>
    <x v="0"/>
    <m/>
    <x v="0"/>
    <n v="0"/>
    <n v="12690000"/>
    <n v="-12690000"/>
    <m/>
    <m/>
    <m/>
    <m/>
    <s v="Supplier A"/>
  </r>
  <r>
    <x v="65"/>
    <x v="4"/>
    <x v="0"/>
    <m/>
    <x v="0"/>
    <n v="0"/>
    <n v="8744000"/>
    <n v="-8744000"/>
    <m/>
    <m/>
    <m/>
    <m/>
    <s v="Supplier B"/>
  </r>
  <r>
    <x v="65"/>
    <x v="4"/>
    <x v="0"/>
    <m/>
    <x v="0"/>
    <n v="0"/>
    <n v="9117000"/>
    <n v="-9117000"/>
    <m/>
    <m/>
    <m/>
    <m/>
    <s v="Supplier D"/>
  </r>
  <r>
    <x v="84"/>
    <x v="5"/>
    <x v="0"/>
    <m/>
    <x v="1"/>
    <n v="11335000"/>
    <n v="0"/>
    <n v="11335000"/>
    <m/>
    <m/>
    <m/>
    <m/>
    <s v="Supplier A"/>
  </r>
  <r>
    <x v="84"/>
    <x v="5"/>
    <x v="0"/>
    <m/>
    <x v="1"/>
    <n v="8964000"/>
    <n v="0"/>
    <n v="8964000"/>
    <m/>
    <m/>
    <m/>
    <m/>
    <s v="Supplier B"/>
  </r>
  <r>
    <x v="84"/>
    <x v="5"/>
    <x v="0"/>
    <m/>
    <x v="1"/>
    <n v="8330000"/>
    <n v="0"/>
    <n v="8330000"/>
    <m/>
    <m/>
    <m/>
    <m/>
    <s v="Supplier D"/>
  </r>
  <r>
    <x v="84"/>
    <x v="5"/>
    <x v="0"/>
    <m/>
    <x v="0"/>
    <n v="0"/>
    <n v="11335000"/>
    <n v="-11335000"/>
    <m/>
    <m/>
    <m/>
    <m/>
    <s v="Supplier A"/>
  </r>
  <r>
    <x v="84"/>
    <x v="5"/>
    <x v="0"/>
    <m/>
    <x v="0"/>
    <n v="0"/>
    <n v="8964000"/>
    <n v="-8964000"/>
    <m/>
    <m/>
    <m/>
    <m/>
    <s v="Supplier B"/>
  </r>
  <r>
    <x v="84"/>
    <x v="5"/>
    <x v="0"/>
    <m/>
    <x v="0"/>
    <n v="0"/>
    <n v="8330000"/>
    <n v="-8330000"/>
    <m/>
    <m/>
    <m/>
    <m/>
    <s v="Supplier D"/>
  </r>
  <r>
    <x v="103"/>
    <x v="6"/>
    <x v="0"/>
    <m/>
    <x v="1"/>
    <n v="12175000"/>
    <n v="0"/>
    <n v="12175000"/>
    <m/>
    <m/>
    <m/>
    <m/>
    <s v="Supplier A"/>
  </r>
  <r>
    <x v="103"/>
    <x v="6"/>
    <x v="0"/>
    <m/>
    <x v="1"/>
    <n v="6434000"/>
    <n v="0"/>
    <n v="6434000"/>
    <m/>
    <m/>
    <m/>
    <m/>
    <s v="Supplier B"/>
  </r>
  <r>
    <x v="103"/>
    <x v="6"/>
    <x v="0"/>
    <m/>
    <x v="1"/>
    <n v="12110000"/>
    <n v="0"/>
    <n v="12110000"/>
    <m/>
    <m/>
    <m/>
    <m/>
    <s v="Supplier D"/>
  </r>
  <r>
    <x v="103"/>
    <x v="6"/>
    <x v="0"/>
    <m/>
    <x v="0"/>
    <n v="0"/>
    <n v="12175000"/>
    <n v="-12175000"/>
    <m/>
    <m/>
    <m/>
    <m/>
    <s v="Supplier A"/>
  </r>
  <r>
    <x v="103"/>
    <x v="6"/>
    <x v="0"/>
    <m/>
    <x v="0"/>
    <n v="0"/>
    <n v="6434000"/>
    <n v="-6434000"/>
    <m/>
    <m/>
    <m/>
    <m/>
    <s v="Supplier B"/>
  </r>
  <r>
    <x v="103"/>
    <x v="6"/>
    <x v="0"/>
    <m/>
    <x v="0"/>
    <n v="0"/>
    <n v="12110000"/>
    <n v="-12110000"/>
    <m/>
    <m/>
    <m/>
    <m/>
    <s v="Supplier D"/>
  </r>
  <r>
    <x v="124"/>
    <x v="7"/>
    <x v="0"/>
    <m/>
    <x v="1"/>
    <n v="12330000"/>
    <n v="0"/>
    <n v="12330000"/>
    <m/>
    <m/>
    <m/>
    <m/>
    <s v="Supplier A"/>
  </r>
  <r>
    <x v="124"/>
    <x v="7"/>
    <x v="0"/>
    <m/>
    <x v="1"/>
    <n v="8524000"/>
    <n v="0"/>
    <n v="8524000"/>
    <m/>
    <m/>
    <m/>
    <m/>
    <s v="Supplier B"/>
  </r>
  <r>
    <x v="124"/>
    <x v="7"/>
    <x v="0"/>
    <m/>
    <x v="1"/>
    <n v="12428505"/>
    <n v="0"/>
    <n v="12428505"/>
    <m/>
    <m/>
    <m/>
    <m/>
    <s v="Supplier D"/>
  </r>
  <r>
    <x v="124"/>
    <x v="7"/>
    <x v="0"/>
    <m/>
    <x v="0"/>
    <n v="0"/>
    <n v="12330000"/>
    <n v="-12330000"/>
    <m/>
    <m/>
    <m/>
    <m/>
    <s v="Supplier A"/>
  </r>
  <r>
    <x v="124"/>
    <x v="7"/>
    <x v="0"/>
    <m/>
    <x v="0"/>
    <n v="0"/>
    <n v="8524000"/>
    <n v="-8524000"/>
    <m/>
    <m/>
    <m/>
    <m/>
    <s v="Supplier B"/>
  </r>
  <r>
    <x v="124"/>
    <x v="7"/>
    <x v="0"/>
    <m/>
    <x v="0"/>
    <n v="0"/>
    <n v="12428505"/>
    <n v="-12428505"/>
    <m/>
    <m/>
    <m/>
    <m/>
    <s v="Supplier D"/>
  </r>
  <r>
    <x v="139"/>
    <x v="8"/>
    <x v="0"/>
    <m/>
    <x v="1"/>
    <n v="9635000"/>
    <n v="0"/>
    <n v="9635000"/>
    <m/>
    <m/>
    <m/>
    <m/>
    <s v="Supplier A"/>
  </r>
  <r>
    <x v="139"/>
    <x v="8"/>
    <x v="0"/>
    <m/>
    <x v="1"/>
    <n v="8414000"/>
    <n v="0"/>
    <n v="8414000"/>
    <m/>
    <m/>
    <m/>
    <m/>
    <s v="Supplier B"/>
  </r>
  <r>
    <x v="139"/>
    <x v="8"/>
    <x v="0"/>
    <m/>
    <x v="1"/>
    <n v="10450885"/>
    <n v="0"/>
    <n v="10450885"/>
    <m/>
    <m/>
    <m/>
    <m/>
    <s v="Supplier D"/>
  </r>
  <r>
    <x v="139"/>
    <x v="8"/>
    <x v="0"/>
    <m/>
    <x v="0"/>
    <n v="0"/>
    <n v="9635000"/>
    <n v="-9635000"/>
    <m/>
    <m/>
    <m/>
    <m/>
    <s v="Supplier A"/>
  </r>
  <r>
    <x v="139"/>
    <x v="8"/>
    <x v="0"/>
    <m/>
    <x v="0"/>
    <n v="0"/>
    <n v="8414000"/>
    <n v="-8414000"/>
    <m/>
    <m/>
    <m/>
    <m/>
    <s v="Supplier B"/>
  </r>
  <r>
    <x v="139"/>
    <x v="8"/>
    <x v="0"/>
    <m/>
    <x v="0"/>
    <n v="0"/>
    <n v="10450885"/>
    <n v="-10450885"/>
    <m/>
    <m/>
    <m/>
    <m/>
    <s v="Supplier D"/>
  </r>
  <r>
    <x v="161"/>
    <x v="9"/>
    <x v="0"/>
    <m/>
    <x v="1"/>
    <n v="8065000"/>
    <n v="0"/>
    <n v="8065000"/>
    <m/>
    <m/>
    <m/>
    <m/>
    <s v="Supplier A"/>
  </r>
  <r>
    <x v="161"/>
    <x v="9"/>
    <x v="0"/>
    <m/>
    <x v="1"/>
    <n v="10724000"/>
    <n v="0"/>
    <n v="10724000"/>
    <m/>
    <m/>
    <m/>
    <m/>
    <s v="Supplier B"/>
  </r>
  <r>
    <x v="161"/>
    <x v="9"/>
    <x v="0"/>
    <m/>
    <x v="1"/>
    <n v="10854580"/>
    <n v="0"/>
    <n v="10854580"/>
    <m/>
    <m/>
    <m/>
    <m/>
    <s v="Supplier D"/>
  </r>
  <r>
    <x v="161"/>
    <x v="9"/>
    <x v="0"/>
    <m/>
    <x v="0"/>
    <n v="0"/>
    <n v="8065000"/>
    <n v="-8065000"/>
    <m/>
    <m/>
    <m/>
    <m/>
    <s v="Supplier A"/>
  </r>
  <r>
    <x v="161"/>
    <x v="9"/>
    <x v="0"/>
    <m/>
    <x v="0"/>
    <n v="0"/>
    <n v="10724000"/>
    <n v="-10724000"/>
    <m/>
    <m/>
    <m/>
    <m/>
    <s v="Supplier B"/>
  </r>
  <r>
    <x v="161"/>
    <x v="9"/>
    <x v="0"/>
    <m/>
    <x v="0"/>
    <n v="0"/>
    <n v="10854580"/>
    <n v="-10854580"/>
    <m/>
    <m/>
    <m/>
    <m/>
    <s v="Supplier D"/>
  </r>
  <r>
    <x v="184"/>
    <x v="10"/>
    <x v="0"/>
    <m/>
    <x v="1"/>
    <n v="11510000"/>
    <n v="0"/>
    <n v="11510000"/>
    <m/>
    <m/>
    <m/>
    <m/>
    <s v="Supplier A"/>
  </r>
  <r>
    <x v="184"/>
    <x v="10"/>
    <x v="0"/>
    <m/>
    <x v="1"/>
    <n v="8524000"/>
    <n v="0"/>
    <n v="8524000"/>
    <m/>
    <m/>
    <m/>
    <m/>
    <s v="Supplier B"/>
  </r>
  <r>
    <x v="184"/>
    <x v="10"/>
    <x v="0"/>
    <m/>
    <x v="1"/>
    <n v="10134580"/>
    <n v="0"/>
    <n v="10134580"/>
    <m/>
    <m/>
    <m/>
    <m/>
    <s v="Supplier D"/>
  </r>
  <r>
    <x v="184"/>
    <x v="10"/>
    <x v="0"/>
    <m/>
    <x v="0"/>
    <n v="0"/>
    <n v="11510000"/>
    <n v="-11510000"/>
    <m/>
    <m/>
    <m/>
    <m/>
    <s v="Supplier A"/>
  </r>
  <r>
    <x v="184"/>
    <x v="10"/>
    <x v="0"/>
    <m/>
    <x v="0"/>
    <n v="0"/>
    <n v="8524000"/>
    <n v="-8524000"/>
    <m/>
    <m/>
    <m/>
    <m/>
    <s v="Supplier B"/>
  </r>
  <r>
    <x v="184"/>
    <x v="10"/>
    <x v="0"/>
    <m/>
    <x v="0"/>
    <n v="0"/>
    <n v="10134580"/>
    <n v="-10134580"/>
    <m/>
    <m/>
    <m/>
    <m/>
    <s v="Supplier D"/>
  </r>
  <r>
    <x v="203"/>
    <x v="11"/>
    <x v="0"/>
    <m/>
    <x v="1"/>
    <n v="10580000"/>
    <n v="0"/>
    <n v="10580000"/>
    <m/>
    <m/>
    <m/>
    <m/>
    <s v="Supplier A"/>
  </r>
  <r>
    <x v="203"/>
    <x v="11"/>
    <x v="0"/>
    <m/>
    <x v="1"/>
    <n v="8524000"/>
    <n v="0"/>
    <n v="8524000"/>
    <m/>
    <m/>
    <m/>
    <m/>
    <s v="Supplier B"/>
  </r>
  <r>
    <x v="203"/>
    <x v="11"/>
    <x v="0"/>
    <m/>
    <x v="1"/>
    <n v="9845770"/>
    <n v="0"/>
    <n v="9845770"/>
    <m/>
    <m/>
    <m/>
    <m/>
    <s v="Supplier D"/>
  </r>
  <r>
    <x v="203"/>
    <x v="11"/>
    <x v="0"/>
    <m/>
    <x v="0"/>
    <n v="0"/>
    <n v="10580000"/>
    <n v="-10580000"/>
    <m/>
    <m/>
    <m/>
    <m/>
    <s v="Supplier A"/>
  </r>
  <r>
    <x v="203"/>
    <x v="11"/>
    <x v="0"/>
    <m/>
    <x v="0"/>
    <n v="0"/>
    <n v="8524000"/>
    <n v="-8524000"/>
    <m/>
    <m/>
    <m/>
    <m/>
    <s v="Supplier B"/>
  </r>
  <r>
    <x v="203"/>
    <x v="11"/>
    <x v="0"/>
    <m/>
    <x v="0"/>
    <n v="0"/>
    <n v="9845770"/>
    <n v="-9845770"/>
    <m/>
    <m/>
    <m/>
    <m/>
    <s v="Supplier D"/>
  </r>
  <r>
    <x v="159"/>
    <x v="8"/>
    <x v="0"/>
    <m/>
    <x v="2"/>
    <m/>
    <n v="444024"/>
    <n v="-444024"/>
    <m/>
    <m/>
    <m/>
    <s v="Product C"/>
    <s v="Client 3"/>
  </r>
  <r>
    <x v="180"/>
    <x v="9"/>
    <x v="0"/>
    <m/>
    <x v="2"/>
    <n v="173664"/>
    <m/>
    <n v="173664"/>
    <m/>
    <m/>
    <m/>
    <s v="Product C"/>
    <s v="Client 3"/>
  </r>
  <r>
    <x v="194"/>
    <x v="10"/>
    <x v="0"/>
    <m/>
    <x v="2"/>
    <n v="846141"/>
    <m/>
    <n v="846141"/>
    <m/>
    <m/>
    <m/>
    <s v="Product C"/>
    <s v="Client 3"/>
  </r>
  <r>
    <x v="221"/>
    <x v="11"/>
    <x v="0"/>
    <m/>
    <x v="2"/>
    <n v="369024"/>
    <m/>
    <n v="369024"/>
    <m/>
    <m/>
    <m/>
    <s v="Product C"/>
    <s v="Client 3"/>
  </r>
  <r>
    <x v="223"/>
    <x v="11"/>
    <x v="0"/>
    <m/>
    <x v="2"/>
    <m/>
    <n v="846141"/>
    <n v="-846141"/>
    <m/>
    <m/>
    <m/>
    <s v="Product C"/>
    <s v="Client 3"/>
  </r>
  <r>
    <x v="224"/>
    <x v="11"/>
    <x v="0"/>
    <m/>
    <x v="2"/>
    <m/>
    <n v="383184"/>
    <n v="-383184"/>
    <m/>
    <m/>
    <m/>
    <s v="Product C"/>
    <s v="Client 3"/>
  </r>
  <r>
    <x v="237"/>
    <x v="1"/>
    <x v="1"/>
    <m/>
    <x v="2"/>
    <m/>
    <n v="173664"/>
    <n v="-173664"/>
    <m/>
    <m/>
    <m/>
    <s v="Product C"/>
    <s v="Client 3"/>
  </r>
  <r>
    <x v="253"/>
    <x v="3"/>
    <x v="1"/>
    <m/>
    <x v="2"/>
    <m/>
    <n v="369024"/>
    <n v="-369024"/>
    <m/>
    <m/>
    <m/>
    <s v="Product C"/>
    <s v="Client 3"/>
  </r>
  <r>
    <x v="0"/>
    <x v="0"/>
    <x v="0"/>
    <m/>
    <x v="2"/>
    <n v="4248900"/>
    <m/>
    <n v="4248900"/>
    <m/>
    <m/>
    <m/>
    <m/>
    <s v="Client 1"/>
  </r>
  <r>
    <x v="0"/>
    <x v="0"/>
    <x v="0"/>
    <m/>
    <x v="2"/>
    <n v="1110474"/>
    <m/>
    <n v="1110474"/>
    <m/>
    <m/>
    <m/>
    <m/>
    <s v="Client 10"/>
  </r>
  <r>
    <x v="0"/>
    <x v="0"/>
    <x v="0"/>
    <m/>
    <x v="2"/>
    <n v="872984"/>
    <m/>
    <n v="872984"/>
    <m/>
    <m/>
    <m/>
    <m/>
    <s v="Client 2"/>
  </r>
  <r>
    <x v="0"/>
    <x v="0"/>
    <x v="0"/>
    <m/>
    <x v="2"/>
    <n v="601126"/>
    <m/>
    <n v="601126"/>
    <m/>
    <m/>
    <m/>
    <m/>
    <s v="Client 3"/>
  </r>
  <r>
    <x v="0"/>
    <x v="0"/>
    <x v="0"/>
    <m/>
    <x v="2"/>
    <n v="2644640"/>
    <m/>
    <n v="2644640"/>
    <m/>
    <m/>
    <m/>
    <m/>
    <s v="Client 4"/>
  </r>
  <r>
    <x v="0"/>
    <x v="0"/>
    <x v="0"/>
    <m/>
    <x v="2"/>
    <n v="1115827"/>
    <m/>
    <n v="1115827"/>
    <m/>
    <m/>
    <m/>
    <m/>
    <s v="Client 5"/>
  </r>
  <r>
    <x v="0"/>
    <x v="0"/>
    <x v="0"/>
    <m/>
    <x v="2"/>
    <n v="550988"/>
    <m/>
    <n v="550988"/>
    <m/>
    <m/>
    <m/>
    <m/>
    <s v="Client 6"/>
  </r>
  <r>
    <x v="0"/>
    <x v="0"/>
    <x v="0"/>
    <m/>
    <x v="2"/>
    <n v="1756304"/>
    <m/>
    <n v="1756304"/>
    <m/>
    <m/>
    <m/>
    <m/>
    <s v="Client 7"/>
  </r>
  <r>
    <x v="0"/>
    <x v="0"/>
    <x v="0"/>
    <m/>
    <x v="2"/>
    <n v="1005360"/>
    <m/>
    <n v="1005360"/>
    <m/>
    <m/>
    <m/>
    <m/>
    <s v="Client 8"/>
  </r>
  <r>
    <x v="0"/>
    <x v="0"/>
    <x v="0"/>
    <m/>
    <x v="2"/>
    <n v="1839104"/>
    <m/>
    <n v="1839104"/>
    <m/>
    <m/>
    <m/>
    <m/>
    <s v="Client 9"/>
  </r>
  <r>
    <x v="28"/>
    <x v="3"/>
    <x v="0"/>
    <m/>
    <x v="2"/>
    <n v="6673173"/>
    <m/>
    <n v="6673173"/>
    <m/>
    <m/>
    <m/>
    <m/>
    <s v="Client 1"/>
  </r>
  <r>
    <x v="28"/>
    <x v="3"/>
    <x v="0"/>
    <m/>
    <x v="2"/>
    <n v="3125394"/>
    <m/>
    <n v="3125394"/>
    <m/>
    <m/>
    <m/>
    <m/>
    <s v="Client 10"/>
  </r>
  <r>
    <x v="28"/>
    <x v="3"/>
    <x v="0"/>
    <m/>
    <x v="2"/>
    <n v="1898699"/>
    <m/>
    <n v="1898699"/>
    <m/>
    <m/>
    <m/>
    <m/>
    <s v="Client 2"/>
  </r>
  <r>
    <x v="28"/>
    <x v="3"/>
    <x v="0"/>
    <m/>
    <x v="2"/>
    <n v="273400"/>
    <m/>
    <n v="273400"/>
    <m/>
    <m/>
    <m/>
    <m/>
    <s v="Client 3"/>
  </r>
  <r>
    <x v="28"/>
    <x v="3"/>
    <x v="0"/>
    <m/>
    <x v="2"/>
    <n v="3993022"/>
    <m/>
    <n v="3993022"/>
    <m/>
    <m/>
    <m/>
    <m/>
    <s v="Client 4"/>
  </r>
  <r>
    <x v="28"/>
    <x v="3"/>
    <x v="0"/>
    <m/>
    <x v="2"/>
    <n v="2943565"/>
    <m/>
    <n v="2943565"/>
    <m/>
    <m/>
    <m/>
    <m/>
    <s v="Client 5"/>
  </r>
  <r>
    <x v="28"/>
    <x v="3"/>
    <x v="0"/>
    <m/>
    <x v="2"/>
    <n v="1034759"/>
    <m/>
    <n v="1034759"/>
    <m/>
    <m/>
    <m/>
    <m/>
    <s v="Client 6"/>
  </r>
  <r>
    <x v="28"/>
    <x v="3"/>
    <x v="0"/>
    <m/>
    <x v="2"/>
    <n v="3038564"/>
    <m/>
    <n v="3038564"/>
    <m/>
    <m/>
    <m/>
    <m/>
    <s v="Client 7"/>
  </r>
  <r>
    <x v="28"/>
    <x v="3"/>
    <x v="0"/>
    <m/>
    <x v="2"/>
    <n v="1548704"/>
    <m/>
    <n v="1548704"/>
    <m/>
    <m/>
    <m/>
    <m/>
    <s v="Client 8"/>
  </r>
  <r>
    <x v="28"/>
    <x v="3"/>
    <x v="0"/>
    <m/>
    <x v="2"/>
    <n v="3341768"/>
    <m/>
    <n v="3341768"/>
    <m/>
    <m/>
    <m/>
    <m/>
    <s v="Client 9"/>
  </r>
  <r>
    <x v="45"/>
    <x v="2"/>
    <x v="0"/>
    <m/>
    <x v="2"/>
    <n v="10445751"/>
    <m/>
    <n v="10445751"/>
    <m/>
    <m/>
    <m/>
    <m/>
    <s v="Client 1"/>
  </r>
  <r>
    <x v="45"/>
    <x v="2"/>
    <x v="0"/>
    <m/>
    <x v="2"/>
    <n v="2387086"/>
    <m/>
    <n v="2387086"/>
    <m/>
    <m/>
    <m/>
    <m/>
    <s v="Client 10"/>
  </r>
  <r>
    <x v="45"/>
    <x v="2"/>
    <x v="0"/>
    <m/>
    <x v="2"/>
    <n v="2949661"/>
    <m/>
    <n v="2949661"/>
    <m/>
    <m/>
    <m/>
    <m/>
    <s v="Client 2"/>
  </r>
  <r>
    <x v="45"/>
    <x v="2"/>
    <x v="0"/>
    <m/>
    <x v="2"/>
    <n v="1491121"/>
    <m/>
    <n v="1491121"/>
    <m/>
    <m/>
    <m/>
    <m/>
    <s v="Client 3"/>
  </r>
  <r>
    <x v="45"/>
    <x v="2"/>
    <x v="0"/>
    <m/>
    <x v="2"/>
    <n v="4209532"/>
    <m/>
    <n v="4209532"/>
    <m/>
    <m/>
    <m/>
    <m/>
    <s v="Client 4"/>
  </r>
  <r>
    <x v="45"/>
    <x v="2"/>
    <x v="0"/>
    <m/>
    <x v="2"/>
    <n v="3365422"/>
    <m/>
    <n v="3365422"/>
    <m/>
    <m/>
    <m/>
    <m/>
    <s v="Client 5"/>
  </r>
  <r>
    <x v="45"/>
    <x v="2"/>
    <x v="0"/>
    <m/>
    <x v="2"/>
    <n v="1069643"/>
    <m/>
    <n v="1069643"/>
    <m/>
    <m/>
    <m/>
    <m/>
    <s v="Client 6"/>
  </r>
  <r>
    <x v="45"/>
    <x v="2"/>
    <x v="0"/>
    <m/>
    <x v="2"/>
    <n v="3485542"/>
    <m/>
    <n v="3485542"/>
    <m/>
    <m/>
    <m/>
    <m/>
    <s v="Client 7"/>
  </r>
  <r>
    <x v="45"/>
    <x v="2"/>
    <x v="0"/>
    <m/>
    <x v="2"/>
    <n v="2951664"/>
    <m/>
    <n v="2951664"/>
    <m/>
    <m/>
    <m/>
    <m/>
    <s v="Client 8"/>
  </r>
  <r>
    <x v="45"/>
    <x v="2"/>
    <x v="0"/>
    <m/>
    <x v="2"/>
    <n v="2503520"/>
    <m/>
    <n v="2503520"/>
    <m/>
    <m/>
    <m/>
    <m/>
    <s v="Client 9"/>
  </r>
  <r>
    <x v="65"/>
    <x v="4"/>
    <x v="0"/>
    <m/>
    <x v="2"/>
    <n v="6605202"/>
    <m/>
    <n v="6605202"/>
    <m/>
    <m/>
    <m/>
    <m/>
    <s v="Client 1"/>
  </r>
  <r>
    <x v="65"/>
    <x v="4"/>
    <x v="0"/>
    <m/>
    <x v="2"/>
    <n v="1468482"/>
    <m/>
    <n v="1468482"/>
    <m/>
    <m/>
    <m/>
    <m/>
    <s v="Client 10"/>
  </r>
  <r>
    <x v="65"/>
    <x v="4"/>
    <x v="0"/>
    <m/>
    <x v="2"/>
    <n v="3506495"/>
    <m/>
    <n v="3506495"/>
    <m/>
    <m/>
    <m/>
    <m/>
    <s v="Client 2"/>
  </r>
  <r>
    <x v="65"/>
    <x v="4"/>
    <x v="0"/>
    <m/>
    <x v="2"/>
    <n v="2957728"/>
    <m/>
    <n v="2957728"/>
    <m/>
    <m/>
    <m/>
    <m/>
    <s v="Client 3"/>
  </r>
  <r>
    <x v="65"/>
    <x v="4"/>
    <x v="0"/>
    <m/>
    <x v="2"/>
    <n v="1934832"/>
    <m/>
    <n v="1934832"/>
    <m/>
    <m/>
    <m/>
    <m/>
    <s v="Client 4"/>
  </r>
  <r>
    <x v="65"/>
    <x v="4"/>
    <x v="0"/>
    <m/>
    <x v="2"/>
    <n v="1672612"/>
    <m/>
    <n v="1672612"/>
    <m/>
    <m/>
    <m/>
    <m/>
    <s v="Client 5"/>
  </r>
  <r>
    <x v="65"/>
    <x v="4"/>
    <x v="0"/>
    <m/>
    <x v="2"/>
    <n v="1627838"/>
    <m/>
    <n v="1627838"/>
    <m/>
    <m/>
    <m/>
    <m/>
    <s v="Client 6"/>
  </r>
  <r>
    <x v="65"/>
    <x v="4"/>
    <x v="0"/>
    <m/>
    <x v="2"/>
    <n v="440505"/>
    <m/>
    <n v="440505"/>
    <m/>
    <m/>
    <m/>
    <m/>
    <s v="Client 7"/>
  </r>
  <r>
    <x v="65"/>
    <x v="4"/>
    <x v="0"/>
    <m/>
    <x v="2"/>
    <n v="3080200"/>
    <m/>
    <n v="3080200"/>
    <m/>
    <m/>
    <m/>
    <m/>
    <s v="Client 8"/>
  </r>
  <r>
    <x v="65"/>
    <x v="4"/>
    <x v="0"/>
    <m/>
    <x v="2"/>
    <n v="2322432"/>
    <m/>
    <n v="2322432"/>
    <m/>
    <m/>
    <m/>
    <m/>
    <s v="Client 9"/>
  </r>
  <r>
    <x v="84"/>
    <x v="5"/>
    <x v="0"/>
    <m/>
    <x v="2"/>
    <n v="6609510"/>
    <m/>
    <n v="6609510"/>
    <m/>
    <m/>
    <m/>
    <m/>
    <s v="Client 1"/>
  </r>
  <r>
    <x v="84"/>
    <x v="5"/>
    <x v="0"/>
    <m/>
    <x v="2"/>
    <n v="2434652"/>
    <m/>
    <n v="2434652"/>
    <m/>
    <m/>
    <m/>
    <m/>
    <s v="Client 10"/>
  </r>
  <r>
    <x v="84"/>
    <x v="5"/>
    <x v="0"/>
    <m/>
    <x v="2"/>
    <n v="3382850"/>
    <m/>
    <n v="3382850"/>
    <m/>
    <m/>
    <m/>
    <m/>
    <s v="Client 2"/>
  </r>
  <r>
    <x v="84"/>
    <x v="5"/>
    <x v="0"/>
    <m/>
    <x v="2"/>
    <n v="1640395"/>
    <m/>
    <n v="1640395"/>
    <m/>
    <m/>
    <m/>
    <m/>
    <s v="Client 3"/>
  </r>
  <r>
    <x v="84"/>
    <x v="5"/>
    <x v="0"/>
    <m/>
    <x v="2"/>
    <n v="2780841"/>
    <m/>
    <n v="2780841"/>
    <m/>
    <m/>
    <m/>
    <m/>
    <s v="Client 4"/>
  </r>
  <r>
    <x v="84"/>
    <x v="5"/>
    <x v="0"/>
    <m/>
    <x v="2"/>
    <n v="1817875"/>
    <m/>
    <n v="1817875"/>
    <m/>
    <m/>
    <m/>
    <m/>
    <s v="Client 5"/>
  </r>
  <r>
    <x v="84"/>
    <x v="5"/>
    <x v="0"/>
    <m/>
    <x v="2"/>
    <n v="1755354"/>
    <m/>
    <n v="1755354"/>
    <m/>
    <m/>
    <m/>
    <m/>
    <s v="Client 6"/>
  </r>
  <r>
    <x v="84"/>
    <x v="5"/>
    <x v="0"/>
    <m/>
    <x v="2"/>
    <n v="1374009"/>
    <m/>
    <n v="1374009"/>
    <m/>
    <m/>
    <m/>
    <m/>
    <s v="Client 7"/>
  </r>
  <r>
    <x v="84"/>
    <x v="5"/>
    <x v="0"/>
    <m/>
    <x v="2"/>
    <n v="2064221"/>
    <m/>
    <n v="2064221"/>
    <m/>
    <m/>
    <m/>
    <m/>
    <s v="Client 8"/>
  </r>
  <r>
    <x v="84"/>
    <x v="5"/>
    <x v="0"/>
    <m/>
    <x v="2"/>
    <n v="3556080"/>
    <m/>
    <n v="3556080"/>
    <m/>
    <m/>
    <m/>
    <m/>
    <s v="Client 9"/>
  </r>
  <r>
    <x v="103"/>
    <x v="6"/>
    <x v="0"/>
    <m/>
    <x v="2"/>
    <n v="6336828"/>
    <m/>
    <n v="6336828"/>
    <m/>
    <m/>
    <m/>
    <m/>
    <s v="Client 1"/>
  </r>
  <r>
    <x v="103"/>
    <x v="6"/>
    <x v="0"/>
    <m/>
    <x v="2"/>
    <n v="1938936"/>
    <m/>
    <n v="1938936"/>
    <m/>
    <m/>
    <m/>
    <m/>
    <s v="Client 10"/>
  </r>
  <r>
    <x v="103"/>
    <x v="6"/>
    <x v="0"/>
    <m/>
    <x v="2"/>
    <n v="2847533"/>
    <m/>
    <n v="2847533"/>
    <m/>
    <m/>
    <m/>
    <m/>
    <s v="Client 2"/>
  </r>
  <r>
    <x v="103"/>
    <x v="6"/>
    <x v="0"/>
    <m/>
    <x v="2"/>
    <n v="3224775"/>
    <m/>
    <n v="3224775"/>
    <m/>
    <m/>
    <m/>
    <m/>
    <s v="Client 3"/>
  </r>
  <r>
    <x v="103"/>
    <x v="6"/>
    <x v="0"/>
    <m/>
    <x v="2"/>
    <n v="3695992"/>
    <m/>
    <n v="3695992"/>
    <m/>
    <m/>
    <m/>
    <m/>
    <s v="Client 4"/>
  </r>
  <r>
    <x v="103"/>
    <x v="6"/>
    <x v="0"/>
    <m/>
    <x v="2"/>
    <n v="2622219"/>
    <m/>
    <n v="2622219"/>
    <m/>
    <m/>
    <m/>
    <m/>
    <s v="Client 5"/>
  </r>
  <r>
    <x v="103"/>
    <x v="6"/>
    <x v="0"/>
    <m/>
    <x v="2"/>
    <n v="1946911"/>
    <m/>
    <n v="1946911"/>
    <m/>
    <m/>
    <m/>
    <m/>
    <s v="Client 6"/>
  </r>
  <r>
    <x v="103"/>
    <x v="6"/>
    <x v="0"/>
    <m/>
    <x v="2"/>
    <n v="2533749"/>
    <m/>
    <n v="2533749"/>
    <m/>
    <m/>
    <m/>
    <m/>
    <s v="Client 7"/>
  </r>
  <r>
    <x v="103"/>
    <x v="6"/>
    <x v="0"/>
    <m/>
    <x v="2"/>
    <n v="2569734"/>
    <m/>
    <n v="2569734"/>
    <m/>
    <m/>
    <m/>
    <m/>
    <s v="Client 8"/>
  </r>
  <r>
    <x v="103"/>
    <x v="6"/>
    <x v="0"/>
    <m/>
    <x v="2"/>
    <n v="4532695"/>
    <m/>
    <n v="4532695"/>
    <m/>
    <m/>
    <m/>
    <m/>
    <s v="Client 9"/>
  </r>
  <r>
    <x v="124"/>
    <x v="7"/>
    <x v="0"/>
    <m/>
    <x v="2"/>
    <n v="9497898"/>
    <m/>
    <n v="9497898"/>
    <m/>
    <m/>
    <m/>
    <m/>
    <s v="Client 1"/>
  </r>
  <r>
    <x v="124"/>
    <x v="7"/>
    <x v="0"/>
    <m/>
    <x v="2"/>
    <n v="2516152"/>
    <m/>
    <n v="2516152"/>
    <m/>
    <m/>
    <m/>
    <m/>
    <s v="Client 10"/>
  </r>
  <r>
    <x v="124"/>
    <x v="7"/>
    <x v="0"/>
    <m/>
    <x v="2"/>
    <n v="1534676"/>
    <m/>
    <n v="1534676"/>
    <m/>
    <m/>
    <m/>
    <m/>
    <s v="Client 2"/>
  </r>
  <r>
    <x v="124"/>
    <x v="7"/>
    <x v="0"/>
    <m/>
    <x v="2"/>
    <n v="1924720"/>
    <m/>
    <n v="1924720"/>
    <m/>
    <m/>
    <m/>
    <m/>
    <s v="Client 3"/>
  </r>
  <r>
    <x v="124"/>
    <x v="7"/>
    <x v="0"/>
    <m/>
    <x v="2"/>
    <n v="3751603"/>
    <m/>
    <n v="3751603"/>
    <m/>
    <m/>
    <m/>
    <m/>
    <s v="Client 4"/>
  </r>
  <r>
    <x v="124"/>
    <x v="7"/>
    <x v="0"/>
    <m/>
    <x v="2"/>
    <n v="1559044"/>
    <m/>
    <n v="1559044"/>
    <m/>
    <m/>
    <m/>
    <m/>
    <s v="Client 5"/>
  </r>
  <r>
    <x v="124"/>
    <x v="7"/>
    <x v="0"/>
    <m/>
    <x v="2"/>
    <n v="1345718"/>
    <m/>
    <n v="1345718"/>
    <m/>
    <m/>
    <m/>
    <m/>
    <s v="Client 6"/>
  </r>
  <r>
    <x v="124"/>
    <x v="7"/>
    <x v="0"/>
    <m/>
    <x v="2"/>
    <n v="3857622"/>
    <m/>
    <n v="3857622"/>
    <m/>
    <m/>
    <m/>
    <m/>
    <s v="Client 7"/>
  </r>
  <r>
    <x v="124"/>
    <x v="7"/>
    <x v="0"/>
    <m/>
    <x v="2"/>
    <n v="1699393"/>
    <m/>
    <n v="1699393"/>
    <m/>
    <m/>
    <m/>
    <m/>
    <s v="Client 8"/>
  </r>
  <r>
    <x v="124"/>
    <x v="7"/>
    <x v="0"/>
    <m/>
    <x v="2"/>
    <n v="3782410"/>
    <m/>
    <n v="3782410"/>
    <m/>
    <m/>
    <m/>
    <m/>
    <s v="Client 9"/>
  </r>
  <r>
    <x v="139"/>
    <x v="8"/>
    <x v="0"/>
    <m/>
    <x v="2"/>
    <n v="4815420"/>
    <m/>
    <n v="4815420"/>
    <m/>
    <m/>
    <m/>
    <m/>
    <s v="Client 1"/>
  </r>
  <r>
    <x v="139"/>
    <x v="8"/>
    <x v="0"/>
    <m/>
    <x v="2"/>
    <n v="1182394"/>
    <m/>
    <n v="1182394"/>
    <m/>
    <m/>
    <m/>
    <m/>
    <s v="Client 10"/>
  </r>
  <r>
    <x v="139"/>
    <x v="8"/>
    <x v="0"/>
    <m/>
    <x v="2"/>
    <n v="2374455"/>
    <m/>
    <n v="2374455"/>
    <m/>
    <m/>
    <m/>
    <m/>
    <s v="Client 2"/>
  </r>
  <r>
    <x v="139"/>
    <x v="8"/>
    <x v="0"/>
    <m/>
    <x v="2"/>
    <n v="2194956"/>
    <m/>
    <n v="2194956"/>
    <m/>
    <m/>
    <m/>
    <m/>
    <s v="Client 3"/>
  </r>
  <r>
    <x v="139"/>
    <x v="8"/>
    <x v="0"/>
    <m/>
    <x v="2"/>
    <n v="4368044"/>
    <m/>
    <n v="4368044"/>
    <m/>
    <m/>
    <m/>
    <m/>
    <s v="Client 4"/>
  </r>
  <r>
    <x v="139"/>
    <x v="8"/>
    <x v="0"/>
    <m/>
    <x v="2"/>
    <n v="1511584"/>
    <m/>
    <n v="1511584"/>
    <m/>
    <m/>
    <m/>
    <m/>
    <s v="Client 5"/>
  </r>
  <r>
    <x v="139"/>
    <x v="8"/>
    <x v="0"/>
    <m/>
    <x v="2"/>
    <n v="2054042"/>
    <m/>
    <n v="2054042"/>
    <m/>
    <m/>
    <m/>
    <m/>
    <s v="Client 6"/>
  </r>
  <r>
    <x v="139"/>
    <x v="8"/>
    <x v="0"/>
    <m/>
    <x v="2"/>
    <n v="5019692"/>
    <m/>
    <n v="5019692"/>
    <m/>
    <m/>
    <m/>
    <m/>
    <s v="Client 7"/>
  </r>
  <r>
    <x v="139"/>
    <x v="8"/>
    <x v="0"/>
    <m/>
    <x v="2"/>
    <n v="3317479"/>
    <m/>
    <n v="3317479"/>
    <m/>
    <m/>
    <m/>
    <m/>
    <s v="Client 8"/>
  </r>
  <r>
    <x v="139"/>
    <x v="8"/>
    <x v="0"/>
    <m/>
    <x v="2"/>
    <n v="5082352"/>
    <m/>
    <n v="5082352"/>
    <m/>
    <m/>
    <m/>
    <m/>
    <s v="Client 9"/>
  </r>
  <r>
    <x v="161"/>
    <x v="9"/>
    <x v="0"/>
    <m/>
    <x v="2"/>
    <n v="6914139"/>
    <m/>
    <n v="6914139"/>
    <m/>
    <m/>
    <m/>
    <m/>
    <s v="Client 1"/>
  </r>
  <r>
    <x v="161"/>
    <x v="9"/>
    <x v="0"/>
    <m/>
    <x v="2"/>
    <n v="1736558"/>
    <m/>
    <n v="1736558"/>
    <m/>
    <m/>
    <m/>
    <m/>
    <s v="Client 10"/>
  </r>
  <r>
    <x v="161"/>
    <x v="9"/>
    <x v="0"/>
    <m/>
    <x v="2"/>
    <n v="3772215"/>
    <m/>
    <n v="3772215"/>
    <m/>
    <m/>
    <m/>
    <m/>
    <s v="Client 2"/>
  </r>
  <r>
    <x v="161"/>
    <x v="9"/>
    <x v="0"/>
    <m/>
    <x v="2"/>
    <n v="383184"/>
    <m/>
    <n v="383184"/>
    <m/>
    <m/>
    <m/>
    <m/>
    <s v="Client 3"/>
  </r>
  <r>
    <x v="161"/>
    <x v="9"/>
    <x v="0"/>
    <m/>
    <x v="2"/>
    <n v="5768280"/>
    <m/>
    <n v="5768280"/>
    <m/>
    <m/>
    <m/>
    <m/>
    <s v="Client 4"/>
  </r>
  <r>
    <x v="161"/>
    <x v="9"/>
    <x v="0"/>
    <m/>
    <x v="2"/>
    <n v="2733737"/>
    <m/>
    <n v="2733737"/>
    <m/>
    <m/>
    <m/>
    <m/>
    <s v="Client 5"/>
  </r>
  <r>
    <x v="161"/>
    <x v="9"/>
    <x v="0"/>
    <m/>
    <x v="2"/>
    <n v="2061484"/>
    <m/>
    <n v="2061484"/>
    <m/>
    <m/>
    <m/>
    <m/>
    <s v="Client 6"/>
  </r>
  <r>
    <x v="161"/>
    <x v="9"/>
    <x v="0"/>
    <m/>
    <x v="2"/>
    <n v="3415572"/>
    <m/>
    <n v="3415572"/>
    <m/>
    <m/>
    <m/>
    <m/>
    <s v="Client 7"/>
  </r>
  <r>
    <x v="161"/>
    <x v="9"/>
    <x v="0"/>
    <m/>
    <x v="2"/>
    <n v="2669934"/>
    <m/>
    <n v="2669934"/>
    <m/>
    <m/>
    <m/>
    <m/>
    <s v="Client 8"/>
  </r>
  <r>
    <x v="161"/>
    <x v="9"/>
    <x v="0"/>
    <m/>
    <x v="2"/>
    <n v="2360659"/>
    <m/>
    <n v="2360659"/>
    <m/>
    <m/>
    <m/>
    <m/>
    <s v="Client 9"/>
  </r>
  <r>
    <x v="184"/>
    <x v="10"/>
    <x v="0"/>
    <m/>
    <x v="2"/>
    <n v="6418329"/>
    <m/>
    <n v="6418329"/>
    <m/>
    <m/>
    <m/>
    <m/>
    <s v="Client 1"/>
  </r>
  <r>
    <x v="184"/>
    <x v="10"/>
    <x v="0"/>
    <m/>
    <x v="2"/>
    <n v="2143499"/>
    <m/>
    <n v="2143499"/>
    <m/>
    <m/>
    <m/>
    <m/>
    <s v="Client 10"/>
  </r>
  <r>
    <x v="184"/>
    <x v="10"/>
    <x v="0"/>
    <m/>
    <x v="2"/>
    <n v="3179145"/>
    <m/>
    <n v="3179145"/>
    <m/>
    <m/>
    <m/>
    <m/>
    <s v="Client 2"/>
  </r>
  <r>
    <x v="184"/>
    <x v="10"/>
    <x v="0"/>
    <m/>
    <x v="2"/>
    <n v="556848"/>
    <m/>
    <n v="556848"/>
    <m/>
    <m/>
    <m/>
    <m/>
    <s v="Client 3"/>
  </r>
  <r>
    <x v="184"/>
    <x v="10"/>
    <x v="0"/>
    <m/>
    <x v="2"/>
    <n v="2347266"/>
    <m/>
    <n v="2347266"/>
    <m/>
    <m/>
    <m/>
    <m/>
    <s v="Client 4"/>
  </r>
  <r>
    <x v="184"/>
    <x v="10"/>
    <x v="0"/>
    <m/>
    <x v="2"/>
    <n v="3375273"/>
    <m/>
    <n v="3375273"/>
    <m/>
    <m/>
    <m/>
    <m/>
    <s v="Client 5"/>
  </r>
  <r>
    <x v="184"/>
    <x v="10"/>
    <x v="0"/>
    <m/>
    <x v="2"/>
    <n v="1170435"/>
    <m/>
    <n v="1170435"/>
    <m/>
    <m/>
    <m/>
    <m/>
    <s v="Client 6"/>
  </r>
  <r>
    <x v="184"/>
    <x v="10"/>
    <x v="0"/>
    <m/>
    <x v="2"/>
    <n v="1638358"/>
    <m/>
    <n v="1638358"/>
    <m/>
    <m/>
    <m/>
    <m/>
    <s v="Client 7"/>
  </r>
  <r>
    <x v="184"/>
    <x v="10"/>
    <x v="0"/>
    <m/>
    <x v="2"/>
    <n v="2443068"/>
    <m/>
    <n v="2443068"/>
    <m/>
    <m/>
    <m/>
    <m/>
    <s v="Client 8"/>
  </r>
  <r>
    <x v="184"/>
    <x v="10"/>
    <x v="0"/>
    <m/>
    <x v="2"/>
    <n v="2578330"/>
    <m/>
    <n v="2578330"/>
    <m/>
    <m/>
    <m/>
    <m/>
    <s v="Client 9"/>
  </r>
  <r>
    <x v="203"/>
    <x v="11"/>
    <x v="0"/>
    <m/>
    <x v="2"/>
    <n v="3494754"/>
    <m/>
    <n v="3494754"/>
    <m/>
    <m/>
    <m/>
    <m/>
    <s v="Client 1"/>
  </r>
  <r>
    <x v="203"/>
    <x v="11"/>
    <x v="0"/>
    <m/>
    <x v="2"/>
    <n v="3254959"/>
    <m/>
    <n v="3254959"/>
    <m/>
    <m/>
    <m/>
    <m/>
    <s v="Client 10"/>
  </r>
  <r>
    <x v="203"/>
    <x v="11"/>
    <x v="0"/>
    <m/>
    <x v="2"/>
    <n v="3940695"/>
    <m/>
    <n v="3940695"/>
    <m/>
    <m/>
    <m/>
    <m/>
    <s v="Client 2"/>
  </r>
  <r>
    <x v="203"/>
    <x v="11"/>
    <x v="0"/>
    <m/>
    <x v="2"/>
    <n v="1402989"/>
    <m/>
    <n v="1402989"/>
    <m/>
    <m/>
    <m/>
    <m/>
    <s v="Client 3"/>
  </r>
  <r>
    <x v="203"/>
    <x v="11"/>
    <x v="0"/>
    <m/>
    <x v="2"/>
    <n v="3176834"/>
    <m/>
    <n v="3176834"/>
    <m/>
    <m/>
    <m/>
    <m/>
    <s v="Client 4"/>
  </r>
  <r>
    <x v="203"/>
    <x v="11"/>
    <x v="0"/>
    <m/>
    <x v="2"/>
    <n v="4487293"/>
    <m/>
    <n v="4487293"/>
    <m/>
    <m/>
    <m/>
    <m/>
    <s v="Client 5"/>
  </r>
  <r>
    <x v="203"/>
    <x v="11"/>
    <x v="0"/>
    <m/>
    <x v="2"/>
    <n v="1206642"/>
    <m/>
    <n v="1206642"/>
    <m/>
    <m/>
    <m/>
    <m/>
    <s v="Client 6"/>
  </r>
  <r>
    <x v="203"/>
    <x v="11"/>
    <x v="0"/>
    <m/>
    <x v="2"/>
    <n v="1905794"/>
    <m/>
    <n v="1905794"/>
    <m/>
    <m/>
    <m/>
    <m/>
    <s v="Client 7"/>
  </r>
  <r>
    <x v="203"/>
    <x v="11"/>
    <x v="0"/>
    <m/>
    <x v="2"/>
    <n v="1467324"/>
    <m/>
    <n v="1467324"/>
    <m/>
    <m/>
    <m/>
    <m/>
    <s v="Client 8"/>
  </r>
  <r>
    <x v="203"/>
    <x v="11"/>
    <x v="0"/>
    <m/>
    <x v="2"/>
    <n v="3811562"/>
    <m/>
    <n v="3811562"/>
    <m/>
    <m/>
    <m/>
    <m/>
    <s v="Client 9"/>
  </r>
  <r>
    <x v="0"/>
    <x v="0"/>
    <x v="0"/>
    <m/>
    <x v="26"/>
    <m/>
    <n v="4248900"/>
    <n v="-4248900"/>
    <m/>
    <m/>
    <m/>
    <m/>
    <s v="Client 1"/>
  </r>
  <r>
    <x v="0"/>
    <x v="0"/>
    <x v="0"/>
    <m/>
    <x v="26"/>
    <m/>
    <n v="1110474"/>
    <n v="-1110474"/>
    <m/>
    <m/>
    <m/>
    <m/>
    <s v="Client 10"/>
  </r>
  <r>
    <x v="0"/>
    <x v="0"/>
    <x v="0"/>
    <m/>
    <x v="26"/>
    <m/>
    <n v="872984"/>
    <n v="-872984"/>
    <m/>
    <m/>
    <m/>
    <m/>
    <s v="Client 2"/>
  </r>
  <r>
    <x v="0"/>
    <x v="0"/>
    <x v="0"/>
    <m/>
    <x v="26"/>
    <m/>
    <n v="601126"/>
    <n v="-601126"/>
    <m/>
    <m/>
    <m/>
    <m/>
    <s v="Client 3"/>
  </r>
  <r>
    <x v="0"/>
    <x v="0"/>
    <x v="0"/>
    <m/>
    <x v="26"/>
    <m/>
    <n v="2644640"/>
    <n v="-2644640"/>
    <m/>
    <m/>
    <m/>
    <m/>
    <s v="Client 4"/>
  </r>
  <r>
    <x v="0"/>
    <x v="0"/>
    <x v="0"/>
    <m/>
    <x v="26"/>
    <m/>
    <n v="1115827"/>
    <n v="-1115827"/>
    <m/>
    <m/>
    <m/>
    <m/>
    <s v="Client 5"/>
  </r>
  <r>
    <x v="0"/>
    <x v="0"/>
    <x v="0"/>
    <m/>
    <x v="26"/>
    <m/>
    <n v="550988"/>
    <n v="-550988"/>
    <m/>
    <m/>
    <m/>
    <m/>
    <s v="Client 6"/>
  </r>
  <r>
    <x v="0"/>
    <x v="0"/>
    <x v="0"/>
    <m/>
    <x v="26"/>
    <m/>
    <n v="1756304"/>
    <n v="-1756304"/>
    <m/>
    <m/>
    <m/>
    <m/>
    <s v="Client 7"/>
  </r>
  <r>
    <x v="0"/>
    <x v="0"/>
    <x v="0"/>
    <m/>
    <x v="26"/>
    <m/>
    <n v="1005360"/>
    <n v="-1005360"/>
    <m/>
    <m/>
    <m/>
    <m/>
    <s v="Client 8"/>
  </r>
  <r>
    <x v="0"/>
    <x v="0"/>
    <x v="0"/>
    <m/>
    <x v="26"/>
    <m/>
    <n v="1839104"/>
    <n v="-1839104"/>
    <m/>
    <m/>
    <m/>
    <m/>
    <s v="Client 9"/>
  </r>
  <r>
    <x v="28"/>
    <x v="3"/>
    <x v="0"/>
    <m/>
    <x v="26"/>
    <m/>
    <n v="6673173"/>
    <n v="-6673173"/>
    <m/>
    <m/>
    <m/>
    <m/>
    <s v="Client 1"/>
  </r>
  <r>
    <x v="28"/>
    <x v="3"/>
    <x v="0"/>
    <m/>
    <x v="26"/>
    <m/>
    <n v="3125394"/>
    <n v="-3125394"/>
    <m/>
    <m/>
    <m/>
    <m/>
    <s v="Client 10"/>
  </r>
  <r>
    <x v="28"/>
    <x v="3"/>
    <x v="0"/>
    <m/>
    <x v="26"/>
    <m/>
    <n v="1898699"/>
    <n v="-1898699"/>
    <m/>
    <m/>
    <m/>
    <m/>
    <s v="Client 2"/>
  </r>
  <r>
    <x v="28"/>
    <x v="3"/>
    <x v="0"/>
    <m/>
    <x v="26"/>
    <m/>
    <n v="273400"/>
    <n v="-273400"/>
    <m/>
    <m/>
    <m/>
    <m/>
    <s v="Client 3"/>
  </r>
  <r>
    <x v="28"/>
    <x v="3"/>
    <x v="0"/>
    <m/>
    <x v="26"/>
    <m/>
    <n v="3993022"/>
    <n v="-3993022"/>
    <m/>
    <m/>
    <m/>
    <m/>
    <s v="Client 4"/>
  </r>
  <r>
    <x v="28"/>
    <x v="3"/>
    <x v="0"/>
    <m/>
    <x v="26"/>
    <m/>
    <n v="2943565"/>
    <n v="-2943565"/>
    <m/>
    <m/>
    <m/>
    <m/>
    <s v="Client 5"/>
  </r>
  <r>
    <x v="28"/>
    <x v="3"/>
    <x v="0"/>
    <m/>
    <x v="26"/>
    <m/>
    <n v="1034759"/>
    <n v="-1034759"/>
    <m/>
    <m/>
    <m/>
    <m/>
    <s v="Client 6"/>
  </r>
  <r>
    <x v="28"/>
    <x v="3"/>
    <x v="0"/>
    <m/>
    <x v="26"/>
    <m/>
    <n v="3038564"/>
    <n v="-3038564"/>
    <m/>
    <m/>
    <m/>
    <m/>
    <s v="Client 7"/>
  </r>
  <r>
    <x v="28"/>
    <x v="3"/>
    <x v="0"/>
    <m/>
    <x v="26"/>
    <m/>
    <n v="1548704"/>
    <n v="-1548704"/>
    <m/>
    <m/>
    <m/>
    <m/>
    <s v="Client 8"/>
  </r>
  <r>
    <x v="28"/>
    <x v="3"/>
    <x v="0"/>
    <m/>
    <x v="26"/>
    <m/>
    <n v="3341768"/>
    <n v="-3341768"/>
    <m/>
    <m/>
    <m/>
    <m/>
    <s v="Client 9"/>
  </r>
  <r>
    <x v="45"/>
    <x v="2"/>
    <x v="0"/>
    <m/>
    <x v="26"/>
    <m/>
    <n v="10445751"/>
    <n v="-10445751"/>
    <m/>
    <m/>
    <m/>
    <m/>
    <s v="Client 1"/>
  </r>
  <r>
    <x v="45"/>
    <x v="2"/>
    <x v="0"/>
    <m/>
    <x v="26"/>
    <m/>
    <n v="2387086"/>
    <n v="-2387086"/>
    <m/>
    <m/>
    <m/>
    <m/>
    <s v="Client 10"/>
  </r>
  <r>
    <x v="45"/>
    <x v="2"/>
    <x v="0"/>
    <m/>
    <x v="26"/>
    <m/>
    <n v="2949661"/>
    <n v="-2949661"/>
    <m/>
    <m/>
    <m/>
    <m/>
    <s v="Client 2"/>
  </r>
  <r>
    <x v="45"/>
    <x v="2"/>
    <x v="0"/>
    <m/>
    <x v="26"/>
    <m/>
    <n v="1491121"/>
    <n v="-1491121"/>
    <m/>
    <m/>
    <m/>
    <m/>
    <s v="Client 3"/>
  </r>
  <r>
    <x v="45"/>
    <x v="2"/>
    <x v="0"/>
    <m/>
    <x v="26"/>
    <m/>
    <n v="4209532"/>
    <n v="-4209532"/>
    <m/>
    <m/>
    <m/>
    <m/>
    <s v="Client 4"/>
  </r>
  <r>
    <x v="45"/>
    <x v="2"/>
    <x v="0"/>
    <m/>
    <x v="26"/>
    <m/>
    <n v="3365422"/>
    <n v="-3365422"/>
    <m/>
    <m/>
    <m/>
    <m/>
    <s v="Client 5"/>
  </r>
  <r>
    <x v="45"/>
    <x v="2"/>
    <x v="0"/>
    <m/>
    <x v="26"/>
    <m/>
    <n v="1069643"/>
    <n v="-1069643"/>
    <m/>
    <m/>
    <m/>
    <m/>
    <s v="Client 6"/>
  </r>
  <r>
    <x v="45"/>
    <x v="2"/>
    <x v="0"/>
    <m/>
    <x v="26"/>
    <m/>
    <n v="3485542"/>
    <n v="-3485542"/>
    <m/>
    <m/>
    <m/>
    <m/>
    <s v="Client 7"/>
  </r>
  <r>
    <x v="45"/>
    <x v="2"/>
    <x v="0"/>
    <m/>
    <x v="26"/>
    <m/>
    <n v="2951664"/>
    <n v="-2951664"/>
    <m/>
    <m/>
    <m/>
    <m/>
    <s v="Client 8"/>
  </r>
  <r>
    <x v="45"/>
    <x v="2"/>
    <x v="0"/>
    <m/>
    <x v="26"/>
    <m/>
    <n v="2503520"/>
    <n v="-2503520"/>
    <m/>
    <m/>
    <m/>
    <m/>
    <s v="Client 9"/>
  </r>
  <r>
    <x v="65"/>
    <x v="4"/>
    <x v="0"/>
    <m/>
    <x v="26"/>
    <m/>
    <n v="6605202"/>
    <n v="-6605202"/>
    <m/>
    <m/>
    <m/>
    <m/>
    <s v="Client 1"/>
  </r>
  <r>
    <x v="65"/>
    <x v="4"/>
    <x v="0"/>
    <m/>
    <x v="26"/>
    <m/>
    <n v="1468482"/>
    <n v="-1468482"/>
    <m/>
    <m/>
    <m/>
    <m/>
    <s v="Client 10"/>
  </r>
  <r>
    <x v="65"/>
    <x v="4"/>
    <x v="0"/>
    <m/>
    <x v="26"/>
    <m/>
    <n v="3506495"/>
    <n v="-3506495"/>
    <m/>
    <m/>
    <m/>
    <m/>
    <s v="Client 2"/>
  </r>
  <r>
    <x v="65"/>
    <x v="4"/>
    <x v="0"/>
    <m/>
    <x v="26"/>
    <m/>
    <n v="2957728"/>
    <n v="-2957728"/>
    <m/>
    <m/>
    <m/>
    <m/>
    <s v="Client 3"/>
  </r>
  <r>
    <x v="65"/>
    <x v="4"/>
    <x v="0"/>
    <m/>
    <x v="26"/>
    <m/>
    <n v="1934832"/>
    <n v="-1934832"/>
    <m/>
    <m/>
    <m/>
    <m/>
    <s v="Client 4"/>
  </r>
  <r>
    <x v="65"/>
    <x v="4"/>
    <x v="0"/>
    <m/>
    <x v="26"/>
    <m/>
    <n v="1672612"/>
    <n v="-1672612"/>
    <m/>
    <m/>
    <m/>
    <m/>
    <s v="Client 5"/>
  </r>
  <r>
    <x v="65"/>
    <x v="4"/>
    <x v="0"/>
    <m/>
    <x v="26"/>
    <m/>
    <n v="1627838"/>
    <n v="-1627838"/>
    <m/>
    <m/>
    <m/>
    <m/>
    <s v="Client 6"/>
  </r>
  <r>
    <x v="65"/>
    <x v="4"/>
    <x v="0"/>
    <m/>
    <x v="26"/>
    <m/>
    <n v="440505"/>
    <n v="-440505"/>
    <m/>
    <m/>
    <m/>
    <m/>
    <s v="Client 7"/>
  </r>
  <r>
    <x v="65"/>
    <x v="4"/>
    <x v="0"/>
    <m/>
    <x v="26"/>
    <m/>
    <n v="3080200"/>
    <n v="-3080200"/>
    <m/>
    <m/>
    <m/>
    <m/>
    <s v="Client 8"/>
  </r>
  <r>
    <x v="65"/>
    <x v="4"/>
    <x v="0"/>
    <m/>
    <x v="26"/>
    <m/>
    <n v="2322432"/>
    <n v="-2322432"/>
    <m/>
    <m/>
    <m/>
    <m/>
    <s v="Client 9"/>
  </r>
  <r>
    <x v="84"/>
    <x v="5"/>
    <x v="0"/>
    <m/>
    <x v="26"/>
    <m/>
    <n v="6609510"/>
    <n v="-6609510"/>
    <m/>
    <m/>
    <m/>
    <m/>
    <s v="Client 1"/>
  </r>
  <r>
    <x v="84"/>
    <x v="5"/>
    <x v="0"/>
    <m/>
    <x v="26"/>
    <m/>
    <n v="2434652"/>
    <n v="-2434652"/>
    <m/>
    <m/>
    <m/>
    <m/>
    <s v="Client 10"/>
  </r>
  <r>
    <x v="84"/>
    <x v="5"/>
    <x v="0"/>
    <m/>
    <x v="26"/>
    <m/>
    <n v="3382850"/>
    <n v="-3382850"/>
    <m/>
    <m/>
    <m/>
    <m/>
    <s v="Client 2"/>
  </r>
  <r>
    <x v="84"/>
    <x v="5"/>
    <x v="0"/>
    <m/>
    <x v="26"/>
    <m/>
    <n v="1640395"/>
    <n v="-1640395"/>
    <m/>
    <m/>
    <m/>
    <m/>
    <s v="Client 3"/>
  </r>
  <r>
    <x v="84"/>
    <x v="5"/>
    <x v="0"/>
    <m/>
    <x v="26"/>
    <m/>
    <n v="2780841"/>
    <n v="-2780841"/>
    <m/>
    <m/>
    <m/>
    <m/>
    <s v="Client 4"/>
  </r>
  <r>
    <x v="84"/>
    <x v="5"/>
    <x v="0"/>
    <m/>
    <x v="26"/>
    <m/>
    <n v="1817875"/>
    <n v="-1817875"/>
    <m/>
    <m/>
    <m/>
    <m/>
    <s v="Client 5"/>
  </r>
  <r>
    <x v="84"/>
    <x v="5"/>
    <x v="0"/>
    <m/>
    <x v="26"/>
    <m/>
    <n v="1755354"/>
    <n v="-1755354"/>
    <m/>
    <m/>
    <m/>
    <m/>
    <s v="Client 6"/>
  </r>
  <r>
    <x v="84"/>
    <x v="5"/>
    <x v="0"/>
    <m/>
    <x v="26"/>
    <m/>
    <n v="1374009"/>
    <n v="-1374009"/>
    <m/>
    <m/>
    <m/>
    <m/>
    <s v="Client 7"/>
  </r>
  <r>
    <x v="84"/>
    <x v="5"/>
    <x v="0"/>
    <m/>
    <x v="26"/>
    <m/>
    <n v="2064221"/>
    <n v="-2064221"/>
    <m/>
    <m/>
    <m/>
    <m/>
    <s v="Client 8"/>
  </r>
  <r>
    <x v="84"/>
    <x v="5"/>
    <x v="0"/>
    <m/>
    <x v="26"/>
    <m/>
    <n v="3556080"/>
    <n v="-3556080"/>
    <m/>
    <m/>
    <m/>
    <m/>
    <s v="Client 9"/>
  </r>
  <r>
    <x v="103"/>
    <x v="6"/>
    <x v="0"/>
    <m/>
    <x v="26"/>
    <m/>
    <n v="6336828"/>
    <n v="-6336828"/>
    <m/>
    <m/>
    <m/>
    <m/>
    <s v="Client 1"/>
  </r>
  <r>
    <x v="103"/>
    <x v="6"/>
    <x v="0"/>
    <m/>
    <x v="26"/>
    <m/>
    <n v="1938936"/>
    <n v="-1938936"/>
    <m/>
    <m/>
    <m/>
    <m/>
    <s v="Client 10"/>
  </r>
  <r>
    <x v="103"/>
    <x v="6"/>
    <x v="0"/>
    <m/>
    <x v="26"/>
    <m/>
    <n v="2847533"/>
    <n v="-2847533"/>
    <m/>
    <m/>
    <m/>
    <m/>
    <s v="Client 2"/>
  </r>
  <r>
    <x v="103"/>
    <x v="6"/>
    <x v="0"/>
    <m/>
    <x v="26"/>
    <m/>
    <n v="3224775"/>
    <n v="-3224775"/>
    <m/>
    <m/>
    <m/>
    <m/>
    <s v="Client 3"/>
  </r>
  <r>
    <x v="103"/>
    <x v="6"/>
    <x v="0"/>
    <m/>
    <x v="26"/>
    <m/>
    <n v="3695992"/>
    <n v="-3695992"/>
    <m/>
    <m/>
    <m/>
    <m/>
    <s v="Client 4"/>
  </r>
  <r>
    <x v="103"/>
    <x v="6"/>
    <x v="0"/>
    <m/>
    <x v="26"/>
    <m/>
    <n v="2622219"/>
    <n v="-2622219"/>
    <m/>
    <m/>
    <m/>
    <m/>
    <s v="Client 5"/>
  </r>
  <r>
    <x v="103"/>
    <x v="6"/>
    <x v="0"/>
    <m/>
    <x v="26"/>
    <m/>
    <n v="1946911"/>
    <n v="-1946911"/>
    <m/>
    <m/>
    <m/>
    <m/>
    <s v="Client 6"/>
  </r>
  <r>
    <x v="103"/>
    <x v="6"/>
    <x v="0"/>
    <m/>
    <x v="26"/>
    <m/>
    <n v="2533749"/>
    <n v="-2533749"/>
    <m/>
    <m/>
    <m/>
    <m/>
    <s v="Client 7"/>
  </r>
  <r>
    <x v="103"/>
    <x v="6"/>
    <x v="0"/>
    <m/>
    <x v="26"/>
    <m/>
    <n v="2569734"/>
    <n v="-2569734"/>
    <m/>
    <m/>
    <m/>
    <m/>
    <s v="Client 8"/>
  </r>
  <r>
    <x v="103"/>
    <x v="6"/>
    <x v="0"/>
    <m/>
    <x v="26"/>
    <m/>
    <n v="4532695"/>
    <n v="-4532695"/>
    <m/>
    <m/>
    <m/>
    <m/>
    <s v="Client 9"/>
  </r>
  <r>
    <x v="124"/>
    <x v="7"/>
    <x v="0"/>
    <m/>
    <x v="26"/>
    <m/>
    <n v="9497898"/>
    <n v="-9497898"/>
    <m/>
    <m/>
    <m/>
    <m/>
    <s v="Client 1"/>
  </r>
  <r>
    <x v="124"/>
    <x v="7"/>
    <x v="0"/>
    <m/>
    <x v="26"/>
    <m/>
    <n v="2516152"/>
    <n v="-2516152"/>
    <m/>
    <m/>
    <m/>
    <m/>
    <s v="Client 10"/>
  </r>
  <r>
    <x v="124"/>
    <x v="7"/>
    <x v="0"/>
    <m/>
    <x v="26"/>
    <m/>
    <n v="1534676"/>
    <n v="-1534676"/>
    <m/>
    <m/>
    <m/>
    <m/>
    <s v="Client 2"/>
  </r>
  <r>
    <x v="124"/>
    <x v="7"/>
    <x v="0"/>
    <m/>
    <x v="26"/>
    <m/>
    <n v="1924720"/>
    <n v="-1924720"/>
    <m/>
    <m/>
    <m/>
    <m/>
    <s v="Client 3"/>
  </r>
  <r>
    <x v="124"/>
    <x v="7"/>
    <x v="0"/>
    <m/>
    <x v="26"/>
    <m/>
    <n v="3751603"/>
    <n v="-3751603"/>
    <m/>
    <m/>
    <m/>
    <m/>
    <s v="Client 4"/>
  </r>
  <r>
    <x v="124"/>
    <x v="7"/>
    <x v="0"/>
    <m/>
    <x v="26"/>
    <m/>
    <n v="1559044"/>
    <n v="-1559044"/>
    <m/>
    <m/>
    <m/>
    <m/>
    <s v="Client 5"/>
  </r>
  <r>
    <x v="124"/>
    <x v="7"/>
    <x v="0"/>
    <m/>
    <x v="26"/>
    <m/>
    <n v="1345718"/>
    <n v="-1345718"/>
    <m/>
    <m/>
    <m/>
    <m/>
    <s v="Client 6"/>
  </r>
  <r>
    <x v="124"/>
    <x v="7"/>
    <x v="0"/>
    <m/>
    <x v="26"/>
    <m/>
    <n v="3857622"/>
    <n v="-3857622"/>
    <m/>
    <m/>
    <m/>
    <m/>
    <s v="Client 7"/>
  </r>
  <r>
    <x v="124"/>
    <x v="7"/>
    <x v="0"/>
    <m/>
    <x v="26"/>
    <m/>
    <n v="1699393"/>
    <n v="-1699393"/>
    <m/>
    <m/>
    <m/>
    <m/>
    <s v="Client 8"/>
  </r>
  <r>
    <x v="124"/>
    <x v="7"/>
    <x v="0"/>
    <m/>
    <x v="26"/>
    <m/>
    <n v="3782410"/>
    <n v="-3782410"/>
    <m/>
    <m/>
    <m/>
    <m/>
    <s v="Client 9"/>
  </r>
  <r>
    <x v="139"/>
    <x v="8"/>
    <x v="0"/>
    <m/>
    <x v="26"/>
    <m/>
    <n v="4815420"/>
    <n v="-4815420"/>
    <m/>
    <m/>
    <m/>
    <m/>
    <s v="Client 1"/>
  </r>
  <r>
    <x v="139"/>
    <x v="8"/>
    <x v="0"/>
    <m/>
    <x v="26"/>
    <m/>
    <n v="1182394"/>
    <n v="-1182394"/>
    <m/>
    <m/>
    <m/>
    <m/>
    <s v="Client 10"/>
  </r>
  <r>
    <x v="139"/>
    <x v="8"/>
    <x v="0"/>
    <m/>
    <x v="26"/>
    <m/>
    <n v="2374455"/>
    <n v="-2374455"/>
    <m/>
    <m/>
    <m/>
    <m/>
    <s v="Client 2"/>
  </r>
  <r>
    <x v="139"/>
    <x v="8"/>
    <x v="0"/>
    <m/>
    <x v="26"/>
    <m/>
    <n v="2194956"/>
    <n v="-2194956"/>
    <m/>
    <m/>
    <m/>
    <m/>
    <s v="Client 3"/>
  </r>
  <r>
    <x v="139"/>
    <x v="8"/>
    <x v="0"/>
    <m/>
    <x v="26"/>
    <m/>
    <n v="4368044"/>
    <n v="-4368044"/>
    <m/>
    <m/>
    <m/>
    <m/>
    <s v="Client 4"/>
  </r>
  <r>
    <x v="139"/>
    <x v="8"/>
    <x v="0"/>
    <m/>
    <x v="26"/>
    <m/>
    <n v="1511584"/>
    <n v="-1511584"/>
    <m/>
    <m/>
    <m/>
    <m/>
    <s v="Client 5"/>
  </r>
  <r>
    <x v="139"/>
    <x v="8"/>
    <x v="0"/>
    <m/>
    <x v="26"/>
    <m/>
    <n v="2054042"/>
    <n v="-2054042"/>
    <m/>
    <m/>
    <m/>
    <m/>
    <s v="Client 6"/>
  </r>
  <r>
    <x v="139"/>
    <x v="8"/>
    <x v="0"/>
    <m/>
    <x v="26"/>
    <m/>
    <n v="5019692"/>
    <n v="-5019692"/>
    <m/>
    <m/>
    <m/>
    <m/>
    <s v="Client 7"/>
  </r>
  <r>
    <x v="139"/>
    <x v="8"/>
    <x v="0"/>
    <m/>
    <x v="26"/>
    <m/>
    <n v="3317479"/>
    <n v="-3317479"/>
    <m/>
    <m/>
    <m/>
    <m/>
    <s v="Client 8"/>
  </r>
  <r>
    <x v="139"/>
    <x v="8"/>
    <x v="0"/>
    <m/>
    <x v="26"/>
    <m/>
    <n v="5082352"/>
    <n v="-5082352"/>
    <m/>
    <m/>
    <m/>
    <m/>
    <s v="Client 9"/>
  </r>
  <r>
    <x v="161"/>
    <x v="9"/>
    <x v="0"/>
    <m/>
    <x v="26"/>
    <m/>
    <n v="6914139"/>
    <n v="-6914139"/>
    <m/>
    <m/>
    <m/>
    <m/>
    <s v="Client 1"/>
  </r>
  <r>
    <x v="161"/>
    <x v="9"/>
    <x v="0"/>
    <m/>
    <x v="26"/>
    <m/>
    <n v="1736558"/>
    <n v="-1736558"/>
    <m/>
    <m/>
    <m/>
    <m/>
    <s v="Client 10"/>
  </r>
  <r>
    <x v="161"/>
    <x v="9"/>
    <x v="0"/>
    <m/>
    <x v="26"/>
    <m/>
    <n v="3772215"/>
    <n v="-3772215"/>
    <m/>
    <m/>
    <m/>
    <m/>
    <s v="Client 2"/>
  </r>
  <r>
    <x v="161"/>
    <x v="9"/>
    <x v="0"/>
    <m/>
    <x v="26"/>
    <m/>
    <n v="383184"/>
    <n v="-383184"/>
    <m/>
    <m/>
    <m/>
    <m/>
    <s v="Client 3"/>
  </r>
  <r>
    <x v="161"/>
    <x v="9"/>
    <x v="0"/>
    <m/>
    <x v="26"/>
    <m/>
    <n v="5768280"/>
    <n v="-5768280"/>
    <m/>
    <m/>
    <m/>
    <m/>
    <s v="Client 4"/>
  </r>
  <r>
    <x v="161"/>
    <x v="9"/>
    <x v="0"/>
    <m/>
    <x v="26"/>
    <m/>
    <n v="2733737"/>
    <n v="-2733737"/>
    <m/>
    <m/>
    <m/>
    <m/>
    <s v="Client 5"/>
  </r>
  <r>
    <x v="161"/>
    <x v="9"/>
    <x v="0"/>
    <m/>
    <x v="26"/>
    <m/>
    <n v="2061484"/>
    <n v="-2061484"/>
    <m/>
    <m/>
    <m/>
    <m/>
    <s v="Client 6"/>
  </r>
  <r>
    <x v="161"/>
    <x v="9"/>
    <x v="0"/>
    <m/>
    <x v="26"/>
    <m/>
    <n v="3415572"/>
    <n v="-3415572"/>
    <m/>
    <m/>
    <m/>
    <m/>
    <s v="Client 7"/>
  </r>
  <r>
    <x v="161"/>
    <x v="9"/>
    <x v="0"/>
    <m/>
    <x v="26"/>
    <m/>
    <n v="2669934"/>
    <n v="-2669934"/>
    <m/>
    <m/>
    <m/>
    <m/>
    <s v="Client 8"/>
  </r>
  <r>
    <x v="161"/>
    <x v="9"/>
    <x v="0"/>
    <m/>
    <x v="26"/>
    <m/>
    <n v="2360659"/>
    <n v="-2360659"/>
    <m/>
    <m/>
    <m/>
    <m/>
    <s v="Client 9"/>
  </r>
  <r>
    <x v="184"/>
    <x v="10"/>
    <x v="0"/>
    <m/>
    <x v="26"/>
    <m/>
    <n v="6418329"/>
    <n v="-6418329"/>
    <m/>
    <m/>
    <m/>
    <m/>
    <s v="Client 1"/>
  </r>
  <r>
    <x v="184"/>
    <x v="10"/>
    <x v="0"/>
    <m/>
    <x v="26"/>
    <m/>
    <n v="2143499"/>
    <n v="-2143499"/>
    <m/>
    <m/>
    <m/>
    <m/>
    <s v="Client 10"/>
  </r>
  <r>
    <x v="184"/>
    <x v="10"/>
    <x v="0"/>
    <m/>
    <x v="26"/>
    <m/>
    <n v="3179145"/>
    <n v="-3179145"/>
    <m/>
    <m/>
    <m/>
    <m/>
    <s v="Client 2"/>
  </r>
  <r>
    <x v="184"/>
    <x v="10"/>
    <x v="0"/>
    <m/>
    <x v="26"/>
    <m/>
    <n v="556848"/>
    <n v="-556848"/>
    <m/>
    <m/>
    <m/>
    <m/>
    <s v="Client 3"/>
  </r>
  <r>
    <x v="184"/>
    <x v="10"/>
    <x v="0"/>
    <m/>
    <x v="26"/>
    <m/>
    <n v="2347266"/>
    <n v="-2347266"/>
    <m/>
    <m/>
    <m/>
    <m/>
    <s v="Client 4"/>
  </r>
  <r>
    <x v="184"/>
    <x v="10"/>
    <x v="0"/>
    <m/>
    <x v="26"/>
    <m/>
    <n v="3375273"/>
    <n v="-3375273"/>
    <m/>
    <m/>
    <m/>
    <m/>
    <s v="Client 5"/>
  </r>
  <r>
    <x v="184"/>
    <x v="10"/>
    <x v="0"/>
    <m/>
    <x v="26"/>
    <m/>
    <n v="1170435"/>
    <n v="-1170435"/>
    <m/>
    <m/>
    <m/>
    <m/>
    <s v="Client 6"/>
  </r>
  <r>
    <x v="184"/>
    <x v="10"/>
    <x v="0"/>
    <m/>
    <x v="26"/>
    <m/>
    <n v="1638358"/>
    <n v="-1638358"/>
    <m/>
    <m/>
    <m/>
    <m/>
    <s v="Client 7"/>
  </r>
  <r>
    <x v="184"/>
    <x v="10"/>
    <x v="0"/>
    <m/>
    <x v="26"/>
    <m/>
    <n v="2443068"/>
    <n v="-2443068"/>
    <m/>
    <m/>
    <m/>
    <m/>
    <s v="Client 8"/>
  </r>
  <r>
    <x v="184"/>
    <x v="10"/>
    <x v="0"/>
    <m/>
    <x v="26"/>
    <m/>
    <n v="2578330"/>
    <n v="-2578330"/>
    <m/>
    <m/>
    <m/>
    <m/>
    <s v="Client 9"/>
  </r>
  <r>
    <x v="203"/>
    <x v="11"/>
    <x v="0"/>
    <m/>
    <x v="26"/>
    <m/>
    <n v="3494754"/>
    <n v="-3494754"/>
    <m/>
    <m/>
    <m/>
    <m/>
    <s v="Client 1"/>
  </r>
  <r>
    <x v="203"/>
    <x v="11"/>
    <x v="0"/>
    <m/>
    <x v="26"/>
    <m/>
    <n v="3254959"/>
    <n v="-3254959"/>
    <m/>
    <m/>
    <m/>
    <m/>
    <s v="Client 10"/>
  </r>
  <r>
    <x v="203"/>
    <x v="11"/>
    <x v="0"/>
    <m/>
    <x v="26"/>
    <m/>
    <n v="3940695"/>
    <n v="-3940695"/>
    <m/>
    <m/>
    <m/>
    <m/>
    <s v="Client 2"/>
  </r>
  <r>
    <x v="203"/>
    <x v="11"/>
    <x v="0"/>
    <m/>
    <x v="26"/>
    <m/>
    <n v="1402989"/>
    <n v="-1402989"/>
    <m/>
    <m/>
    <m/>
    <m/>
    <s v="Client 3"/>
  </r>
  <r>
    <x v="203"/>
    <x v="11"/>
    <x v="0"/>
    <m/>
    <x v="26"/>
    <m/>
    <n v="3176834"/>
    <n v="-3176834"/>
    <m/>
    <m/>
    <m/>
    <m/>
    <s v="Client 4"/>
  </r>
  <r>
    <x v="203"/>
    <x v="11"/>
    <x v="0"/>
    <m/>
    <x v="26"/>
    <m/>
    <n v="4487293"/>
    <n v="-4487293"/>
    <m/>
    <m/>
    <m/>
    <m/>
    <s v="Client 5"/>
  </r>
  <r>
    <x v="203"/>
    <x v="11"/>
    <x v="0"/>
    <m/>
    <x v="26"/>
    <m/>
    <n v="1206642"/>
    <n v="-1206642"/>
    <m/>
    <m/>
    <m/>
    <m/>
    <s v="Client 6"/>
  </r>
  <r>
    <x v="203"/>
    <x v="11"/>
    <x v="0"/>
    <m/>
    <x v="26"/>
    <m/>
    <n v="1905794"/>
    <n v="-1905794"/>
    <m/>
    <m/>
    <m/>
    <m/>
    <s v="Client 7"/>
  </r>
  <r>
    <x v="203"/>
    <x v="11"/>
    <x v="0"/>
    <m/>
    <x v="26"/>
    <m/>
    <n v="1467324"/>
    <n v="-1467324"/>
    <m/>
    <m/>
    <m/>
    <m/>
    <s v="Client 8"/>
  </r>
  <r>
    <x v="203"/>
    <x v="11"/>
    <x v="0"/>
    <m/>
    <x v="26"/>
    <m/>
    <n v="3811562"/>
    <n v="-3811562"/>
    <m/>
    <m/>
    <m/>
    <m/>
    <s v="Client 9"/>
  </r>
  <r>
    <x v="0"/>
    <x v="0"/>
    <x v="0"/>
    <m/>
    <x v="7"/>
    <n v="158330.79999999993"/>
    <m/>
    <n v="158330.79999999993"/>
    <m/>
    <m/>
    <m/>
    <s v="Component 1"/>
    <m/>
  </r>
  <r>
    <x v="0"/>
    <x v="0"/>
    <x v="0"/>
    <m/>
    <x v="7"/>
    <n v="416425.31999999995"/>
    <m/>
    <n v="416425.31999999995"/>
    <m/>
    <m/>
    <m/>
    <s v="Component 2"/>
    <m/>
  </r>
  <r>
    <x v="0"/>
    <x v="0"/>
    <x v="0"/>
    <m/>
    <x v="7"/>
    <n v="309794.04999999981"/>
    <m/>
    <n v="309794.04999999981"/>
    <m/>
    <m/>
    <m/>
    <s v="Component 3"/>
    <m/>
  </r>
  <r>
    <x v="0"/>
    <x v="0"/>
    <x v="0"/>
    <m/>
    <x v="7"/>
    <n v="329406"/>
    <m/>
    <n v="329406"/>
    <m/>
    <m/>
    <m/>
    <s v="Component 4"/>
    <m/>
  </r>
  <r>
    <x v="0"/>
    <x v="0"/>
    <x v="0"/>
    <m/>
    <x v="7"/>
    <n v="2062.7999999999302"/>
    <m/>
    <n v="2062.7999999999302"/>
    <m/>
    <m/>
    <m/>
    <s v="Component 5"/>
    <m/>
  </r>
  <r>
    <x v="0"/>
    <x v="0"/>
    <x v="0"/>
    <m/>
    <x v="7"/>
    <n v="1330"/>
    <m/>
    <n v="1330"/>
    <m/>
    <m/>
    <m/>
    <s v="Component 6"/>
    <m/>
  </r>
  <r>
    <x v="28"/>
    <x v="3"/>
    <x v="0"/>
    <m/>
    <x v="7"/>
    <n v="30415.999999999884"/>
    <m/>
    <n v="30415.999999999884"/>
    <m/>
    <m/>
    <m/>
    <s v="Component 1"/>
    <m/>
  </r>
  <r>
    <x v="28"/>
    <x v="3"/>
    <x v="0"/>
    <m/>
    <x v="7"/>
    <n v="435593.76000000013"/>
    <m/>
    <n v="435593.76000000013"/>
    <m/>
    <m/>
    <m/>
    <s v="Component 2"/>
    <m/>
  </r>
  <r>
    <x v="28"/>
    <x v="3"/>
    <x v="0"/>
    <m/>
    <x v="7"/>
    <n v="155025.17999999993"/>
    <m/>
    <n v="155025.17999999993"/>
    <m/>
    <m/>
    <m/>
    <s v="Component 3"/>
    <m/>
  </r>
  <r>
    <x v="28"/>
    <x v="3"/>
    <x v="0"/>
    <m/>
    <x v="7"/>
    <n v="155790"/>
    <m/>
    <n v="155790"/>
    <m/>
    <m/>
    <m/>
    <s v="Component 4"/>
    <m/>
  </r>
  <r>
    <x v="28"/>
    <x v="3"/>
    <x v="0"/>
    <m/>
    <x v="7"/>
    <n v="60780.04999999993"/>
    <m/>
    <n v="60780.04999999993"/>
    <m/>
    <m/>
    <m/>
    <s v="Component 5"/>
    <m/>
  </r>
  <r>
    <x v="28"/>
    <x v="3"/>
    <x v="0"/>
    <m/>
    <x v="7"/>
    <n v="127827"/>
    <m/>
    <n v="127827"/>
    <m/>
    <m/>
    <m/>
    <s v="Component 6"/>
    <m/>
  </r>
  <r>
    <x v="45"/>
    <x v="2"/>
    <x v="0"/>
    <m/>
    <x v="7"/>
    <n v="385540.39999999991"/>
    <m/>
    <n v="385540.39999999991"/>
    <m/>
    <m/>
    <m/>
    <s v="Component 1"/>
    <m/>
  </r>
  <r>
    <x v="45"/>
    <x v="2"/>
    <x v="0"/>
    <m/>
    <x v="7"/>
    <n v="459795.06000000017"/>
    <m/>
    <n v="459795.06000000017"/>
    <m/>
    <m/>
    <m/>
    <s v="Component 2"/>
    <m/>
  </r>
  <r>
    <x v="45"/>
    <x v="2"/>
    <x v="0"/>
    <m/>
    <x v="7"/>
    <n v="132180.59999999986"/>
    <m/>
    <n v="132180.59999999986"/>
    <m/>
    <m/>
    <m/>
    <s v="Component 3"/>
    <m/>
  </r>
  <r>
    <x v="45"/>
    <x v="2"/>
    <x v="0"/>
    <m/>
    <x v="7"/>
    <n v="1180476"/>
    <m/>
    <n v="1180476"/>
    <m/>
    <m/>
    <m/>
    <s v="Component 4"/>
    <m/>
  </r>
  <r>
    <x v="45"/>
    <x v="2"/>
    <x v="0"/>
    <m/>
    <x v="7"/>
    <n v="82298.699999999953"/>
    <m/>
    <n v="82298.699999999953"/>
    <m/>
    <m/>
    <m/>
    <s v="Component 5"/>
    <m/>
  </r>
  <r>
    <x v="45"/>
    <x v="2"/>
    <x v="0"/>
    <m/>
    <x v="7"/>
    <n v="447238"/>
    <m/>
    <n v="447238"/>
    <m/>
    <m/>
    <m/>
    <s v="Component 6"/>
    <m/>
  </r>
  <r>
    <x v="65"/>
    <x v="4"/>
    <x v="0"/>
    <m/>
    <x v="7"/>
    <n v="426927.99999999977"/>
    <m/>
    <n v="426927.99999999977"/>
    <m/>
    <m/>
    <m/>
    <s v="Component 1"/>
    <m/>
  </r>
  <r>
    <x v="65"/>
    <x v="4"/>
    <x v="0"/>
    <m/>
    <x v="7"/>
    <n v="415182.18000000017"/>
    <m/>
    <n v="415182.18000000017"/>
    <m/>
    <m/>
    <m/>
    <s v="Component 2"/>
    <m/>
  </r>
  <r>
    <x v="65"/>
    <x v="4"/>
    <x v="0"/>
    <m/>
    <x v="7"/>
    <n v="229372.36999999988"/>
    <m/>
    <n v="229372.36999999988"/>
    <m/>
    <m/>
    <m/>
    <s v="Component 3"/>
    <m/>
  </r>
  <r>
    <x v="65"/>
    <x v="4"/>
    <x v="0"/>
    <m/>
    <x v="7"/>
    <n v="1720818"/>
    <m/>
    <n v="1720818"/>
    <m/>
    <m/>
    <m/>
    <s v="Component 4"/>
    <m/>
  </r>
  <r>
    <x v="65"/>
    <x v="4"/>
    <x v="0"/>
    <m/>
    <x v="7"/>
    <n v="76952.199999999953"/>
    <m/>
    <n v="76952.199999999953"/>
    <m/>
    <m/>
    <m/>
    <s v="Component 5"/>
    <m/>
  </r>
  <r>
    <x v="65"/>
    <x v="4"/>
    <x v="0"/>
    <m/>
    <x v="7"/>
    <n v="57266"/>
    <m/>
    <n v="57266"/>
    <m/>
    <m/>
    <m/>
    <s v="Component 6"/>
    <m/>
  </r>
  <r>
    <x v="84"/>
    <x v="5"/>
    <x v="0"/>
    <m/>
    <x v="7"/>
    <n v="485344.7999999997"/>
    <m/>
    <n v="485344.7999999997"/>
    <m/>
    <m/>
    <m/>
    <s v="Component 1"/>
    <m/>
  </r>
  <r>
    <x v="84"/>
    <x v="5"/>
    <x v="0"/>
    <m/>
    <x v="7"/>
    <n v="402234.42000000027"/>
    <m/>
    <n v="402234.42000000027"/>
    <m/>
    <m/>
    <m/>
    <s v="Component 2"/>
    <m/>
  </r>
  <r>
    <x v="84"/>
    <x v="5"/>
    <x v="0"/>
    <m/>
    <x v="7"/>
    <n v="66159.059999999823"/>
    <m/>
    <n v="66159.059999999823"/>
    <m/>
    <m/>
    <m/>
    <s v="Component 3"/>
    <m/>
  </r>
  <r>
    <x v="84"/>
    <x v="5"/>
    <x v="0"/>
    <m/>
    <x v="7"/>
    <n v="2045240"/>
    <m/>
    <n v="2045240"/>
    <m/>
    <m/>
    <m/>
    <s v="Component 4"/>
    <m/>
  </r>
  <r>
    <x v="84"/>
    <x v="5"/>
    <x v="0"/>
    <m/>
    <x v="7"/>
    <n v="67582.199999999953"/>
    <m/>
    <n v="67582.199999999953"/>
    <m/>
    <m/>
    <m/>
    <s v="Component 5"/>
    <m/>
  </r>
  <r>
    <x v="84"/>
    <x v="5"/>
    <x v="0"/>
    <m/>
    <x v="7"/>
    <n v="220837"/>
    <m/>
    <n v="220837"/>
    <m/>
    <m/>
    <m/>
    <s v="Component 6"/>
    <m/>
  </r>
  <r>
    <x v="103"/>
    <x v="6"/>
    <x v="0"/>
    <m/>
    <x v="7"/>
    <n v="721887.99999999965"/>
    <m/>
    <n v="721887.99999999965"/>
    <m/>
    <m/>
    <m/>
    <s v="Component 1"/>
    <m/>
  </r>
  <r>
    <x v="103"/>
    <x v="6"/>
    <x v="0"/>
    <m/>
    <x v="7"/>
    <n v="373452.48000000033"/>
    <m/>
    <n v="373452.48000000033"/>
    <m/>
    <m/>
    <m/>
    <s v="Component 2"/>
    <m/>
  </r>
  <r>
    <x v="103"/>
    <x v="6"/>
    <x v="0"/>
    <m/>
    <x v="7"/>
    <n v="481405.99999999953"/>
    <m/>
    <n v="481405.99999999953"/>
    <m/>
    <m/>
    <m/>
    <s v="Component 3"/>
    <m/>
  </r>
  <r>
    <x v="103"/>
    <x v="6"/>
    <x v="0"/>
    <m/>
    <x v="7"/>
    <n v="2971958"/>
    <m/>
    <n v="2971958"/>
    <m/>
    <m/>
    <m/>
    <s v="Component 4"/>
    <m/>
  </r>
  <r>
    <x v="103"/>
    <x v="6"/>
    <x v="0"/>
    <m/>
    <x v="7"/>
    <n v="57456.600000000093"/>
    <m/>
    <n v="57456.600000000093"/>
    <m/>
    <m/>
    <m/>
    <s v="Component 5"/>
    <m/>
  </r>
  <r>
    <x v="103"/>
    <x v="6"/>
    <x v="0"/>
    <m/>
    <x v="7"/>
    <n v="25381"/>
    <m/>
    <n v="25381"/>
    <m/>
    <m/>
    <m/>
    <s v="Component 6"/>
    <m/>
  </r>
  <r>
    <x v="124"/>
    <x v="7"/>
    <x v="0"/>
    <m/>
    <x v="7"/>
    <n v="777343.19999999972"/>
    <m/>
    <n v="777343.19999999972"/>
    <m/>
    <m/>
    <m/>
    <s v="Component 1"/>
    <m/>
  </r>
  <r>
    <x v="124"/>
    <x v="7"/>
    <x v="0"/>
    <m/>
    <x v="7"/>
    <n v="338635.60000000021"/>
    <m/>
    <n v="338635.60000000021"/>
    <m/>
    <m/>
    <m/>
    <s v="Component 2"/>
    <m/>
  </r>
  <r>
    <x v="124"/>
    <x v="7"/>
    <x v="0"/>
    <m/>
    <x v="7"/>
    <n v="230813.51999999909"/>
    <m/>
    <n v="230813.51999999909"/>
    <m/>
    <m/>
    <m/>
    <s v="Component 3"/>
    <m/>
  </r>
  <r>
    <x v="124"/>
    <x v="7"/>
    <x v="0"/>
    <m/>
    <x v="7"/>
    <n v="3299835"/>
    <m/>
    <n v="3299835"/>
    <m/>
    <m/>
    <m/>
    <s v="Component 4"/>
    <m/>
  </r>
  <r>
    <x v="124"/>
    <x v="7"/>
    <x v="0"/>
    <m/>
    <x v="7"/>
    <n v="312893.00000000023"/>
    <m/>
    <n v="312893.00000000023"/>
    <m/>
    <m/>
    <m/>
    <s v="Component 5"/>
    <m/>
  </r>
  <r>
    <x v="124"/>
    <x v="7"/>
    <x v="0"/>
    <m/>
    <x v="7"/>
    <n v="128486"/>
    <m/>
    <n v="128486"/>
    <m/>
    <m/>
    <m/>
    <s v="Component 6"/>
    <m/>
  </r>
  <r>
    <x v="139"/>
    <x v="8"/>
    <x v="0"/>
    <m/>
    <x v="7"/>
    <n v="848263.99999999977"/>
    <m/>
    <n v="848263.99999999977"/>
    <m/>
    <m/>
    <m/>
    <s v="Component 1"/>
    <m/>
  </r>
  <r>
    <x v="139"/>
    <x v="8"/>
    <x v="0"/>
    <m/>
    <x v="7"/>
    <n v="325975.68000000028"/>
    <m/>
    <n v="325975.68000000028"/>
    <m/>
    <m/>
    <m/>
    <s v="Component 2"/>
    <m/>
  </r>
  <r>
    <x v="139"/>
    <x v="8"/>
    <x v="0"/>
    <m/>
    <x v="7"/>
    <n v="262236.59999999916"/>
    <m/>
    <n v="262236.59999999916"/>
    <m/>
    <m/>
    <m/>
    <s v="Component 3"/>
    <m/>
  </r>
  <r>
    <x v="139"/>
    <x v="8"/>
    <x v="0"/>
    <m/>
    <x v="7"/>
    <n v="3246834"/>
    <m/>
    <n v="3246834"/>
    <m/>
    <m/>
    <m/>
    <s v="Component 4"/>
    <m/>
  </r>
  <r>
    <x v="139"/>
    <x v="8"/>
    <x v="0"/>
    <m/>
    <x v="7"/>
    <n v="275113.30000000016"/>
    <m/>
    <n v="275113.30000000016"/>
    <m/>
    <m/>
    <m/>
    <s v="Component 5"/>
    <m/>
  </r>
  <r>
    <x v="139"/>
    <x v="8"/>
    <x v="0"/>
    <m/>
    <x v="7"/>
    <n v="189441"/>
    <m/>
    <n v="189441"/>
    <m/>
    <m/>
    <m/>
    <s v="Component 6"/>
    <m/>
  </r>
  <r>
    <x v="161"/>
    <x v="9"/>
    <x v="0"/>
    <m/>
    <x v="7"/>
    <n v="972703.19999999972"/>
    <m/>
    <n v="972703.19999999972"/>
    <m/>
    <m/>
    <m/>
    <s v="Component 1"/>
    <m/>
  </r>
  <r>
    <x v="161"/>
    <x v="9"/>
    <x v="0"/>
    <m/>
    <x v="7"/>
    <n v="427551.18000000028"/>
    <m/>
    <n v="427551.18000000028"/>
    <m/>
    <m/>
    <m/>
    <s v="Component 2"/>
    <m/>
  </r>
  <r>
    <x v="161"/>
    <x v="9"/>
    <x v="0"/>
    <m/>
    <x v="7"/>
    <n v="329941.47999999905"/>
    <m/>
    <n v="329941.47999999905"/>
    <m/>
    <m/>
    <m/>
    <s v="Component 3"/>
    <m/>
  </r>
  <r>
    <x v="161"/>
    <x v="9"/>
    <x v="0"/>
    <m/>
    <x v="7"/>
    <n v="3813020"/>
    <m/>
    <n v="3813020"/>
    <m/>
    <m/>
    <m/>
    <s v="Component 4"/>
    <m/>
  </r>
  <r>
    <x v="161"/>
    <x v="9"/>
    <x v="0"/>
    <m/>
    <x v="7"/>
    <n v="149955.30000000016"/>
    <m/>
    <n v="149955.30000000016"/>
    <m/>
    <m/>
    <m/>
    <s v="Component 5"/>
    <m/>
  </r>
  <r>
    <x v="161"/>
    <x v="9"/>
    <x v="0"/>
    <m/>
    <x v="7"/>
    <n v="158814"/>
    <m/>
    <n v="158814"/>
    <m/>
    <m/>
    <m/>
    <s v="Component 6"/>
    <m/>
  </r>
  <r>
    <x v="184"/>
    <x v="10"/>
    <x v="0"/>
    <m/>
    <x v="7"/>
    <n v="841701.59999999986"/>
    <m/>
    <n v="841701.59999999986"/>
    <m/>
    <m/>
    <m/>
    <s v="Component 1"/>
    <m/>
  </r>
  <r>
    <x v="184"/>
    <x v="10"/>
    <x v="0"/>
    <m/>
    <x v="7"/>
    <n v="431522.30000000016"/>
    <m/>
    <n v="431522.30000000016"/>
    <m/>
    <m/>
    <m/>
    <s v="Component 2"/>
    <m/>
  </r>
  <r>
    <x v="184"/>
    <x v="10"/>
    <x v="0"/>
    <m/>
    <x v="7"/>
    <n v="357806.19999999925"/>
    <m/>
    <n v="357806.19999999925"/>
    <m/>
    <m/>
    <m/>
    <s v="Component 3"/>
    <m/>
  </r>
  <r>
    <x v="184"/>
    <x v="10"/>
    <x v="0"/>
    <m/>
    <x v="7"/>
    <n v="4236876"/>
    <m/>
    <n v="4236876"/>
    <m/>
    <m/>
    <m/>
    <s v="Component 4"/>
    <m/>
  </r>
  <r>
    <x v="184"/>
    <x v="10"/>
    <x v="0"/>
    <m/>
    <x v="7"/>
    <n v="159932.00000000012"/>
    <m/>
    <n v="159932.00000000012"/>
    <m/>
    <m/>
    <m/>
    <s v="Component 5"/>
    <m/>
  </r>
  <r>
    <x v="184"/>
    <x v="10"/>
    <x v="0"/>
    <m/>
    <x v="7"/>
    <n v="356972"/>
    <m/>
    <n v="356972"/>
    <m/>
    <m/>
    <m/>
    <s v="Component 6"/>
    <m/>
  </r>
  <r>
    <x v="203"/>
    <x v="11"/>
    <x v="0"/>
    <m/>
    <x v="7"/>
    <n v="1085339.2"/>
    <m/>
    <n v="1085339.2"/>
    <m/>
    <m/>
    <m/>
    <s v="Component 1"/>
    <m/>
  </r>
  <r>
    <x v="203"/>
    <x v="11"/>
    <x v="0"/>
    <m/>
    <x v="7"/>
    <n v="405619.66000000027"/>
    <m/>
    <n v="405619.66000000027"/>
    <m/>
    <m/>
    <m/>
    <s v="Component 2"/>
    <m/>
  </r>
  <r>
    <x v="203"/>
    <x v="11"/>
    <x v="0"/>
    <m/>
    <x v="7"/>
    <n v="226366.37999999896"/>
    <m/>
    <n v="226366.37999999896"/>
    <m/>
    <m/>
    <m/>
    <s v="Component 3"/>
    <m/>
  </r>
  <r>
    <x v="203"/>
    <x v="11"/>
    <x v="0"/>
    <m/>
    <x v="7"/>
    <n v="4145553"/>
    <m/>
    <n v="4145553"/>
    <m/>
    <m/>
    <m/>
    <s v="Component 4"/>
    <m/>
  </r>
  <r>
    <x v="203"/>
    <x v="11"/>
    <x v="0"/>
    <m/>
    <x v="7"/>
    <n v="39506.000000000116"/>
    <m/>
    <n v="39506.000000000116"/>
    <m/>
    <m/>
    <m/>
    <s v="Component 5"/>
    <m/>
  </r>
  <r>
    <x v="203"/>
    <x v="11"/>
    <x v="0"/>
    <m/>
    <x v="7"/>
    <n v="296412"/>
    <m/>
    <n v="296412"/>
    <m/>
    <m/>
    <m/>
    <s v="Component 6"/>
    <m/>
  </r>
  <r>
    <x v="0"/>
    <x v="0"/>
    <x v="0"/>
    <m/>
    <x v="27"/>
    <m/>
    <n v="158330.79999999993"/>
    <n v="-158330.79999999993"/>
    <m/>
    <m/>
    <m/>
    <s v="Component 1"/>
    <m/>
  </r>
  <r>
    <x v="0"/>
    <x v="0"/>
    <x v="0"/>
    <m/>
    <x v="27"/>
    <m/>
    <n v="416425.31999999995"/>
    <n v="-416425.31999999995"/>
    <m/>
    <m/>
    <m/>
    <s v="Component 2"/>
    <m/>
  </r>
  <r>
    <x v="0"/>
    <x v="0"/>
    <x v="0"/>
    <m/>
    <x v="27"/>
    <m/>
    <n v="309794.04999999981"/>
    <n v="-309794.04999999981"/>
    <m/>
    <m/>
    <m/>
    <s v="Component 3"/>
    <m/>
  </r>
  <r>
    <x v="0"/>
    <x v="0"/>
    <x v="0"/>
    <m/>
    <x v="27"/>
    <m/>
    <n v="329406"/>
    <n v="-329406"/>
    <m/>
    <m/>
    <m/>
    <s v="Component 4"/>
    <m/>
  </r>
  <r>
    <x v="0"/>
    <x v="0"/>
    <x v="0"/>
    <m/>
    <x v="27"/>
    <m/>
    <n v="2062.7999999999302"/>
    <n v="-2062.7999999999302"/>
    <m/>
    <m/>
    <m/>
    <s v="Component 5"/>
    <m/>
  </r>
  <r>
    <x v="0"/>
    <x v="0"/>
    <x v="0"/>
    <m/>
    <x v="27"/>
    <m/>
    <n v="1330"/>
    <n v="-1330"/>
    <m/>
    <m/>
    <m/>
    <s v="Component 6"/>
    <m/>
  </r>
  <r>
    <x v="28"/>
    <x v="3"/>
    <x v="0"/>
    <m/>
    <x v="27"/>
    <m/>
    <n v="30415.999999999884"/>
    <n v="-30415.999999999884"/>
    <m/>
    <m/>
    <m/>
    <s v="Component 1"/>
    <m/>
  </r>
  <r>
    <x v="28"/>
    <x v="3"/>
    <x v="0"/>
    <m/>
    <x v="27"/>
    <m/>
    <n v="435593.76000000013"/>
    <n v="-435593.76000000013"/>
    <m/>
    <m/>
    <m/>
    <s v="Component 2"/>
    <m/>
  </r>
  <r>
    <x v="28"/>
    <x v="3"/>
    <x v="0"/>
    <m/>
    <x v="27"/>
    <m/>
    <n v="155025.17999999993"/>
    <n v="-155025.17999999993"/>
    <m/>
    <m/>
    <m/>
    <s v="Component 3"/>
    <m/>
  </r>
  <r>
    <x v="28"/>
    <x v="3"/>
    <x v="0"/>
    <m/>
    <x v="27"/>
    <m/>
    <n v="155790"/>
    <n v="-155790"/>
    <m/>
    <m/>
    <m/>
    <s v="Component 4"/>
    <m/>
  </r>
  <r>
    <x v="28"/>
    <x v="3"/>
    <x v="0"/>
    <m/>
    <x v="27"/>
    <m/>
    <n v="60780.04999999993"/>
    <n v="-60780.04999999993"/>
    <m/>
    <m/>
    <m/>
    <s v="Component 5"/>
    <m/>
  </r>
  <r>
    <x v="28"/>
    <x v="3"/>
    <x v="0"/>
    <m/>
    <x v="27"/>
    <m/>
    <n v="127827"/>
    <n v="-127827"/>
    <m/>
    <m/>
    <m/>
    <s v="Component 6"/>
    <m/>
  </r>
  <r>
    <x v="45"/>
    <x v="2"/>
    <x v="0"/>
    <m/>
    <x v="27"/>
    <m/>
    <n v="385540.39999999991"/>
    <n v="-385540.39999999991"/>
    <m/>
    <m/>
    <m/>
    <s v="Component 1"/>
    <m/>
  </r>
  <r>
    <x v="45"/>
    <x v="2"/>
    <x v="0"/>
    <m/>
    <x v="27"/>
    <m/>
    <n v="459795.06000000017"/>
    <n v="-459795.06000000017"/>
    <m/>
    <m/>
    <m/>
    <s v="Component 2"/>
    <m/>
  </r>
  <r>
    <x v="45"/>
    <x v="2"/>
    <x v="0"/>
    <m/>
    <x v="27"/>
    <m/>
    <n v="132180.59999999986"/>
    <n v="-132180.59999999986"/>
    <m/>
    <m/>
    <m/>
    <s v="Component 3"/>
    <m/>
  </r>
  <r>
    <x v="45"/>
    <x v="2"/>
    <x v="0"/>
    <m/>
    <x v="27"/>
    <m/>
    <n v="1180476"/>
    <n v="-1180476"/>
    <m/>
    <m/>
    <m/>
    <s v="Component 4"/>
    <m/>
  </r>
  <r>
    <x v="45"/>
    <x v="2"/>
    <x v="0"/>
    <m/>
    <x v="27"/>
    <m/>
    <n v="82298.699999999953"/>
    <n v="-82298.699999999953"/>
    <m/>
    <m/>
    <m/>
    <s v="Component 5"/>
    <m/>
  </r>
  <r>
    <x v="45"/>
    <x v="2"/>
    <x v="0"/>
    <m/>
    <x v="27"/>
    <m/>
    <n v="447238"/>
    <n v="-447238"/>
    <m/>
    <m/>
    <m/>
    <s v="Component 6"/>
    <m/>
  </r>
  <r>
    <x v="65"/>
    <x v="4"/>
    <x v="0"/>
    <m/>
    <x v="27"/>
    <m/>
    <n v="426927.99999999977"/>
    <n v="-426927.99999999977"/>
    <m/>
    <m/>
    <m/>
    <s v="Component 1"/>
    <m/>
  </r>
  <r>
    <x v="65"/>
    <x v="4"/>
    <x v="0"/>
    <m/>
    <x v="27"/>
    <m/>
    <n v="415182.18000000017"/>
    <n v="-415182.18000000017"/>
    <m/>
    <m/>
    <m/>
    <s v="Component 2"/>
    <m/>
  </r>
  <r>
    <x v="65"/>
    <x v="4"/>
    <x v="0"/>
    <m/>
    <x v="27"/>
    <m/>
    <n v="229372.36999999988"/>
    <n v="-229372.36999999988"/>
    <m/>
    <m/>
    <m/>
    <s v="Component 3"/>
    <m/>
  </r>
  <r>
    <x v="65"/>
    <x v="4"/>
    <x v="0"/>
    <m/>
    <x v="27"/>
    <m/>
    <n v="1720818"/>
    <n v="-1720818"/>
    <m/>
    <m/>
    <m/>
    <s v="Component 4"/>
    <m/>
  </r>
  <r>
    <x v="65"/>
    <x v="4"/>
    <x v="0"/>
    <m/>
    <x v="27"/>
    <m/>
    <n v="76952.199999999953"/>
    <n v="-76952.199999999953"/>
    <m/>
    <m/>
    <m/>
    <s v="Component 5"/>
    <m/>
  </r>
  <r>
    <x v="65"/>
    <x v="4"/>
    <x v="0"/>
    <m/>
    <x v="27"/>
    <m/>
    <n v="57266"/>
    <n v="-57266"/>
    <m/>
    <m/>
    <m/>
    <s v="Component 6"/>
    <m/>
  </r>
  <r>
    <x v="84"/>
    <x v="5"/>
    <x v="0"/>
    <m/>
    <x v="27"/>
    <m/>
    <n v="485344.7999999997"/>
    <n v="-485344.7999999997"/>
    <m/>
    <m/>
    <m/>
    <s v="Component 1"/>
    <m/>
  </r>
  <r>
    <x v="84"/>
    <x v="5"/>
    <x v="0"/>
    <m/>
    <x v="27"/>
    <m/>
    <n v="402234.42000000027"/>
    <n v="-402234.42000000027"/>
    <m/>
    <m/>
    <m/>
    <s v="Component 2"/>
    <m/>
  </r>
  <r>
    <x v="84"/>
    <x v="5"/>
    <x v="0"/>
    <m/>
    <x v="27"/>
    <m/>
    <n v="66159.059999999823"/>
    <n v="-66159.059999999823"/>
    <m/>
    <m/>
    <m/>
    <s v="Component 3"/>
    <m/>
  </r>
  <r>
    <x v="84"/>
    <x v="5"/>
    <x v="0"/>
    <m/>
    <x v="27"/>
    <m/>
    <n v="2045240"/>
    <n v="-2045240"/>
    <m/>
    <m/>
    <m/>
    <s v="Component 4"/>
    <m/>
  </r>
  <r>
    <x v="84"/>
    <x v="5"/>
    <x v="0"/>
    <m/>
    <x v="27"/>
    <m/>
    <n v="67582.199999999953"/>
    <n v="-67582.199999999953"/>
    <m/>
    <m/>
    <m/>
    <s v="Component 5"/>
    <m/>
  </r>
  <r>
    <x v="84"/>
    <x v="5"/>
    <x v="0"/>
    <m/>
    <x v="27"/>
    <m/>
    <n v="220837"/>
    <n v="-220837"/>
    <m/>
    <m/>
    <m/>
    <s v="Component 6"/>
    <m/>
  </r>
  <r>
    <x v="103"/>
    <x v="6"/>
    <x v="0"/>
    <m/>
    <x v="27"/>
    <m/>
    <n v="721887.99999999965"/>
    <n v="-721887.99999999965"/>
    <m/>
    <m/>
    <m/>
    <s v="Component 1"/>
    <m/>
  </r>
  <r>
    <x v="103"/>
    <x v="6"/>
    <x v="0"/>
    <m/>
    <x v="27"/>
    <m/>
    <n v="373452.48000000033"/>
    <n v="-373452.48000000033"/>
    <m/>
    <m/>
    <m/>
    <s v="Component 2"/>
    <m/>
  </r>
  <r>
    <x v="103"/>
    <x v="6"/>
    <x v="0"/>
    <m/>
    <x v="27"/>
    <m/>
    <n v="481405.99999999953"/>
    <n v="-481405.99999999953"/>
    <m/>
    <m/>
    <m/>
    <s v="Component 3"/>
    <m/>
  </r>
  <r>
    <x v="103"/>
    <x v="6"/>
    <x v="0"/>
    <m/>
    <x v="27"/>
    <m/>
    <n v="2971958"/>
    <n v="-2971958"/>
    <m/>
    <m/>
    <m/>
    <s v="Component 4"/>
    <m/>
  </r>
  <r>
    <x v="103"/>
    <x v="6"/>
    <x v="0"/>
    <m/>
    <x v="27"/>
    <m/>
    <n v="57456.600000000093"/>
    <n v="-57456.600000000093"/>
    <m/>
    <m/>
    <m/>
    <s v="Component 5"/>
    <m/>
  </r>
  <r>
    <x v="103"/>
    <x v="6"/>
    <x v="0"/>
    <m/>
    <x v="27"/>
    <m/>
    <n v="25381"/>
    <n v="-25381"/>
    <m/>
    <m/>
    <m/>
    <s v="Component 6"/>
    <m/>
  </r>
  <r>
    <x v="124"/>
    <x v="7"/>
    <x v="0"/>
    <m/>
    <x v="27"/>
    <m/>
    <n v="777343.19999999972"/>
    <n v="-777343.19999999972"/>
    <m/>
    <m/>
    <m/>
    <s v="Component 1"/>
    <m/>
  </r>
  <r>
    <x v="124"/>
    <x v="7"/>
    <x v="0"/>
    <m/>
    <x v="27"/>
    <m/>
    <n v="338635.60000000021"/>
    <n v="-338635.60000000021"/>
    <m/>
    <m/>
    <m/>
    <s v="Component 2"/>
    <m/>
  </r>
  <r>
    <x v="124"/>
    <x v="7"/>
    <x v="0"/>
    <m/>
    <x v="27"/>
    <m/>
    <n v="230813.51999999909"/>
    <n v="-230813.51999999909"/>
    <m/>
    <m/>
    <m/>
    <s v="Component 3"/>
    <m/>
  </r>
  <r>
    <x v="124"/>
    <x v="7"/>
    <x v="0"/>
    <m/>
    <x v="27"/>
    <m/>
    <n v="3299835"/>
    <n v="-3299835"/>
    <m/>
    <m/>
    <m/>
    <s v="Component 4"/>
    <m/>
  </r>
  <r>
    <x v="124"/>
    <x v="7"/>
    <x v="0"/>
    <m/>
    <x v="27"/>
    <m/>
    <n v="312893.00000000023"/>
    <n v="-312893.00000000023"/>
    <m/>
    <m/>
    <m/>
    <s v="Component 5"/>
    <m/>
  </r>
  <r>
    <x v="124"/>
    <x v="7"/>
    <x v="0"/>
    <m/>
    <x v="27"/>
    <m/>
    <n v="128486"/>
    <n v="-128486"/>
    <m/>
    <m/>
    <m/>
    <s v="Component 6"/>
    <m/>
  </r>
  <r>
    <x v="139"/>
    <x v="8"/>
    <x v="0"/>
    <m/>
    <x v="27"/>
    <m/>
    <n v="848263.99999999977"/>
    <n v="-848263.99999999977"/>
    <m/>
    <m/>
    <m/>
    <s v="Component 1"/>
    <m/>
  </r>
  <r>
    <x v="139"/>
    <x v="8"/>
    <x v="0"/>
    <m/>
    <x v="27"/>
    <m/>
    <n v="325975.68000000028"/>
    <n v="-325975.68000000028"/>
    <m/>
    <m/>
    <m/>
    <s v="Component 2"/>
    <m/>
  </r>
  <r>
    <x v="139"/>
    <x v="8"/>
    <x v="0"/>
    <m/>
    <x v="27"/>
    <m/>
    <n v="262236.59999999916"/>
    <n v="-262236.59999999916"/>
    <m/>
    <m/>
    <m/>
    <s v="Component 3"/>
    <m/>
  </r>
  <r>
    <x v="139"/>
    <x v="8"/>
    <x v="0"/>
    <m/>
    <x v="27"/>
    <m/>
    <n v="3246834"/>
    <n v="-3246834"/>
    <m/>
    <m/>
    <m/>
    <s v="Component 4"/>
    <m/>
  </r>
  <r>
    <x v="139"/>
    <x v="8"/>
    <x v="0"/>
    <m/>
    <x v="27"/>
    <m/>
    <n v="275113.30000000016"/>
    <n v="-275113.30000000016"/>
    <m/>
    <m/>
    <m/>
    <s v="Component 5"/>
    <m/>
  </r>
  <r>
    <x v="139"/>
    <x v="8"/>
    <x v="0"/>
    <m/>
    <x v="27"/>
    <m/>
    <n v="189441"/>
    <n v="-189441"/>
    <m/>
    <m/>
    <m/>
    <s v="Component 6"/>
    <m/>
  </r>
  <r>
    <x v="161"/>
    <x v="9"/>
    <x v="0"/>
    <m/>
    <x v="27"/>
    <m/>
    <n v="972703.19999999972"/>
    <n v="-972703.19999999972"/>
    <m/>
    <m/>
    <m/>
    <s v="Component 1"/>
    <m/>
  </r>
  <r>
    <x v="161"/>
    <x v="9"/>
    <x v="0"/>
    <m/>
    <x v="27"/>
    <m/>
    <n v="427551.18000000028"/>
    <n v="-427551.18000000028"/>
    <m/>
    <m/>
    <m/>
    <s v="Component 2"/>
    <m/>
  </r>
  <r>
    <x v="161"/>
    <x v="9"/>
    <x v="0"/>
    <m/>
    <x v="27"/>
    <m/>
    <n v="329941.47999999905"/>
    <n v="-329941.47999999905"/>
    <m/>
    <m/>
    <m/>
    <s v="Component 3"/>
    <m/>
  </r>
  <r>
    <x v="161"/>
    <x v="9"/>
    <x v="0"/>
    <m/>
    <x v="27"/>
    <m/>
    <n v="3813020"/>
    <n v="-3813020"/>
    <m/>
    <m/>
    <m/>
    <s v="Component 4"/>
    <m/>
  </r>
  <r>
    <x v="161"/>
    <x v="9"/>
    <x v="0"/>
    <m/>
    <x v="27"/>
    <m/>
    <n v="149955.30000000016"/>
    <n v="-149955.30000000016"/>
    <m/>
    <m/>
    <m/>
    <s v="Component 5"/>
    <m/>
  </r>
  <r>
    <x v="161"/>
    <x v="9"/>
    <x v="0"/>
    <m/>
    <x v="27"/>
    <m/>
    <n v="158814"/>
    <n v="-158814"/>
    <m/>
    <m/>
    <m/>
    <s v="Component 6"/>
    <m/>
  </r>
  <r>
    <x v="184"/>
    <x v="10"/>
    <x v="0"/>
    <m/>
    <x v="27"/>
    <m/>
    <n v="841701.59999999986"/>
    <n v="-841701.59999999986"/>
    <m/>
    <m/>
    <m/>
    <s v="Component 1"/>
    <m/>
  </r>
  <r>
    <x v="184"/>
    <x v="10"/>
    <x v="0"/>
    <m/>
    <x v="27"/>
    <m/>
    <n v="431522.30000000016"/>
    <n v="-431522.30000000016"/>
    <m/>
    <m/>
    <m/>
    <s v="Component 2"/>
    <m/>
  </r>
  <r>
    <x v="184"/>
    <x v="10"/>
    <x v="0"/>
    <m/>
    <x v="27"/>
    <m/>
    <n v="357806.19999999925"/>
    <n v="-357806.19999999925"/>
    <m/>
    <m/>
    <m/>
    <s v="Component 3"/>
    <m/>
  </r>
  <r>
    <x v="184"/>
    <x v="10"/>
    <x v="0"/>
    <m/>
    <x v="27"/>
    <m/>
    <n v="4236876"/>
    <n v="-4236876"/>
    <m/>
    <m/>
    <m/>
    <s v="Component 4"/>
    <m/>
  </r>
  <r>
    <x v="184"/>
    <x v="10"/>
    <x v="0"/>
    <m/>
    <x v="27"/>
    <m/>
    <n v="159932.00000000012"/>
    <n v="-159932.00000000012"/>
    <m/>
    <m/>
    <m/>
    <s v="Component 5"/>
    <m/>
  </r>
  <r>
    <x v="184"/>
    <x v="10"/>
    <x v="0"/>
    <m/>
    <x v="27"/>
    <m/>
    <n v="356972"/>
    <n v="-356972"/>
    <m/>
    <m/>
    <m/>
    <s v="Component 6"/>
    <m/>
  </r>
  <r>
    <x v="203"/>
    <x v="11"/>
    <x v="0"/>
    <m/>
    <x v="27"/>
    <m/>
    <n v="1085339.2"/>
    <n v="-1085339.2"/>
    <m/>
    <m/>
    <m/>
    <s v="Component 1"/>
    <m/>
  </r>
  <r>
    <x v="203"/>
    <x v="11"/>
    <x v="0"/>
    <m/>
    <x v="27"/>
    <m/>
    <n v="405619.66000000027"/>
    <n v="-405619.66000000027"/>
    <m/>
    <m/>
    <m/>
    <s v="Component 2"/>
    <m/>
  </r>
  <r>
    <x v="203"/>
    <x v="11"/>
    <x v="0"/>
    <m/>
    <x v="27"/>
    <m/>
    <n v="226366.37999999896"/>
    <n v="-226366.37999999896"/>
    <m/>
    <m/>
    <m/>
    <s v="Component 3"/>
    <m/>
  </r>
  <r>
    <x v="203"/>
    <x v="11"/>
    <x v="0"/>
    <m/>
    <x v="27"/>
    <m/>
    <n v="4145553"/>
    <n v="-4145553"/>
    <m/>
    <m/>
    <m/>
    <s v="Component 4"/>
    <m/>
  </r>
  <r>
    <x v="203"/>
    <x v="11"/>
    <x v="0"/>
    <m/>
    <x v="27"/>
    <m/>
    <n v="39506.000000000116"/>
    <n v="-39506.000000000116"/>
    <m/>
    <m/>
    <m/>
    <s v="Component 5"/>
    <m/>
  </r>
  <r>
    <x v="203"/>
    <x v="11"/>
    <x v="0"/>
    <m/>
    <x v="27"/>
    <m/>
    <n v="296412"/>
    <n v="-296412"/>
    <m/>
    <m/>
    <m/>
    <s v="Component 6"/>
    <m/>
  </r>
  <r>
    <x v="0"/>
    <x v="0"/>
    <x v="0"/>
    <m/>
    <x v="3"/>
    <n v="3607884"/>
    <m/>
    <n v="3607884"/>
    <m/>
    <m/>
    <m/>
    <m/>
    <m/>
  </r>
  <r>
    <x v="28"/>
    <x v="3"/>
    <x v="0"/>
    <m/>
    <x v="3"/>
    <n v="7214915.9019999998"/>
    <m/>
    <n v="7214915.9019999998"/>
    <m/>
    <m/>
    <m/>
    <m/>
    <m/>
  </r>
  <r>
    <x v="45"/>
    <x v="2"/>
    <x v="0"/>
    <m/>
    <x v="3"/>
    <n v="5825205.8999999994"/>
    <m/>
    <n v="5825205.8999999994"/>
    <m/>
    <m/>
    <m/>
    <m/>
    <m/>
  </r>
  <r>
    <x v="65"/>
    <x v="4"/>
    <x v="0"/>
    <m/>
    <x v="3"/>
    <n v="22839043.623999998"/>
    <m/>
    <n v="22839043.623999998"/>
    <m/>
    <m/>
    <m/>
    <m/>
    <m/>
  </r>
  <r>
    <x v="84"/>
    <x v="5"/>
    <x v="0"/>
    <m/>
    <x v="3"/>
    <n v="25553263.207999997"/>
    <m/>
    <n v="25553263.207999997"/>
    <m/>
    <m/>
    <m/>
    <m/>
    <m/>
  </r>
  <r>
    <x v="103"/>
    <x v="6"/>
    <x v="0"/>
    <m/>
    <x v="3"/>
    <n v="26096565.181999996"/>
    <m/>
    <n v="26096565.181999996"/>
    <m/>
    <m/>
    <m/>
    <m/>
    <m/>
  </r>
  <r>
    <x v="124"/>
    <x v="7"/>
    <x v="0"/>
    <m/>
    <x v="3"/>
    <n v="35733386.943999998"/>
    <m/>
    <n v="35733386.943999998"/>
    <m/>
    <m/>
    <m/>
    <m/>
    <m/>
  </r>
  <r>
    <x v="139"/>
    <x v="8"/>
    <x v="0"/>
    <m/>
    <x v="3"/>
    <n v="43738790.821999997"/>
    <m/>
    <n v="43738790.821999997"/>
    <m/>
    <m/>
    <m/>
    <m/>
    <m/>
  </r>
  <r>
    <x v="161"/>
    <x v="9"/>
    <x v="0"/>
    <m/>
    <x v="3"/>
    <n v="45618337.523999996"/>
    <m/>
    <n v="45618337.523999996"/>
    <m/>
    <m/>
    <m/>
    <m/>
    <m/>
  </r>
  <r>
    <x v="184"/>
    <x v="10"/>
    <x v="0"/>
    <m/>
    <x v="3"/>
    <n v="58977900.255999997"/>
    <m/>
    <n v="58977900.255999997"/>
    <m/>
    <m/>
    <m/>
    <m/>
    <m/>
  </r>
  <r>
    <x v="203"/>
    <x v="11"/>
    <x v="0"/>
    <m/>
    <x v="3"/>
    <n v="63938757.964000002"/>
    <m/>
    <n v="63938757.964000002"/>
    <m/>
    <m/>
    <m/>
    <m/>
    <m/>
  </r>
  <r>
    <x v="0"/>
    <x v="0"/>
    <x v="0"/>
    <m/>
    <x v="28"/>
    <m/>
    <n v="3607884"/>
    <n v="-3607884"/>
    <m/>
    <m/>
    <m/>
    <m/>
    <m/>
  </r>
  <r>
    <x v="28"/>
    <x v="3"/>
    <x v="0"/>
    <m/>
    <x v="28"/>
    <m/>
    <n v="7214915.9019999998"/>
    <n v="-7214915.9019999998"/>
    <m/>
    <m/>
    <m/>
    <m/>
    <m/>
  </r>
  <r>
    <x v="45"/>
    <x v="2"/>
    <x v="0"/>
    <m/>
    <x v="28"/>
    <m/>
    <n v="5825205.8999999994"/>
    <n v="-5825205.8999999994"/>
    <m/>
    <m/>
    <m/>
    <m/>
    <m/>
  </r>
  <r>
    <x v="65"/>
    <x v="4"/>
    <x v="0"/>
    <m/>
    <x v="28"/>
    <m/>
    <n v="22839043.623999998"/>
    <n v="-22839043.623999998"/>
    <m/>
    <m/>
    <m/>
    <m/>
    <m/>
  </r>
  <r>
    <x v="84"/>
    <x v="5"/>
    <x v="0"/>
    <m/>
    <x v="28"/>
    <m/>
    <n v="25553263.207999997"/>
    <n v="-25553263.207999997"/>
    <m/>
    <m/>
    <m/>
    <m/>
    <m/>
  </r>
  <r>
    <x v="103"/>
    <x v="6"/>
    <x v="0"/>
    <m/>
    <x v="28"/>
    <m/>
    <n v="26096565.181999996"/>
    <n v="-26096565.181999996"/>
    <m/>
    <m/>
    <m/>
    <m/>
    <m/>
  </r>
  <r>
    <x v="124"/>
    <x v="7"/>
    <x v="0"/>
    <m/>
    <x v="28"/>
    <m/>
    <n v="35733386.943999998"/>
    <n v="-35733386.943999998"/>
    <m/>
    <m/>
    <m/>
    <m/>
    <m/>
  </r>
  <r>
    <x v="139"/>
    <x v="8"/>
    <x v="0"/>
    <m/>
    <x v="28"/>
    <m/>
    <n v="43738790.821999997"/>
    <n v="-43738790.821999997"/>
    <m/>
    <m/>
    <m/>
    <m/>
    <m/>
  </r>
  <r>
    <x v="161"/>
    <x v="9"/>
    <x v="0"/>
    <m/>
    <x v="28"/>
    <m/>
    <n v="45618337.523999996"/>
    <n v="-45618337.523999996"/>
    <m/>
    <m/>
    <m/>
    <m/>
    <m/>
  </r>
  <r>
    <x v="184"/>
    <x v="10"/>
    <x v="0"/>
    <m/>
    <x v="28"/>
    <m/>
    <n v="58977900.255999997"/>
    <n v="-58977900.255999997"/>
    <m/>
    <m/>
    <m/>
    <m/>
    <m/>
  </r>
  <r>
    <x v="203"/>
    <x v="11"/>
    <x v="0"/>
    <m/>
    <x v="28"/>
    <m/>
    <n v="63938757.964000002"/>
    <n v="-63938757.964000002"/>
    <m/>
    <m/>
    <m/>
    <m/>
    <m/>
  </r>
  <r>
    <x v="255"/>
    <x v="12"/>
    <x v="2"/>
    <m/>
    <x v="29"/>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241C4E-8056-465E-ADC5-062A34FCFDF5}"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14">
    <pivotField axis="axisRow" showAll="0">
      <items count="7">
        <item x="0"/>
        <item x="1"/>
        <item x="2"/>
        <item x="3"/>
        <item x="4"/>
        <item x="5"/>
        <item t="default"/>
      </items>
    </pivotField>
    <pivotField showAll="0"/>
    <pivotField dataField="1" numFmtId="164" showAll="0">
      <items count="7">
        <item x="4"/>
        <item x="0"/>
        <item x="1"/>
        <item x="2"/>
        <item x="5"/>
        <item x="3"/>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0"/>
  </rowFields>
  <rowItems count="7">
    <i>
      <x/>
    </i>
    <i>
      <x v="1"/>
    </i>
    <i>
      <x v="2"/>
    </i>
    <i>
      <x v="3"/>
    </i>
    <i>
      <x v="4"/>
    </i>
    <i>
      <x v="5"/>
    </i>
    <i t="grand">
      <x/>
    </i>
  </rowItems>
  <colItems count="1">
    <i/>
  </colItems>
  <dataFields count="1">
    <dataField name="Sum of 02/01/2022"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C59828-99D3-4592-BB60-AD65D59E2943}"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2" firstHeaderRow="0" firstDataRow="1" firstDataCol="1"/>
  <pivotFields count="7">
    <pivotField axis="axisRow" numFmtId="14" showAll="0">
      <items count="25">
        <item sd="0" x="0"/>
        <item sd="0" x="12"/>
        <item sd="0" x="1"/>
        <item sd="0" x="13"/>
        <item sd="0" x="2"/>
        <item sd="0" x="14"/>
        <item x="3"/>
        <item x="15"/>
        <item x="4"/>
        <item x="16"/>
        <item x="5"/>
        <item x="17"/>
        <item x="6"/>
        <item x="18"/>
        <item x="7"/>
        <item x="19"/>
        <item x="8"/>
        <item x="20"/>
        <item x="9"/>
        <item x="21"/>
        <item x="10"/>
        <item x="22"/>
        <item x="11"/>
        <item x="23"/>
        <item t="default"/>
      </items>
    </pivotField>
    <pivotField axis="axisRow" showAll="0">
      <items count="7">
        <item x="0"/>
        <item x="3"/>
        <item x="4"/>
        <item x="5"/>
        <item h="1" x="1"/>
        <item x="2"/>
        <item t="default"/>
      </items>
    </pivotField>
    <pivotField dataField="1"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x="1"/>
        <item x="2"/>
        <item x="3"/>
        <item sd="0" x="4"/>
        <item sd="0" x="5"/>
        <item sd="0" x="6"/>
        <item sd="0" x="7"/>
        <item sd="0" x="8"/>
        <item sd="0" x="9"/>
        <item sd="0" x="10"/>
        <item sd="0" x="11"/>
        <item sd="0" x="12"/>
        <item sd="0" x="13"/>
        <item t="default"/>
      </items>
    </pivotField>
  </pivotFields>
  <rowFields count="3">
    <field x="6"/>
    <field x="0"/>
    <field x="1"/>
  </rowFields>
  <rowItems count="19">
    <i>
      <x v="1"/>
    </i>
    <i r="1">
      <x/>
    </i>
    <i r="1">
      <x v="1"/>
    </i>
    <i>
      <x v="2"/>
    </i>
    <i r="1">
      <x v="2"/>
    </i>
    <i r="1">
      <x v="3"/>
    </i>
    <i>
      <x v="3"/>
    </i>
    <i r="1">
      <x v="4"/>
    </i>
    <i r="1">
      <x v="5"/>
    </i>
    <i>
      <x v="4"/>
    </i>
    <i>
      <x v="5"/>
    </i>
    <i>
      <x v="6"/>
    </i>
    <i>
      <x v="7"/>
    </i>
    <i>
      <x v="8"/>
    </i>
    <i>
      <x v="9"/>
    </i>
    <i>
      <x v="10"/>
    </i>
    <i>
      <x v="11"/>
    </i>
    <i>
      <x v="12"/>
    </i>
    <i t="grand">
      <x/>
    </i>
  </rowItems>
  <colFields count="1">
    <field x="-2"/>
  </colFields>
  <colItems count="2">
    <i>
      <x/>
    </i>
    <i i="1">
      <x v="1"/>
    </i>
  </colItems>
  <dataFields count="2">
    <dataField name="Sum of C" fld="2" baseField="0" baseItem="0"/>
    <dataField name="Sum of 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7692C3-665B-4EA6-8BBF-FF174C558CC6}"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7:N71" firstHeaderRow="0" firstDataRow="1" firstDataCol="1"/>
  <pivotFields count="14">
    <pivotField showAll="0">
      <items count="11">
        <item x="0"/>
        <item x="9"/>
        <item x="1"/>
        <item x="2"/>
        <item x="3"/>
        <item x="4"/>
        <item x="5"/>
        <item x="6"/>
        <item x="7"/>
        <item x="8"/>
        <item t="default"/>
      </items>
    </pivotField>
    <pivotField axis="axisRow" showAll="0">
      <items count="4">
        <item x="1"/>
        <item x="2"/>
        <item x="0"/>
        <item t="default"/>
      </items>
    </pivotField>
    <pivotField dataField="1" numFmtId="167" showAll="0">
      <items count="11">
        <item x="5"/>
        <item x="2"/>
        <item x="3"/>
        <item x="1"/>
        <item x="7"/>
        <item x="9"/>
        <item x="4"/>
        <item x="6"/>
        <item x="8"/>
        <item x="0"/>
        <item t="default"/>
      </items>
    </pivotField>
    <pivotField dataField="1" numFmtId="167" showAll="0"/>
    <pivotField dataField="1" numFmtId="167" showAll="0"/>
    <pivotField dataField="1" numFmtId="167" showAll="0"/>
    <pivotField dataField="1" numFmtId="167" showAll="0"/>
    <pivotField dataField="1" numFmtId="167" showAll="0"/>
    <pivotField dataField="1" numFmtId="167" showAll="0"/>
    <pivotField dataField="1" numFmtId="167" showAll="0"/>
    <pivotField dataField="1" numFmtId="167" showAll="0"/>
    <pivotField dataField="1" numFmtId="167" showAll="0"/>
    <pivotField dataField="1" numFmtId="167" showAll="0"/>
    <pivotField dataField="1" numFmtId="167" showAll="0"/>
  </pivotFields>
  <rowFields count="1">
    <field x="1"/>
  </rowFields>
  <rowItems count="4">
    <i>
      <x/>
    </i>
    <i>
      <x v="1"/>
    </i>
    <i>
      <x v="2"/>
    </i>
    <i t="grand">
      <x/>
    </i>
  </rowItems>
  <colFields count="1">
    <field x="-2"/>
  </colFields>
  <colItems count="12">
    <i>
      <x/>
    </i>
    <i i="1">
      <x v="1"/>
    </i>
    <i i="2">
      <x v="2"/>
    </i>
    <i i="3">
      <x v="3"/>
    </i>
    <i i="4">
      <x v="4"/>
    </i>
    <i i="5">
      <x v="5"/>
    </i>
    <i i="6">
      <x v="6"/>
    </i>
    <i i="7">
      <x v="7"/>
    </i>
    <i i="8">
      <x v="8"/>
    </i>
    <i i="9">
      <x v="9"/>
    </i>
    <i i="10">
      <x v="10"/>
    </i>
    <i i="11">
      <x v="11"/>
    </i>
  </colItems>
  <dataFields count="12">
    <dataField name="Sum of January" fld="2" baseField="0" baseItem="0"/>
    <dataField name="Sum of February" fld="3" baseField="0" baseItem="0"/>
    <dataField name="Sum of March" fld="4" baseField="0" baseItem="0"/>
    <dataField name="Sum of April" fld="5" baseField="0" baseItem="0"/>
    <dataField name="Sum of May" fld="6" baseField="0" baseItem="0"/>
    <dataField name="Sum of June" fld="7" baseField="0" baseItem="0"/>
    <dataField name="Sum of July" fld="8" baseField="0" baseItem="0"/>
    <dataField name="Sum of August" fld="9" baseField="0" baseItem="0"/>
    <dataField name="Sum of September" fld="10" baseField="0" baseItem="0"/>
    <dataField name="Sum of October" fld="11" baseField="0" baseItem="0"/>
    <dataField name="Sum of November" fld="12" baseField="0" baseItem="0"/>
    <dataField name="Sum of December" fld="13" baseField="0" baseItem="0"/>
  </dataFields>
  <formats count="2">
    <format dxfId="33">
      <pivotArea outline="0" collapsedLevelsAreSubtotals="1" fieldPosition="0"/>
    </format>
    <format dxfId="32">
      <pivotArea dataOnly="0" labelOnly="1" outline="0" fieldPosition="0">
        <references count="1">
          <reference field="4294967294" count="12">
            <x v="0"/>
            <x v="1"/>
            <x v="2"/>
            <x v="3"/>
            <x v="4"/>
            <x v="5"/>
            <x v="6"/>
            <x v="7"/>
            <x v="8"/>
            <x v="9"/>
            <x v="1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B45D90-938F-42A3-B91E-5CAA3C47E82E}"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0:N64" firstHeaderRow="0" firstDataRow="1" firstDataCol="1"/>
  <pivotFields count="13">
    <pivotField axis="axisRow" showAll="0">
      <items count="4">
        <item x="1"/>
        <item x="2"/>
        <item x="0"/>
        <item t="default"/>
      </items>
    </pivotField>
    <pivotField dataField="1" numFmtId="164"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4">
    <i>
      <x/>
    </i>
    <i>
      <x v="1"/>
    </i>
    <i>
      <x v="2"/>
    </i>
    <i t="grand">
      <x/>
    </i>
  </rowItems>
  <colFields count="1">
    <field x="-2"/>
  </colFields>
  <colItems count="12">
    <i>
      <x/>
    </i>
    <i i="1">
      <x v="1"/>
    </i>
    <i i="2">
      <x v="2"/>
    </i>
    <i i="3">
      <x v="3"/>
    </i>
    <i i="4">
      <x v="4"/>
    </i>
    <i i="5">
      <x v="5"/>
    </i>
    <i i="6">
      <x v="6"/>
    </i>
    <i i="7">
      <x v="7"/>
    </i>
    <i i="8">
      <x v="8"/>
    </i>
    <i i="9">
      <x v="9"/>
    </i>
    <i i="10">
      <x v="10"/>
    </i>
    <i i="11">
      <x v="11"/>
    </i>
  </colItems>
  <dataFields count="12">
    <dataField name="Sum of January" fld="1" baseField="0" baseItem="0"/>
    <dataField name="Sum of February" fld="2" baseField="0" baseItem="0"/>
    <dataField name="Sum of March" fld="3" baseField="0" baseItem="0"/>
    <dataField name="Sum of April" fld="4" baseField="0" baseItem="0"/>
    <dataField name="Sum of May" fld="5" baseField="0" baseItem="0"/>
    <dataField name="Sum of June" fld="6" baseField="0" baseItem="0"/>
    <dataField name="Sum of July" fld="7" baseField="0" baseItem="0"/>
    <dataField name="Sum of August" fld="8" baseField="0" baseItem="0"/>
    <dataField name="Sum of September" fld="9" baseField="0" baseItem="0"/>
    <dataField name="Sum of October" fld="10" baseField="0" baseItem="0"/>
    <dataField name="Sum of November" fld="11" baseField="0" baseItem="0"/>
    <dataField name="Sum of December" fld="12" baseField="0" baseItem="0"/>
  </dataFields>
  <formats count="1">
    <format dxfId="34">
      <pivotArea collapsedLevelsAreSubtotals="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6AB10D-3ECD-4CEF-AF22-B5EB573986B2}" name="PivotTable1" cacheId="2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17" firstHeaderRow="1" firstDataRow="1" firstDataCol="2" rowPageCount="1" colPageCount="1"/>
  <pivotFields count="16">
    <pivotField compact="0" outline="0" showAll="0">
      <items count="258">
        <item x="1"/>
        <item x="3"/>
        <item x="4"/>
        <item x="5"/>
        <item x="6"/>
        <item x="7"/>
        <item x="8"/>
        <item x="9"/>
        <item x="10"/>
        <item x="11"/>
        <item x="12"/>
        <item x="13"/>
        <item x="14"/>
        <item x="15"/>
        <item x="0"/>
        <item x="16"/>
        <item x="17"/>
        <item x="18"/>
        <item m="1" x="256"/>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2"/>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t="default"/>
      </items>
      <extLst>
        <ext xmlns:x14="http://schemas.microsoft.com/office/spreadsheetml/2009/9/main" uri="{2946ED86-A175-432a-8AC1-64E0C546D7DE}">
          <x14:pivotField fillDownLabels="1"/>
        </ext>
      </extLst>
    </pivotField>
    <pivotField axis="axisRow" compact="0" outline="0" showAll="0" defaultSubtotal="0">
      <items count="13">
        <item x="1"/>
        <item x="0"/>
        <item x="3"/>
        <item x="2"/>
        <item x="4"/>
        <item x="5"/>
        <item x="6"/>
        <item x="7"/>
        <item x="8"/>
        <item x="9"/>
        <item x="10"/>
        <item x="11"/>
        <item x="12"/>
      </items>
      <extLst>
        <ext xmlns:x14="http://schemas.microsoft.com/office/spreadsheetml/2009/9/main" uri="{2946ED86-A175-432a-8AC1-64E0C546D7DE}">
          <x14:pivotField fillDownLabels="1"/>
        </ext>
      </extLst>
    </pivotField>
    <pivotField axis="axisPage" compact="0" outline="0" multipleItemSelectionAllowed="1" showAll="0">
      <items count="4">
        <item x="0"/>
        <item h="1" x="1"/>
        <item h="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5">
        <item h="1" x="0"/>
        <item h="1" x="2"/>
        <item h="1" m="1" x="41"/>
        <item h="1" x="16"/>
        <item h="1" m="1" x="42"/>
        <item h="1" x="21"/>
        <item h="1" x="22"/>
        <item h="1" x="23"/>
        <item h="1" m="1" x="30"/>
        <item h="1" m="1" x="31"/>
        <item h="1" m="1" x="32"/>
        <item h="1" m="1" x="34"/>
        <item h="1" m="1" x="39"/>
        <item x="3"/>
        <item h="1" x="10"/>
        <item h="1" x="17"/>
        <item h="1" x="18"/>
        <item h="1" x="19"/>
        <item h="1" m="1" x="36"/>
        <item h="1" m="1" x="40"/>
        <item h="1" x="4"/>
        <item h="1" x="24"/>
        <item h="1" x="11"/>
        <item h="1" x="12"/>
        <item h="1" x="13"/>
        <item h="1" m="1" x="37"/>
        <item h="1" m="1" x="43"/>
        <item h="1" m="1" x="33"/>
        <item h="1" x="20"/>
        <item h="1" m="1" x="35"/>
        <item h="1" x="25"/>
        <item h="1" m="1" x="38"/>
        <item h="1" x="6"/>
        <item h="1" x="7"/>
        <item h="1" x="5"/>
        <item h="1" x="15"/>
        <item h="1" x="8"/>
        <item h="1" x="9"/>
        <item h="1" x="14"/>
        <item h="1" x="29"/>
        <item h="1" x="1"/>
        <item h="1" x="26"/>
        <item h="1" x="27"/>
        <item h="1" x="2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0"/>
        <item x="1"/>
        <item x="2"/>
        <item x="3"/>
      </items>
      <extLst>
        <ext xmlns:x14="http://schemas.microsoft.com/office/spreadsheetml/2009/9/main" uri="{2946ED86-A175-432a-8AC1-64E0C546D7DE}">
          <x14:pivotField fillDownLabels="1"/>
        </ext>
      </extLst>
    </pivotField>
  </pivotFields>
  <rowFields count="2">
    <field x="4"/>
    <field x="1"/>
  </rowFields>
  <rowItems count="14">
    <i>
      <x v="13"/>
      <x/>
    </i>
    <i r="1">
      <x v="1"/>
    </i>
    <i r="1">
      <x v="2"/>
    </i>
    <i r="1">
      <x v="3"/>
    </i>
    <i r="1">
      <x v="4"/>
    </i>
    <i r="1">
      <x v="5"/>
    </i>
    <i r="1">
      <x v="6"/>
    </i>
    <i r="1">
      <x v="7"/>
    </i>
    <i r="1">
      <x v="8"/>
    </i>
    <i r="1">
      <x v="9"/>
    </i>
    <i r="1">
      <x v="10"/>
    </i>
    <i r="1">
      <x v="11"/>
    </i>
    <i t="default">
      <x v="13"/>
    </i>
    <i t="grand">
      <x/>
    </i>
  </rowItems>
  <colItems count="1">
    <i/>
  </colItems>
  <pageFields count="1">
    <pageField fld="2" hier="-1"/>
  </pageFields>
  <dataFields count="1">
    <dataField name="Sum of Solde" fld="7" baseField="0" baseItem="0" numFmtId="167"/>
  </dataFields>
  <formats count="4">
    <format dxfId="31">
      <pivotArea outline="0" collapsedLevelsAreSubtotals="1" fieldPosition="0"/>
    </format>
    <format dxfId="30">
      <pivotArea outline="0" collapsedLevelsAreSubtotals="1" fieldPosition="0">
        <references count="1">
          <reference field="1" count="1" selected="0">
            <x v="7"/>
          </reference>
        </references>
      </pivotArea>
    </format>
    <format dxfId="29">
      <pivotArea outline="0" collapsedLevelsAreSubtotals="1" fieldPosition="0">
        <references count="1">
          <reference field="1" count="1" selected="0">
            <x v="10"/>
          </reference>
        </references>
      </pivotArea>
    </format>
    <format dxfId="28">
      <pivotArea outline="0" collapsedLevelsAreSubtotals="1" fieldPosition="0">
        <references count="1">
          <reference field="1"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BC083E-7620-4032-AC06-87641F3465A2}"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I12" firstHeaderRow="0" firstDataRow="1" firstDataCol="1" rowPageCount="2" colPageCount="1"/>
  <pivotFields count="16">
    <pivotField numFmtId="14" showAll="0">
      <items count="258">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6"/>
        <item x="47"/>
        <item x="48"/>
        <item x="49"/>
        <item x="50"/>
        <item x="51"/>
        <item x="52"/>
        <item x="53"/>
        <item x="54"/>
        <item x="55"/>
        <item x="56"/>
        <item x="57"/>
        <item x="2"/>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1"/>
        <item x="0"/>
        <item x="45"/>
        <item x="103"/>
        <item x="161"/>
        <item x="203"/>
        <item m="1" x="256"/>
        <item t="default"/>
      </items>
    </pivotField>
    <pivotField showAll="0"/>
    <pivotField showAll="0"/>
    <pivotField showAll="0"/>
    <pivotField axis="axisRow" showAll="0">
      <items count="45">
        <item x="10"/>
        <item h="1" x="11"/>
        <item h="1" x="12"/>
        <item h="1" x="13"/>
        <item h="1" x="7"/>
        <item h="1" x="14"/>
        <item h="1" x="29"/>
        <item x="15"/>
        <item h="1" x="2"/>
        <item h="1" x="0"/>
        <item h="1" x="3"/>
        <item h="1" m="1" x="33"/>
        <item h="1" x="8"/>
        <item h="1" m="1" x="34"/>
        <item h="1" m="1" x="35"/>
        <item h="1" m="1" x="41"/>
        <item h="1" m="1" x="36"/>
        <item x="20"/>
        <item h="1" m="1" x="37"/>
        <item h="1" m="1" x="38"/>
        <item h="1" m="1" x="39"/>
        <item h="1" m="1" x="40"/>
        <item x="17"/>
        <item x="16"/>
        <item h="1" m="1" x="43"/>
        <item m="1" x="42"/>
        <item x="19"/>
        <item x="18"/>
        <item h="1" x="6"/>
        <item h="1" x="4"/>
        <item h="1" x="9"/>
        <item h="1" x="5"/>
        <item h="1" x="25"/>
        <item h="1" x="24"/>
        <item h="1" x="21"/>
        <item h="1" x="23"/>
        <item h="1" x="22"/>
        <item h="1" m="1" x="30"/>
        <item h="1" m="1" x="31"/>
        <item h="1" m="1" x="32"/>
        <item h="1" x="1"/>
        <item h="1" x="26"/>
        <item h="1" x="27"/>
        <item h="1" x="28"/>
        <item t="default"/>
      </items>
    </pivotField>
    <pivotField dataField="1" showAll="0"/>
    <pivotField dataField="1" showAll="0"/>
    <pivotField dataField="1" numFmtId="167" showAll="0"/>
    <pivotField showAll="0"/>
    <pivotField showAll="0"/>
    <pivotField showAll="0"/>
    <pivotField showAll="0"/>
    <pivotField showAll="0"/>
    <pivotField axis="axisPage" multipleItemSelectionAllowed="1" showAll="0">
      <items count="15">
        <item h="1" sd="0" x="0"/>
        <item sd="0" x="1"/>
        <item h="1" sd="0" x="2"/>
        <item h="1" sd="0" x="3"/>
        <item h="1" sd="0" x="4"/>
        <item h="1" sd="0" x="5"/>
        <item h="1" sd="0" x="6"/>
        <item h="1" sd="0" x="7"/>
        <item h="1" sd="0" x="8"/>
        <item h="1" sd="0" x="9"/>
        <item h="1" sd="0" x="10"/>
        <item h="1" sd="0" x="11"/>
        <item h="1" sd="0" x="12"/>
        <item h="1" sd="0" x="13"/>
        <item t="default"/>
      </items>
    </pivotField>
    <pivotField showAll="0">
      <items count="7">
        <item sd="0" x="1"/>
        <item sd="0" x="2"/>
        <item sd="0" x="3"/>
        <item sd="0" x="4"/>
        <item sd="0" x="5"/>
        <item x="0"/>
        <item t="default"/>
      </items>
    </pivotField>
    <pivotField axis="axisPage" multipleItemSelectionAllowed="1" showAll="0">
      <items count="5">
        <item sd="0" x="1"/>
        <item h="1" sd="0" x="2"/>
        <item h="1" sd="0" x="3"/>
        <item h="1" x="0"/>
        <item t="default"/>
      </items>
    </pivotField>
  </pivotFields>
  <rowFields count="1">
    <field x="4"/>
  </rowFields>
  <rowItems count="8">
    <i>
      <x/>
    </i>
    <i>
      <x v="7"/>
    </i>
    <i>
      <x v="17"/>
    </i>
    <i>
      <x v="22"/>
    </i>
    <i>
      <x v="23"/>
    </i>
    <i>
      <x v="26"/>
    </i>
    <i>
      <x v="27"/>
    </i>
    <i t="grand">
      <x/>
    </i>
  </rowItems>
  <colFields count="1">
    <field x="-2"/>
  </colFields>
  <colItems count="3">
    <i>
      <x/>
    </i>
    <i i="1">
      <x v="1"/>
    </i>
    <i i="2">
      <x v="2"/>
    </i>
  </colItems>
  <pageFields count="2">
    <pageField fld="15" hier="-1"/>
    <pageField fld="13" hier="-1"/>
  </pageFields>
  <dataFields count="3">
    <dataField name="Sum of Debit" fld="5" baseField="0" baseItem="0"/>
    <dataField name="Sum of Credit" fld="6" baseField="0" baseItem="0"/>
    <dataField name="Sum of Solde" fld="7" baseField="0" baseItem="0"/>
  </dataFields>
  <formats count="6">
    <format dxfId="10">
      <pivotArea type="all" dataOnly="0" outline="0" fieldPosition="0"/>
    </format>
    <format dxfId="9">
      <pivotArea outline="0" collapsedLevelsAreSubtotals="1" fieldPosition="0"/>
    </format>
    <format dxfId="8">
      <pivotArea field="4" type="button" dataOnly="0" labelOnly="1" outline="0" axis="axisRow" fieldPosition="0"/>
    </format>
    <format dxfId="7">
      <pivotArea dataOnly="0" labelOnly="1" fieldPosition="0">
        <references count="1">
          <reference field="4" count="0"/>
        </references>
      </pivotArea>
    </format>
    <format dxfId="6">
      <pivotArea dataOnly="0" labelOnly="1" grandRow="1" outline="0" fieldPosition="0"/>
    </format>
    <format dxfId="5">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560885-F890-46B0-AE9A-2CA5D19B3B03}"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8" firstHeaderRow="0" firstDataRow="1" firstDataCol="1" rowPageCount="2" colPageCount="1"/>
  <pivotFields count="16">
    <pivotField numFmtId="14" showAll="0">
      <items count="258">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6"/>
        <item x="47"/>
        <item x="48"/>
        <item x="49"/>
        <item x="50"/>
        <item x="51"/>
        <item x="52"/>
        <item x="53"/>
        <item x="54"/>
        <item x="55"/>
        <item x="56"/>
        <item x="57"/>
        <item x="2"/>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1"/>
        <item x="0"/>
        <item x="45"/>
        <item x="103"/>
        <item x="161"/>
        <item x="203"/>
        <item m="1" x="256"/>
        <item t="default"/>
      </items>
    </pivotField>
    <pivotField showAll="0"/>
    <pivotField showAll="0"/>
    <pivotField showAll="0"/>
    <pivotField axis="axisRow" showAll="0">
      <items count="45">
        <item h="1" x="10"/>
        <item x="11"/>
        <item x="12"/>
        <item x="13"/>
        <item x="7"/>
        <item x="14"/>
        <item h="1" x="29"/>
        <item h="1" x="15"/>
        <item x="2"/>
        <item x="0"/>
        <item x="3"/>
        <item m="1" x="33"/>
        <item x="8"/>
        <item m="1" x="34"/>
        <item m="1" x="35"/>
        <item m="1" x="41"/>
        <item m="1" x="36"/>
        <item h="1" x="20"/>
        <item m="1" x="37"/>
        <item m="1" x="38"/>
        <item m="1" x="39"/>
        <item m="1" x="40"/>
        <item h="1" x="17"/>
        <item h="1" x="16"/>
        <item m="1" x="43"/>
        <item m="1" x="42"/>
        <item h="1" x="19"/>
        <item h="1" x="18"/>
        <item x="6"/>
        <item x="4"/>
        <item x="9"/>
        <item x="5"/>
        <item x="25"/>
        <item x="24"/>
        <item x="21"/>
        <item x="23"/>
        <item x="22"/>
        <item h="1" m="1" x="30"/>
        <item m="1" x="31"/>
        <item m="1" x="32"/>
        <item x="1"/>
        <item x="26"/>
        <item x="27"/>
        <item x="28"/>
        <item t="default"/>
      </items>
    </pivotField>
    <pivotField dataField="1" showAll="0"/>
    <pivotField dataField="1" showAll="0"/>
    <pivotField dataField="1" numFmtId="167" showAll="0"/>
    <pivotField showAll="0"/>
    <pivotField showAll="0"/>
    <pivotField showAll="0"/>
    <pivotField showAll="0"/>
    <pivotField showAll="0"/>
    <pivotField axis="axisPage" multipleItemSelectionAllowed="1" showAll="0">
      <items count="15">
        <item h="1" sd="0" x="0"/>
        <item sd="0" x="1"/>
        <item h="1" sd="0" x="2"/>
        <item h="1" sd="0" x="3"/>
        <item h="1" sd="0" x="4"/>
        <item h="1" sd="0" x="5"/>
        <item h="1" sd="0" x="6"/>
        <item h="1" sd="0" x="7"/>
        <item h="1" sd="0" x="8"/>
        <item h="1" sd="0" x="9"/>
        <item h="1" sd="0" x="10"/>
        <item h="1" sd="0" x="11"/>
        <item h="1" sd="0" x="12"/>
        <item h="1" sd="0" x="13"/>
        <item t="default"/>
      </items>
    </pivotField>
    <pivotField showAll="0">
      <items count="7">
        <item sd="0" x="1"/>
        <item sd="0" x="2"/>
        <item sd="0" x="3"/>
        <item sd="0" x="4"/>
        <item sd="0" x="5"/>
        <item x="0"/>
        <item t="default"/>
      </items>
    </pivotField>
    <pivotField axis="axisPage" multipleItemSelectionAllowed="1" showAll="0">
      <items count="5">
        <item sd="0" x="1"/>
        <item h="1" sd="0" x="2"/>
        <item h="1" sd="0" x="3"/>
        <item h="1" x="0"/>
        <item t="default"/>
      </items>
    </pivotField>
  </pivotFields>
  <rowFields count="1">
    <field x="4"/>
  </rowFields>
  <rowItems count="14">
    <i>
      <x v="1"/>
    </i>
    <i>
      <x v="2"/>
    </i>
    <i>
      <x v="3"/>
    </i>
    <i>
      <x v="4"/>
    </i>
    <i>
      <x v="5"/>
    </i>
    <i>
      <x v="8"/>
    </i>
    <i>
      <x v="9"/>
    </i>
    <i>
      <x v="10"/>
    </i>
    <i>
      <x v="12"/>
    </i>
    <i>
      <x v="28"/>
    </i>
    <i>
      <x v="29"/>
    </i>
    <i>
      <x v="30"/>
    </i>
    <i>
      <x v="31"/>
    </i>
    <i t="grand">
      <x/>
    </i>
  </rowItems>
  <colFields count="1">
    <field x="-2"/>
  </colFields>
  <colItems count="3">
    <i>
      <x/>
    </i>
    <i i="1">
      <x v="1"/>
    </i>
    <i i="2">
      <x v="2"/>
    </i>
  </colItems>
  <pageFields count="2">
    <pageField fld="15" hier="-1"/>
    <pageField fld="13" hier="-1"/>
  </pageFields>
  <dataFields count="3">
    <dataField name="Sum of Debit" fld="5" baseField="0" baseItem="0"/>
    <dataField name="Sum of Credit" fld="6" baseField="0" baseItem="0"/>
    <dataField name="Sum of Solde" fld="7" baseField="0" baseItem="0"/>
  </dataFields>
  <formats count="17">
    <format dxfId="27">
      <pivotArea collapsedLevelsAreSubtotals="1" fieldPosition="0">
        <references count="2">
          <reference field="4294967294" count="1" selected="0">
            <x v="2"/>
          </reference>
          <reference field="4" count="0"/>
        </references>
      </pivotArea>
    </format>
    <format dxfId="26">
      <pivotArea outline="0" collapsedLevelsAreSubtotals="1" fieldPosition="0"/>
    </format>
    <format dxfId="25">
      <pivotArea dataOnly="0" labelOnly="1" outline="0" fieldPosition="0">
        <references count="1">
          <reference field="4294967294" count="3">
            <x v="0"/>
            <x v="1"/>
            <x v="2"/>
          </reference>
        </references>
      </pivotArea>
    </format>
    <format dxfId="24">
      <pivotArea collapsedLevelsAreSubtotals="1" fieldPosition="0">
        <references count="2">
          <reference field="4294967294" count="1" selected="0">
            <x v="0"/>
          </reference>
          <reference field="4" count="1">
            <x v="20"/>
          </reference>
        </references>
      </pivotArea>
    </format>
    <format dxfId="23">
      <pivotArea collapsedLevelsAreSubtotals="1" fieldPosition="0">
        <references count="2">
          <reference field="4294967294" count="1" selected="0">
            <x v="1"/>
          </reference>
          <reference field="4" count="1">
            <x v="13"/>
          </reference>
        </references>
      </pivotArea>
    </format>
    <format dxfId="22">
      <pivotArea collapsedLevelsAreSubtotals="1" fieldPosition="0">
        <references count="2">
          <reference field="4294967294" count="1" selected="0">
            <x v="1"/>
          </reference>
          <reference field="4" count="1">
            <x v="12"/>
          </reference>
        </references>
      </pivotArea>
    </format>
    <format dxfId="21">
      <pivotArea collapsedLevelsAreSubtotals="1" fieldPosition="0">
        <references count="2">
          <reference field="4294967294" count="1" selected="0">
            <x v="0"/>
          </reference>
          <reference field="4" count="1">
            <x v="18"/>
          </reference>
        </references>
      </pivotArea>
    </format>
    <format dxfId="20">
      <pivotArea collapsedLevelsAreSubtotals="1" fieldPosition="0">
        <references count="2">
          <reference field="4294967294" count="1" selected="0">
            <x v="0"/>
          </reference>
          <reference field="4" count="1">
            <x v="14"/>
          </reference>
        </references>
      </pivotArea>
    </format>
    <format dxfId="19">
      <pivotArea collapsedLevelsAreSubtotals="1" fieldPosition="0">
        <references count="2">
          <reference field="4294967294" count="1" selected="0">
            <x v="1"/>
          </reference>
          <reference field="4" count="1">
            <x v="19"/>
          </reference>
        </references>
      </pivotArea>
    </format>
    <format dxfId="18">
      <pivotArea collapsedLevelsAreSubtotals="1" fieldPosition="0">
        <references count="2">
          <reference field="4294967294" count="1" selected="0">
            <x v="1"/>
          </reference>
          <reference field="4" count="1">
            <x v="15"/>
          </reference>
        </references>
      </pivotArea>
    </format>
    <format dxfId="17">
      <pivotArea collapsedLevelsAreSubtotals="1" fieldPosition="0">
        <references count="2">
          <reference field="4294967294" count="1" selected="0">
            <x v="0"/>
          </reference>
          <reference field="4" count="1">
            <x v="24"/>
          </reference>
        </references>
      </pivotArea>
    </format>
    <format dxfId="16">
      <pivotArea collapsedLevelsAreSubtotals="1" fieldPosition="0">
        <references count="2">
          <reference field="4294967294" count="1" selected="0">
            <x v="1"/>
          </reference>
          <reference field="4" count="1">
            <x v="15"/>
          </reference>
        </references>
      </pivotArea>
    </format>
    <format dxfId="15">
      <pivotArea collapsedLevelsAreSubtotals="1" fieldPosition="0">
        <references count="2">
          <reference field="4294967294" count="1" selected="0">
            <x v="0"/>
          </reference>
          <reference field="4" count="1">
            <x v="24"/>
          </reference>
        </references>
      </pivotArea>
    </format>
    <format dxfId="14">
      <pivotArea collapsedLevelsAreSubtotals="1" fieldPosition="0">
        <references count="2">
          <reference field="4294967294" count="1" selected="0">
            <x v="0"/>
          </reference>
          <reference field="4" count="1">
            <x v="16"/>
          </reference>
        </references>
      </pivotArea>
    </format>
    <format dxfId="13">
      <pivotArea collapsedLevelsAreSubtotals="1" fieldPosition="0">
        <references count="2">
          <reference field="4294967294" count="1" selected="0">
            <x v="1"/>
          </reference>
          <reference field="4" count="1">
            <x v="21"/>
          </reference>
        </references>
      </pivotArea>
    </format>
    <format dxfId="12">
      <pivotArea collapsedLevelsAreSubtotals="1" fieldPosition="0">
        <references count="2">
          <reference field="4294967294" count="1" selected="0">
            <x v="0"/>
          </reference>
          <reference field="4" count="1">
            <x v="16"/>
          </reference>
        </references>
      </pivotArea>
    </format>
    <format dxfId="11">
      <pivotArea collapsedLevelsAreSubtotals="1" fieldPosition="0">
        <references count="2">
          <reference field="4294967294" count="1" selected="0">
            <x v="1"/>
          </reference>
          <reference field="4" count="1">
            <x v="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5.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3.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97DFA-A0AB-439F-98A7-91DD2B39F663}">
  <sheetPr codeName="Sheet30"/>
  <dimension ref="A1:V27"/>
  <sheetViews>
    <sheetView showGridLines="0" zoomScale="80" zoomScaleNormal="80" workbookViewId="0">
      <selection activeCell="H9" sqref="H9:S19"/>
    </sheetView>
  </sheetViews>
  <sheetFormatPr baseColWidth="10" defaultColWidth="8.83203125" defaultRowHeight="15"/>
  <cols>
    <col min="1" max="1" width="2.1640625" style="7" customWidth="1"/>
    <col min="2" max="2" width="33.1640625" style="7" customWidth="1"/>
    <col min="3" max="3" width="2.83203125" style="7" customWidth="1"/>
    <col min="4" max="4" width="2.83203125" style="236" customWidth="1"/>
    <col min="5" max="5" width="2.1640625" style="236" customWidth="1"/>
    <col min="6" max="6" width="11.33203125" style="243" customWidth="1"/>
    <col min="7" max="7" width="18.5" style="236" bestFit="1" customWidth="1"/>
    <col min="8" max="19" width="16" style="265" bestFit="1" customWidth="1"/>
    <col min="20" max="16384" width="8.83203125" style="236"/>
  </cols>
  <sheetData>
    <row r="1" spans="1:19" s="114" customFormat="1">
      <c r="A1" s="7"/>
      <c r="B1" s="7"/>
      <c r="C1" s="7"/>
      <c r="F1" s="118"/>
      <c r="G1" s="147"/>
      <c r="H1" s="263"/>
      <c r="I1" s="263"/>
      <c r="J1" s="264"/>
      <c r="K1" s="264"/>
      <c r="L1" s="264"/>
      <c r="M1" s="264"/>
      <c r="N1" s="264"/>
      <c r="O1" s="264"/>
      <c r="P1" s="264"/>
      <c r="Q1" s="264"/>
      <c r="R1" s="264"/>
      <c r="S1" s="264"/>
    </row>
    <row r="2" spans="1:19" s="114" customFormat="1">
      <c r="A2" s="7"/>
      <c r="B2" s="7"/>
      <c r="C2" s="7"/>
      <c r="F2" s="130"/>
      <c r="G2" s="228"/>
      <c r="H2" s="264"/>
      <c r="I2" s="264"/>
      <c r="J2" s="264"/>
      <c r="K2" s="264"/>
      <c r="L2" s="264"/>
      <c r="M2" s="264"/>
      <c r="N2" s="264"/>
      <c r="O2" s="264"/>
      <c r="P2" s="264"/>
      <c r="Q2" s="264"/>
      <c r="R2" s="264"/>
      <c r="S2" s="264"/>
    </row>
    <row r="3" spans="1:19" s="114" customFormat="1">
      <c r="A3" s="7"/>
      <c r="B3" s="7"/>
      <c r="C3" s="7"/>
      <c r="F3" s="130"/>
      <c r="G3" s="132"/>
      <c r="H3" s="264"/>
      <c r="I3" s="264"/>
      <c r="J3" s="264"/>
      <c r="K3" s="264"/>
      <c r="L3" s="264"/>
      <c r="M3" s="264"/>
      <c r="N3" s="264"/>
      <c r="O3" s="264"/>
      <c r="P3" s="264"/>
      <c r="Q3" s="264"/>
      <c r="R3" s="264"/>
      <c r="S3" s="264"/>
    </row>
    <row r="4" spans="1:19" s="114" customFormat="1">
      <c r="A4" s="7"/>
      <c r="B4" s="7"/>
      <c r="C4" s="7"/>
      <c r="F4" s="118"/>
      <c r="H4" s="264"/>
      <c r="I4" s="264"/>
      <c r="J4" s="264"/>
      <c r="K4" s="264"/>
      <c r="L4" s="264"/>
      <c r="M4" s="264"/>
      <c r="N4" s="264"/>
      <c r="O4" s="264"/>
      <c r="P4" s="264"/>
      <c r="Q4" s="264"/>
      <c r="R4" s="264"/>
      <c r="S4" s="264"/>
    </row>
    <row r="6" spans="1:19" ht="19">
      <c r="B6" s="240"/>
      <c r="E6" s="243"/>
      <c r="G6" s="243"/>
      <c r="H6" s="266"/>
      <c r="I6" s="266"/>
      <c r="J6" s="266"/>
      <c r="K6" s="266"/>
      <c r="L6" s="266"/>
      <c r="M6" s="266"/>
      <c r="N6" s="266"/>
      <c r="O6" s="266"/>
      <c r="P6" s="266"/>
      <c r="Q6" s="266"/>
      <c r="R6" s="266"/>
      <c r="S6" s="266"/>
    </row>
    <row r="7" spans="1:19" ht="19">
      <c r="B7" s="240"/>
      <c r="E7" s="243"/>
      <c r="G7" s="243"/>
      <c r="H7" s="266"/>
      <c r="I7" s="266"/>
      <c r="J7" s="266"/>
      <c r="K7" s="266"/>
      <c r="L7" s="266"/>
      <c r="M7" s="266"/>
      <c r="N7" s="266"/>
      <c r="O7" s="266"/>
      <c r="P7" s="266"/>
      <c r="Q7" s="266"/>
      <c r="R7" s="266"/>
      <c r="S7" s="266"/>
    </row>
    <row r="8" spans="1:19" s="244" customFormat="1" ht="22">
      <c r="A8" s="241"/>
      <c r="B8" s="241"/>
      <c r="C8" s="241"/>
      <c r="E8" s="243"/>
      <c r="F8" s="267" t="s">
        <v>100</v>
      </c>
      <c r="G8" s="267" t="s">
        <v>50</v>
      </c>
      <c r="H8" s="268" t="s">
        <v>17</v>
      </c>
      <c r="I8" s="268" t="s">
        <v>18</v>
      </c>
      <c r="J8" s="268" t="s">
        <v>19</v>
      </c>
      <c r="K8" s="268" t="s">
        <v>20</v>
      </c>
      <c r="L8" s="268" t="s">
        <v>21</v>
      </c>
      <c r="M8" s="268" t="s">
        <v>22</v>
      </c>
      <c r="N8" s="268" t="s">
        <v>23</v>
      </c>
      <c r="O8" s="268" t="s">
        <v>24</v>
      </c>
      <c r="P8" s="268" t="s">
        <v>25</v>
      </c>
      <c r="Q8" s="268" t="s">
        <v>26</v>
      </c>
      <c r="R8" s="268" t="s">
        <v>27</v>
      </c>
      <c r="S8" s="268" t="s">
        <v>28</v>
      </c>
    </row>
    <row r="9" spans="1:19" ht="19">
      <c r="B9" s="242"/>
      <c r="E9" s="243"/>
      <c r="F9" s="267" t="s">
        <v>39</v>
      </c>
      <c r="G9" s="267" t="s">
        <v>14</v>
      </c>
      <c r="H9" s="270">
        <v>4248900</v>
      </c>
      <c r="I9" s="270">
        <v>2424273</v>
      </c>
      <c r="J9" s="270">
        <v>3772578</v>
      </c>
      <c r="K9" s="270">
        <v>2832624</v>
      </c>
      <c r="L9" s="270">
        <v>3776886</v>
      </c>
      <c r="M9" s="270">
        <v>3504204</v>
      </c>
      <c r="N9" s="270">
        <v>3161070</v>
      </c>
      <c r="O9" s="270">
        <v>1654350</v>
      </c>
      <c r="P9" s="270">
        <v>2098719</v>
      </c>
      <c r="Q9" s="270">
        <v>2665260</v>
      </c>
      <c r="R9" s="270">
        <v>3494754</v>
      </c>
      <c r="S9" s="270">
        <v>2085210</v>
      </c>
    </row>
    <row r="10" spans="1:19" ht="19">
      <c r="B10" s="240"/>
      <c r="E10" s="243"/>
      <c r="F10" s="267" t="s">
        <v>31</v>
      </c>
      <c r="G10" s="267" t="s">
        <v>2</v>
      </c>
      <c r="H10" s="270">
        <v>872984</v>
      </c>
      <c r="I10" s="270">
        <v>1025715</v>
      </c>
      <c r="J10" s="270">
        <v>1050962</v>
      </c>
      <c r="K10" s="270">
        <v>1429818</v>
      </c>
      <c r="L10" s="270">
        <v>902070</v>
      </c>
      <c r="M10" s="270">
        <v>515645</v>
      </c>
      <c r="N10" s="270">
        <v>1019031</v>
      </c>
      <c r="O10" s="270">
        <v>1355424</v>
      </c>
      <c r="P10" s="270">
        <v>1397760</v>
      </c>
      <c r="Q10" s="270">
        <v>425961</v>
      </c>
      <c r="R10" s="270">
        <v>761550</v>
      </c>
      <c r="S10" s="270">
        <v>457200</v>
      </c>
    </row>
    <row r="11" spans="1:19" ht="18">
      <c r="E11" s="243"/>
      <c r="F11" s="267" t="s">
        <v>40</v>
      </c>
      <c r="G11" s="267" t="s">
        <v>14</v>
      </c>
      <c r="H11" s="270">
        <v>601126</v>
      </c>
      <c r="I11" s="270">
        <v>273400</v>
      </c>
      <c r="J11" s="270">
        <v>1217721</v>
      </c>
      <c r="K11" s="270">
        <v>1466607</v>
      </c>
      <c r="L11" s="270">
        <v>173788</v>
      </c>
      <c r="M11" s="270">
        <v>1584380</v>
      </c>
      <c r="N11" s="270">
        <v>1750932</v>
      </c>
      <c r="O11" s="270">
        <v>444024</v>
      </c>
      <c r="P11" s="270">
        <v>383184</v>
      </c>
      <c r="Q11" s="270">
        <v>173664</v>
      </c>
      <c r="R11" s="270">
        <v>846141</v>
      </c>
      <c r="S11" s="270">
        <v>369024</v>
      </c>
    </row>
    <row r="12" spans="1:19" ht="19">
      <c r="B12" s="240"/>
      <c r="E12" s="243"/>
      <c r="F12" s="267" t="s">
        <v>36</v>
      </c>
      <c r="G12" s="267" t="s">
        <v>10</v>
      </c>
      <c r="H12" s="270">
        <v>644640</v>
      </c>
      <c r="I12" s="270">
        <v>1348382</v>
      </c>
      <c r="J12" s="270">
        <v>861150</v>
      </c>
      <c r="K12" s="270">
        <v>1073682</v>
      </c>
      <c r="L12" s="270">
        <v>846009</v>
      </c>
      <c r="M12" s="270">
        <v>915151</v>
      </c>
      <c r="N12" s="270">
        <v>1990443</v>
      </c>
      <c r="O12" s="270">
        <v>1462450</v>
      </c>
      <c r="P12" s="270">
        <v>1400236</v>
      </c>
      <c r="Q12" s="270">
        <v>947030</v>
      </c>
      <c r="R12" s="270">
        <v>829568</v>
      </c>
      <c r="S12" s="270">
        <v>976488</v>
      </c>
    </row>
    <row r="13" spans="1:19" ht="18">
      <c r="E13" s="243"/>
      <c r="F13" s="267" t="s">
        <v>32</v>
      </c>
      <c r="G13" s="267" t="s">
        <v>2</v>
      </c>
      <c r="H13" s="270">
        <v>1115827</v>
      </c>
      <c r="I13" s="270">
        <v>1827738</v>
      </c>
      <c r="J13" s="270">
        <v>421857</v>
      </c>
      <c r="K13" s="270">
        <v>1250755</v>
      </c>
      <c r="L13" s="270">
        <v>567120</v>
      </c>
      <c r="M13" s="270">
        <v>804344</v>
      </c>
      <c r="N13" s="270">
        <v>754700</v>
      </c>
      <c r="O13" s="270">
        <v>756884</v>
      </c>
      <c r="P13" s="270">
        <v>1976853</v>
      </c>
      <c r="Q13" s="270">
        <v>1398420</v>
      </c>
      <c r="R13" s="270">
        <v>1112020</v>
      </c>
      <c r="S13" s="270">
        <v>677376</v>
      </c>
    </row>
    <row r="14" spans="1:19" ht="19">
      <c r="B14" s="240"/>
      <c r="E14" s="243"/>
      <c r="F14" s="267" t="s">
        <v>37</v>
      </c>
      <c r="G14" s="267" t="s">
        <v>10</v>
      </c>
      <c r="H14" s="270">
        <v>550988</v>
      </c>
      <c r="I14" s="270">
        <v>483771</v>
      </c>
      <c r="J14" s="270">
        <v>585872</v>
      </c>
      <c r="K14" s="270">
        <v>558195</v>
      </c>
      <c r="L14" s="270">
        <v>713388</v>
      </c>
      <c r="M14" s="270">
        <v>675328</v>
      </c>
      <c r="N14" s="270">
        <v>670390</v>
      </c>
      <c r="O14" s="270">
        <v>708324</v>
      </c>
      <c r="P14" s="270">
        <v>682770</v>
      </c>
      <c r="Q14" s="270">
        <v>487665</v>
      </c>
      <c r="R14" s="270">
        <v>718977</v>
      </c>
      <c r="S14" s="270">
        <v>567736</v>
      </c>
    </row>
    <row r="15" spans="1:19" ht="18">
      <c r="E15" s="243"/>
      <c r="F15" s="267" t="s">
        <v>33</v>
      </c>
      <c r="G15" s="267" t="s">
        <v>2</v>
      </c>
      <c r="H15" s="270">
        <v>1756304</v>
      </c>
      <c r="I15" s="270">
        <v>1282260</v>
      </c>
      <c r="J15" s="270">
        <v>446978</v>
      </c>
      <c r="K15" s="270">
        <v>440505</v>
      </c>
      <c r="L15" s="270">
        <v>933504</v>
      </c>
      <c r="M15" s="270">
        <v>1159740</v>
      </c>
      <c r="N15" s="270">
        <v>1764378</v>
      </c>
      <c r="O15" s="270">
        <v>1162070</v>
      </c>
      <c r="P15" s="270">
        <v>489124</v>
      </c>
      <c r="Q15" s="270">
        <v>1149234</v>
      </c>
      <c r="R15" s="270">
        <v>756560</v>
      </c>
      <c r="S15" s="270">
        <v>1199400</v>
      </c>
    </row>
    <row r="16" spans="1:19" ht="19">
      <c r="B16" s="240"/>
      <c r="E16" s="243"/>
      <c r="F16" s="267" t="s">
        <v>38</v>
      </c>
      <c r="G16" s="267" t="s">
        <v>10</v>
      </c>
      <c r="H16" s="270">
        <v>1005360</v>
      </c>
      <c r="I16" s="270">
        <v>543344</v>
      </c>
      <c r="J16" s="270">
        <v>1402960</v>
      </c>
      <c r="K16" s="270">
        <v>671880</v>
      </c>
      <c r="L16" s="270">
        <v>1392341</v>
      </c>
      <c r="M16" s="270">
        <v>1177393</v>
      </c>
      <c r="N16" s="270">
        <v>522000</v>
      </c>
      <c r="O16" s="270">
        <v>1618086</v>
      </c>
      <c r="P16" s="270">
        <v>1051848</v>
      </c>
      <c r="Q16" s="270">
        <v>1391220</v>
      </c>
      <c r="R16" s="270">
        <v>415476</v>
      </c>
      <c r="S16" s="270">
        <v>1075932</v>
      </c>
    </row>
    <row r="17" spans="2:22" ht="18">
      <c r="E17" s="243"/>
      <c r="F17" s="267" t="s">
        <v>34</v>
      </c>
      <c r="G17" s="267" t="s">
        <v>2</v>
      </c>
      <c r="H17" s="270">
        <v>1839104</v>
      </c>
      <c r="I17" s="270">
        <v>1502664</v>
      </c>
      <c r="J17" s="270">
        <v>664416</v>
      </c>
      <c r="K17" s="270">
        <v>1658016</v>
      </c>
      <c r="L17" s="270">
        <v>1233648</v>
      </c>
      <c r="M17" s="270">
        <v>1641031</v>
      </c>
      <c r="N17" s="270">
        <v>907731</v>
      </c>
      <c r="O17" s="270">
        <v>1299942</v>
      </c>
      <c r="P17" s="270">
        <v>1452928</v>
      </c>
      <c r="Q17" s="270">
        <v>1125402</v>
      </c>
      <c r="R17" s="270">
        <v>1233232</v>
      </c>
      <c r="S17" s="270">
        <v>1748626</v>
      </c>
    </row>
    <row r="18" spans="2:22" ht="19">
      <c r="B18" s="240"/>
      <c r="F18" s="267" t="s">
        <v>35</v>
      </c>
      <c r="G18" s="269" t="s">
        <v>2</v>
      </c>
      <c r="H18" s="271">
        <v>1110474</v>
      </c>
      <c r="I18" s="270">
        <v>2014920</v>
      </c>
      <c r="J18" s="271">
        <v>372166</v>
      </c>
      <c r="K18" s="271">
        <v>1096316</v>
      </c>
      <c r="L18" s="271">
        <v>1338336</v>
      </c>
      <c r="M18" s="271">
        <v>600600</v>
      </c>
      <c r="N18" s="271">
        <v>577216</v>
      </c>
      <c r="O18" s="271">
        <v>605178</v>
      </c>
      <c r="P18" s="271">
        <v>554164</v>
      </c>
      <c r="Q18" s="271">
        <v>1589335</v>
      </c>
      <c r="R18" s="271">
        <v>1111460</v>
      </c>
      <c r="S18" s="271">
        <v>1640576</v>
      </c>
    </row>
    <row r="19" spans="2:22" ht="20">
      <c r="G19" s="269" t="s">
        <v>252</v>
      </c>
      <c r="H19" s="270">
        <f>SUM(H9:H18)</f>
        <v>13745707</v>
      </c>
      <c r="I19" s="270">
        <f t="shared" ref="I19:S19" si="0">SUM(I9:I18)</f>
        <v>12726467</v>
      </c>
      <c r="J19" s="270">
        <f t="shared" si="0"/>
        <v>10796660</v>
      </c>
      <c r="K19" s="270">
        <f t="shared" si="0"/>
        <v>12478398</v>
      </c>
      <c r="L19" s="270">
        <f t="shared" si="0"/>
        <v>11877090</v>
      </c>
      <c r="M19" s="270">
        <f t="shared" si="0"/>
        <v>12577816</v>
      </c>
      <c r="N19" s="270">
        <f t="shared" si="0"/>
        <v>13117891</v>
      </c>
      <c r="O19" s="270">
        <f t="shared" si="0"/>
        <v>11066732</v>
      </c>
      <c r="P19" s="270">
        <f t="shared" si="0"/>
        <v>11487586</v>
      </c>
      <c r="Q19" s="270">
        <f t="shared" si="0"/>
        <v>11353191</v>
      </c>
      <c r="R19" s="270">
        <f t="shared" si="0"/>
        <v>11279738</v>
      </c>
      <c r="S19" s="270">
        <f t="shared" si="0"/>
        <v>10797568</v>
      </c>
      <c r="T19" s="713"/>
      <c r="U19" s="713"/>
      <c r="V19" s="713"/>
    </row>
    <row r="20" spans="2:22" ht="34">
      <c r="B20" s="240"/>
      <c r="T20" s="714"/>
      <c r="U20" s="714"/>
      <c r="V20" s="714"/>
    </row>
    <row r="21" spans="2:22" ht="19">
      <c r="T21" s="262"/>
      <c r="U21" s="715"/>
      <c r="V21" s="715"/>
    </row>
    <row r="22" spans="2:22" ht="20">
      <c r="B22" s="240"/>
      <c r="F22" s="713"/>
      <c r="G22" s="713"/>
      <c r="H22" s="713"/>
      <c r="T22" s="262"/>
      <c r="U22" s="715"/>
      <c r="V22" s="715"/>
    </row>
    <row r="23" spans="2:22" ht="20">
      <c r="F23" s="713"/>
      <c r="G23" s="713"/>
      <c r="H23" s="713"/>
      <c r="T23" s="262"/>
      <c r="U23" s="716"/>
      <c r="V23" s="716"/>
    </row>
    <row r="24" spans="2:22" ht="34">
      <c r="B24" s="240"/>
      <c r="F24" s="711"/>
      <c r="G24" s="711"/>
      <c r="H24" s="711"/>
      <c r="T24" s="243"/>
    </row>
    <row r="25" spans="2:22" ht="19">
      <c r="F25" s="262"/>
      <c r="G25" s="712"/>
      <c r="H25" s="712"/>
    </row>
    <row r="26" spans="2:22" ht="19">
      <c r="F26" s="262"/>
      <c r="G26" s="712"/>
      <c r="H26" s="712"/>
    </row>
    <row r="27" spans="2:22" ht="19">
      <c r="F27" s="262"/>
      <c r="G27" s="712"/>
      <c r="H27" s="712"/>
    </row>
  </sheetData>
  <mergeCells count="11">
    <mergeCell ref="F24:H24"/>
    <mergeCell ref="G25:H25"/>
    <mergeCell ref="G26:H26"/>
    <mergeCell ref="G27:H27"/>
    <mergeCell ref="T19:V19"/>
    <mergeCell ref="T20:V20"/>
    <mergeCell ref="U21:V21"/>
    <mergeCell ref="F22:H22"/>
    <mergeCell ref="U22:V22"/>
    <mergeCell ref="F23:H23"/>
    <mergeCell ref="U23:V2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96351-419C-4653-8ABA-E10A117AC262}">
  <sheetPr codeName="Sheet3"/>
  <dimension ref="A3:B10"/>
  <sheetViews>
    <sheetView workbookViewId="0">
      <selection activeCell="A3" sqref="A3"/>
    </sheetView>
  </sheetViews>
  <sheetFormatPr baseColWidth="10" defaultColWidth="8.83203125" defaultRowHeight="15"/>
  <cols>
    <col min="1" max="1" width="12.5" bestFit="1" customWidth="1"/>
    <col min="2" max="2" width="16.5" bestFit="1" customWidth="1"/>
    <col min="3" max="4" width="12.5" bestFit="1" customWidth="1"/>
    <col min="5" max="7" width="14" bestFit="1" customWidth="1"/>
    <col min="8" max="8" width="11.83203125" bestFit="1" customWidth="1"/>
  </cols>
  <sheetData>
    <row r="3" spans="1:2">
      <c r="A3" s="83" t="s">
        <v>107</v>
      </c>
      <c r="B3" t="s">
        <v>122</v>
      </c>
    </row>
    <row r="4" spans="1:2">
      <c r="A4" s="84" t="s">
        <v>3</v>
      </c>
      <c r="B4">
        <v>760000</v>
      </c>
    </row>
    <row r="5" spans="1:2">
      <c r="A5" s="84" t="s">
        <v>4</v>
      </c>
      <c r="B5">
        <v>810000</v>
      </c>
    </row>
    <row r="6" spans="1:2">
      <c r="A6" s="84" t="s">
        <v>5</v>
      </c>
      <c r="B6">
        <v>1900000</v>
      </c>
    </row>
    <row r="7" spans="1:2">
      <c r="A7" s="84" t="s">
        <v>6</v>
      </c>
      <c r="B7">
        <v>2310000</v>
      </c>
    </row>
    <row r="8" spans="1:2">
      <c r="A8" s="84" t="s">
        <v>11</v>
      </c>
      <c r="B8">
        <v>720000</v>
      </c>
    </row>
    <row r="9" spans="1:2">
      <c r="A9" s="84" t="s">
        <v>12</v>
      </c>
      <c r="B9">
        <v>1983695</v>
      </c>
    </row>
    <row r="10" spans="1:2">
      <c r="A10" s="84" t="s">
        <v>108</v>
      </c>
      <c r="B10">
        <v>8483695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B4776-178B-4317-BF37-1301394278D0}">
  <sheetPr codeName="Sheet6"/>
  <dimension ref="A3:C22"/>
  <sheetViews>
    <sheetView workbookViewId="0">
      <selection activeCell="A11" sqref="A11"/>
    </sheetView>
  </sheetViews>
  <sheetFormatPr baseColWidth="10" defaultColWidth="8.83203125" defaultRowHeight="15"/>
  <cols>
    <col min="1" max="1" width="13.5" bestFit="1" customWidth="1"/>
    <col min="2" max="3" width="12" bestFit="1" customWidth="1"/>
  </cols>
  <sheetData>
    <row r="3" spans="1:3">
      <c r="A3" s="83" t="s">
        <v>107</v>
      </c>
      <c r="B3" t="s">
        <v>138</v>
      </c>
      <c r="C3" t="s">
        <v>139</v>
      </c>
    </row>
    <row r="4" spans="1:3">
      <c r="A4" s="84" t="s">
        <v>109</v>
      </c>
      <c r="B4">
        <v>20844280.546000004</v>
      </c>
      <c r="C4">
        <v>10562853.516000001</v>
      </c>
    </row>
    <row r="5" spans="1:3">
      <c r="A5" s="85">
        <v>44570</v>
      </c>
      <c r="B5">
        <v>10281427.030000001</v>
      </c>
      <c r="C5">
        <v>10562853.516000001</v>
      </c>
    </row>
    <row r="6" spans="1:3">
      <c r="A6" s="85">
        <v>44571</v>
      </c>
      <c r="B6">
        <v>10562853.516000001</v>
      </c>
    </row>
    <row r="7" spans="1:3">
      <c r="A7" s="84" t="s">
        <v>110</v>
      </c>
      <c r="B7">
        <v>17912928.232000001</v>
      </c>
      <c r="C7">
        <v>9073877.182</v>
      </c>
    </row>
    <row r="8" spans="1:3">
      <c r="A8" s="85">
        <v>44603</v>
      </c>
      <c r="B8">
        <v>8824421.9800000004</v>
      </c>
      <c r="C8">
        <v>9073877.182</v>
      </c>
    </row>
    <row r="9" spans="1:3">
      <c r="A9" s="85">
        <v>44604</v>
      </c>
      <c r="B9">
        <v>9088506.2520000003</v>
      </c>
    </row>
    <row r="10" spans="1:3">
      <c r="A10" s="84" t="s">
        <v>111</v>
      </c>
      <c r="B10">
        <v>16569694.732000001</v>
      </c>
      <c r="C10">
        <v>8402883.3019999992</v>
      </c>
    </row>
    <row r="11" spans="1:3">
      <c r="A11" s="85">
        <v>44631</v>
      </c>
      <c r="B11">
        <v>8192903.2299999995</v>
      </c>
      <c r="C11">
        <v>8402883.3019999992</v>
      </c>
    </row>
    <row r="12" spans="1:3">
      <c r="A12" s="85">
        <v>44632</v>
      </c>
      <c r="B12">
        <v>8376791.5020000003</v>
      </c>
    </row>
    <row r="13" spans="1:3">
      <c r="A13" s="84" t="s">
        <v>118</v>
      </c>
      <c r="B13">
        <v>19198986.706</v>
      </c>
      <c r="C13">
        <v>9609553.6459999997</v>
      </c>
    </row>
    <row r="14" spans="1:3">
      <c r="A14" s="84" t="s">
        <v>119</v>
      </c>
      <c r="B14">
        <v>18576005.806000002</v>
      </c>
      <c r="C14">
        <v>9475692.2459999993</v>
      </c>
    </row>
    <row r="15" spans="1:3">
      <c r="A15" s="84" t="s">
        <v>120</v>
      </c>
      <c r="B15">
        <v>15657896.958000001</v>
      </c>
      <c r="C15">
        <v>7858207.3679999998</v>
      </c>
    </row>
    <row r="16" spans="1:3">
      <c r="A16" s="84" t="s">
        <v>115</v>
      </c>
      <c r="B16">
        <v>19018215.469999999</v>
      </c>
      <c r="C16">
        <v>9630956.9900000002</v>
      </c>
    </row>
    <row r="17" spans="1:3">
      <c r="A17" s="84" t="s">
        <v>116</v>
      </c>
      <c r="B17">
        <v>17390501.673999999</v>
      </c>
      <c r="C17">
        <v>8934545.5139999986</v>
      </c>
    </row>
    <row r="18" spans="1:3">
      <c r="A18" s="84" t="s">
        <v>117</v>
      </c>
      <c r="B18">
        <v>16384686.42</v>
      </c>
      <c r="C18">
        <v>8201174.46</v>
      </c>
    </row>
    <row r="19" spans="1:3">
      <c r="A19" s="84" t="s">
        <v>112</v>
      </c>
      <c r="B19">
        <v>16503631.028000001</v>
      </c>
      <c r="C19">
        <v>8351435.7079999996</v>
      </c>
    </row>
    <row r="20" spans="1:3">
      <c r="A20" s="84" t="s">
        <v>113</v>
      </c>
      <c r="B20">
        <v>16492951.136</v>
      </c>
      <c r="C20">
        <v>8532299.4959999993</v>
      </c>
    </row>
    <row r="21" spans="1:3">
      <c r="A21" s="84" t="s">
        <v>114</v>
      </c>
      <c r="B21">
        <v>15663335.26</v>
      </c>
      <c r="C21">
        <v>7766173.3399999999</v>
      </c>
    </row>
    <row r="22" spans="1:3">
      <c r="A22" s="84" t="s">
        <v>108</v>
      </c>
      <c r="B22">
        <v>210213113.96799999</v>
      </c>
      <c r="C22">
        <v>106399652.76800001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67415-306A-408C-A581-9F6334DF0B69}">
  <sheetPr codeName="Sheet8"/>
  <dimension ref="A1:O63"/>
  <sheetViews>
    <sheetView topLeftCell="A29" workbookViewId="0">
      <selection activeCell="D29" sqref="D29"/>
    </sheetView>
  </sheetViews>
  <sheetFormatPr baseColWidth="10" defaultColWidth="8.83203125" defaultRowHeight="15"/>
  <cols>
    <col min="1" max="1" width="11.6640625" bestFit="1" customWidth="1"/>
    <col min="2" max="2" width="23.5" bestFit="1" customWidth="1"/>
    <col min="3" max="3" width="14" style="29" bestFit="1" customWidth="1"/>
    <col min="4" max="4" width="12" bestFit="1" customWidth="1"/>
    <col min="5" max="6" width="13.33203125" bestFit="1" customWidth="1"/>
    <col min="7" max="14" width="11.6640625" bestFit="1" customWidth="1"/>
    <col min="15" max="15" width="11.83203125" bestFit="1" customWidth="1"/>
  </cols>
  <sheetData>
    <row r="1" spans="1:15">
      <c r="D1">
        <v>3</v>
      </c>
      <c r="E1">
        <v>4</v>
      </c>
      <c r="F1">
        <v>5</v>
      </c>
      <c r="G1">
        <v>6</v>
      </c>
      <c r="H1">
        <v>7</v>
      </c>
      <c r="I1">
        <v>8</v>
      </c>
      <c r="J1">
        <v>9</v>
      </c>
      <c r="K1">
        <v>10</v>
      </c>
      <c r="L1">
        <v>11</v>
      </c>
      <c r="M1">
        <v>12</v>
      </c>
      <c r="N1">
        <v>13</v>
      </c>
      <c r="O1">
        <v>14</v>
      </c>
    </row>
    <row r="2" spans="1:15" s="43" customFormat="1">
      <c r="A2" s="26" t="s">
        <v>45</v>
      </c>
      <c r="B2" s="43" t="s">
        <v>46</v>
      </c>
      <c r="C2" s="42"/>
      <c r="D2" s="43">
        <v>44571</v>
      </c>
      <c r="E2" s="43">
        <v>44604</v>
      </c>
      <c r="F2" s="43">
        <v>44632</v>
      </c>
      <c r="G2" s="43">
        <v>44666</v>
      </c>
      <c r="H2" s="43">
        <v>44690</v>
      </c>
      <c r="I2" s="43">
        <v>44725</v>
      </c>
      <c r="J2" s="43">
        <v>44754</v>
      </c>
      <c r="K2" s="43">
        <v>44782</v>
      </c>
      <c r="L2" s="43">
        <v>44818</v>
      </c>
      <c r="M2" s="43">
        <v>44845</v>
      </c>
      <c r="N2" s="43">
        <v>44874</v>
      </c>
      <c r="O2" s="43">
        <v>44908</v>
      </c>
    </row>
    <row r="3" spans="1:15">
      <c r="A3" t="s">
        <v>2</v>
      </c>
      <c r="D3">
        <v>112917</v>
      </c>
      <c r="E3">
        <v>117031</v>
      </c>
      <c r="F3">
        <v>53073</v>
      </c>
      <c r="G3">
        <v>97363</v>
      </c>
      <c r="H3">
        <v>85957</v>
      </c>
      <c r="I3">
        <v>77173</v>
      </c>
      <c r="J3">
        <v>87954</v>
      </c>
      <c r="K3">
        <v>96249</v>
      </c>
      <c r="L3">
        <v>90235</v>
      </c>
      <c r="M3">
        <v>98895</v>
      </c>
      <c r="N3">
        <v>93569</v>
      </c>
      <c r="O3">
        <v>100154</v>
      </c>
    </row>
    <row r="4" spans="1:15">
      <c r="A4" t="s">
        <v>10</v>
      </c>
      <c r="D4">
        <v>37196</v>
      </c>
      <c r="E4">
        <v>47179</v>
      </c>
      <c r="F4">
        <v>54665</v>
      </c>
      <c r="G4">
        <v>39545</v>
      </c>
      <c r="H4">
        <v>46351</v>
      </c>
      <c r="I4">
        <v>44402</v>
      </c>
      <c r="J4">
        <v>50712</v>
      </c>
      <c r="K4">
        <v>63688</v>
      </c>
      <c r="L4">
        <v>53270</v>
      </c>
      <c r="M4">
        <v>47946</v>
      </c>
      <c r="N4">
        <v>31387</v>
      </c>
      <c r="O4">
        <v>43022</v>
      </c>
    </row>
    <row r="5" spans="1:15">
      <c r="A5" t="s">
        <v>14</v>
      </c>
      <c r="D5">
        <v>96320</v>
      </c>
      <c r="E5">
        <v>51209</v>
      </c>
      <c r="F5">
        <v>81093</v>
      </c>
      <c r="G5">
        <v>87770</v>
      </c>
      <c r="H5">
        <v>75040</v>
      </c>
      <c r="I5">
        <v>75728</v>
      </c>
      <c r="J5">
        <v>83223</v>
      </c>
      <c r="K5">
        <v>39254</v>
      </c>
      <c r="L5">
        <v>50814</v>
      </c>
      <c r="M5">
        <v>47013</v>
      </c>
      <c r="N5">
        <v>74370</v>
      </c>
      <c r="O5">
        <v>52104</v>
      </c>
    </row>
    <row r="8" spans="1:15">
      <c r="A8" s="5" t="s">
        <v>0</v>
      </c>
      <c r="B8" s="5" t="s">
        <v>1</v>
      </c>
      <c r="C8" s="105" t="s">
        <v>16</v>
      </c>
      <c r="D8" s="104">
        <v>44571</v>
      </c>
      <c r="E8" s="104">
        <v>44604</v>
      </c>
      <c r="F8" s="104">
        <v>44632</v>
      </c>
      <c r="G8" s="104">
        <v>44666</v>
      </c>
      <c r="H8" s="104">
        <v>44690</v>
      </c>
      <c r="I8" s="104">
        <v>44725</v>
      </c>
      <c r="J8" s="104">
        <v>44754</v>
      </c>
      <c r="K8" s="104">
        <v>44782</v>
      </c>
      <c r="L8" s="104">
        <v>44818</v>
      </c>
      <c r="M8" s="104">
        <v>44845</v>
      </c>
      <c r="N8" s="104">
        <v>44874</v>
      </c>
      <c r="O8" s="104">
        <v>44908</v>
      </c>
    </row>
    <row r="9" spans="1:15">
      <c r="A9" s="7" t="s">
        <v>2</v>
      </c>
      <c r="B9" s="82" t="s">
        <v>3</v>
      </c>
      <c r="C9" s="29">
        <v>0.4</v>
      </c>
      <c r="D9" s="106">
        <f>VLOOKUP($A9,$A$2:D$5,D$1+1,0)*$C9</f>
        <v>45166.8</v>
      </c>
      <c r="E9" s="106">
        <f>VLOOKUP($A9,$A$2:E$5,E$1+1,0)*$C9</f>
        <v>46812.4</v>
      </c>
      <c r="F9" s="106">
        <f>VLOOKUP($A9,$A$2:F$5,F$1+1,0)*$C9</f>
        <v>21229.200000000001</v>
      </c>
      <c r="G9" s="106">
        <f>VLOOKUP($A9,$A$2:G$5,G$1+1,0)*$C9</f>
        <v>38945.200000000004</v>
      </c>
      <c r="H9" s="106">
        <f>VLOOKUP($A9,$A$2:H$5,H$1+1,0)*$C9</f>
        <v>34382.800000000003</v>
      </c>
      <c r="I9" s="106">
        <f>VLOOKUP($A9,$A$2:I$5,I$1+1,0)*$C9</f>
        <v>30869.200000000001</v>
      </c>
      <c r="J9" s="106">
        <f>VLOOKUP($A9,$A$2:J$5,J$1+1,0)*$C9</f>
        <v>35181.599999999999</v>
      </c>
      <c r="K9" s="106">
        <f>VLOOKUP($A9,$A$2:K$5,K$1+1,0)*$C9</f>
        <v>38499.599999999999</v>
      </c>
      <c r="L9" s="106">
        <f>VLOOKUP($A9,$A$2:L$5,L$1+1,0)*$C9</f>
        <v>36094</v>
      </c>
      <c r="M9" s="106">
        <f>VLOOKUP($A9,$A$2:M$5,M$1+1,0)*$C9</f>
        <v>39558</v>
      </c>
      <c r="N9" s="106">
        <f>VLOOKUP($A9,$A$2:N$5,N$1+1,0)*$C9</f>
        <v>37427.599999999999</v>
      </c>
      <c r="O9" s="106">
        <f>VLOOKUP($A9,$A$2:O$5,O$1+1,0)*$C9</f>
        <v>40061.600000000006</v>
      </c>
    </row>
    <row r="10" spans="1:15">
      <c r="A10" s="7" t="s">
        <v>2</v>
      </c>
      <c r="B10" s="82" t="s">
        <v>4</v>
      </c>
      <c r="C10" s="29">
        <v>0.22</v>
      </c>
      <c r="D10" s="106">
        <f>VLOOKUP($A10,$A$2:D$5,D$1+1,0)*$C10</f>
        <v>24841.74</v>
      </c>
      <c r="E10" s="106">
        <f>VLOOKUP($A10,$A$2:E$5,E$1+1,0)*$C10</f>
        <v>25746.82</v>
      </c>
      <c r="F10" s="106">
        <f>VLOOKUP($A10,$A$2:F$5,F$1+1,0)*$C10</f>
        <v>11676.06</v>
      </c>
      <c r="G10" s="106">
        <f>VLOOKUP($A10,$A$2:G$5,G$1+1,0)*$C10</f>
        <v>21419.86</v>
      </c>
      <c r="H10" s="106">
        <f>VLOOKUP($A10,$A$2:H$5,H$1+1,0)*$C10</f>
        <v>18910.54</v>
      </c>
      <c r="I10" s="106">
        <f>VLOOKUP($A10,$A$2:I$5,I$1+1,0)*$C10</f>
        <v>16978.060000000001</v>
      </c>
      <c r="J10" s="106">
        <f>VLOOKUP($A10,$A$2:J$5,J$1+1,0)*$C10</f>
        <v>19349.88</v>
      </c>
      <c r="K10" s="106">
        <f>VLOOKUP($A10,$A$2:K$5,K$1+1,0)*$C10</f>
        <v>21174.78</v>
      </c>
      <c r="L10" s="106">
        <f>VLOOKUP($A10,$A$2:L$5,L$1+1,0)*$C10</f>
        <v>19851.7</v>
      </c>
      <c r="M10" s="106">
        <f>VLOOKUP($A10,$A$2:M$5,M$1+1,0)*$C10</f>
        <v>21756.9</v>
      </c>
      <c r="N10" s="106">
        <f>VLOOKUP($A10,$A$2:N$5,N$1+1,0)*$C10</f>
        <v>20585.18</v>
      </c>
      <c r="O10" s="106">
        <f>VLOOKUP($A10,$A$2:O$5,O$1+1,0)*$C10</f>
        <v>22033.88</v>
      </c>
    </row>
    <row r="11" spans="1:15">
      <c r="A11" s="7" t="s">
        <v>10</v>
      </c>
      <c r="B11" t="s">
        <v>4</v>
      </c>
      <c r="C11" s="29">
        <v>0.22</v>
      </c>
      <c r="D11" s="106">
        <f>VLOOKUP($A11,$A$2:D$5,D$1+1,0)*$C11</f>
        <v>8183.12</v>
      </c>
      <c r="E11" s="106">
        <f>VLOOKUP($A11,$A$2:E$5,E$1+1,0)*$C11</f>
        <v>10379.379999999999</v>
      </c>
      <c r="F11" s="106">
        <f>VLOOKUP($A11,$A$2:F$5,F$1+1,0)*$C11</f>
        <v>12026.3</v>
      </c>
      <c r="G11" s="106">
        <f>VLOOKUP($A11,$A$2:G$5,G$1+1,0)*$C11</f>
        <v>8699.9</v>
      </c>
      <c r="H11" s="106">
        <f>VLOOKUP($A11,$A$2:H$5,H$1+1,0)*$C11</f>
        <v>10197.219999999999</v>
      </c>
      <c r="I11" s="106">
        <f>VLOOKUP($A11,$A$2:I$5,I$1+1,0)*$C11</f>
        <v>9768.44</v>
      </c>
      <c r="J11" s="106">
        <f>VLOOKUP($A11,$A$2:J$5,J$1+1,0)*$C11</f>
        <v>11156.64</v>
      </c>
      <c r="K11" s="106">
        <f>VLOOKUP($A11,$A$2:K$5,K$1+1,0)*$C11</f>
        <v>14011.36</v>
      </c>
      <c r="L11" s="106">
        <f>VLOOKUP($A11,$A$2:L$5,L$1+1,0)*$C11</f>
        <v>11719.4</v>
      </c>
      <c r="M11" s="106">
        <f>VLOOKUP($A11,$A$2:M$5,M$1+1,0)*$C11</f>
        <v>10548.12</v>
      </c>
      <c r="N11" s="106">
        <f>VLOOKUP($A11,$A$2:N$5,N$1+1,0)*$C11</f>
        <v>6905.14</v>
      </c>
      <c r="O11" s="106">
        <f>VLOOKUP($A11,$A$2:O$5,O$1+1,0)*$C11</f>
        <v>9464.84</v>
      </c>
    </row>
    <row r="12" spans="1:15">
      <c r="A12" s="7" t="s">
        <v>14</v>
      </c>
      <c r="B12" t="s">
        <v>4</v>
      </c>
      <c r="C12" s="29">
        <v>0.22</v>
      </c>
      <c r="D12" s="106">
        <f>VLOOKUP($A12,$A$2:D$5,D$1+1,0)*$C12</f>
        <v>21190.400000000001</v>
      </c>
      <c r="E12" s="106">
        <f>VLOOKUP($A12,$A$2:E$5,E$1+1,0)*$C12</f>
        <v>11265.98</v>
      </c>
      <c r="F12" s="106">
        <f>VLOOKUP($A12,$A$2:F$5,F$1+1,0)*$C12</f>
        <v>17840.46</v>
      </c>
      <c r="G12" s="106">
        <f>VLOOKUP($A12,$A$2:G$5,G$1+1,0)*$C12</f>
        <v>19309.400000000001</v>
      </c>
      <c r="H12" s="106">
        <f>VLOOKUP($A12,$A$2:H$5,H$1+1,0)*$C12</f>
        <v>16508.8</v>
      </c>
      <c r="I12" s="106">
        <f>VLOOKUP($A12,$A$2:I$5,I$1+1,0)*$C12</f>
        <v>16660.16</v>
      </c>
      <c r="J12" s="106">
        <f>VLOOKUP($A12,$A$2:J$5,J$1+1,0)*$C12</f>
        <v>18309.060000000001</v>
      </c>
      <c r="K12" s="106">
        <f>VLOOKUP($A12,$A$2:K$5,K$1+1,0)*$C12</f>
        <v>8635.8799999999992</v>
      </c>
      <c r="L12" s="106">
        <f>VLOOKUP($A12,$A$2:L$5,L$1+1,0)*$C12</f>
        <v>11179.08</v>
      </c>
      <c r="M12" s="106">
        <f>VLOOKUP($A12,$A$2:M$5,M$1+1,0)*$C12</f>
        <v>10342.86</v>
      </c>
      <c r="N12" s="106">
        <f>VLOOKUP($A12,$A$2:N$5,N$1+1,0)*$C12</f>
        <v>16361.4</v>
      </c>
      <c r="O12" s="106">
        <f>VLOOKUP($A12,$A$2:O$5,O$1+1,0)*$C12</f>
        <v>11462.88</v>
      </c>
    </row>
    <row r="13" spans="1:15">
      <c r="A13" s="7" t="s">
        <v>2</v>
      </c>
      <c r="B13" s="82" t="s">
        <v>5</v>
      </c>
      <c r="C13" s="29">
        <v>0.45</v>
      </c>
      <c r="D13" s="106">
        <f>VLOOKUP($A13,$A$2:D$5,D$1+1,0)*$C13</f>
        <v>50812.65</v>
      </c>
      <c r="E13" s="106">
        <f>VLOOKUP($A13,$A$2:E$5,E$1+1,0)*$C13</f>
        <v>52663.950000000004</v>
      </c>
      <c r="F13" s="106">
        <f>VLOOKUP($A13,$A$2:F$5,F$1+1,0)*$C13</f>
        <v>23882.850000000002</v>
      </c>
      <c r="G13" s="106">
        <f>VLOOKUP($A13,$A$2:G$5,G$1+1,0)*$C13</f>
        <v>43813.35</v>
      </c>
      <c r="H13" s="106">
        <f>VLOOKUP($A13,$A$2:H$5,H$1+1,0)*$C13</f>
        <v>38680.65</v>
      </c>
      <c r="I13" s="106">
        <f>VLOOKUP($A13,$A$2:I$5,I$1+1,0)*$C13</f>
        <v>34727.85</v>
      </c>
      <c r="J13" s="106">
        <f>VLOOKUP($A13,$A$2:J$5,J$1+1,0)*$C13</f>
        <v>39579.300000000003</v>
      </c>
      <c r="K13" s="106">
        <f>VLOOKUP($A13,$A$2:K$5,K$1+1,0)*$C13</f>
        <v>43312.05</v>
      </c>
      <c r="L13" s="106">
        <f>VLOOKUP($A13,$A$2:L$5,L$1+1,0)*$C13</f>
        <v>40605.75</v>
      </c>
      <c r="M13" s="106">
        <f>VLOOKUP($A13,$A$2:M$5,M$1+1,0)*$C13</f>
        <v>44502.75</v>
      </c>
      <c r="N13" s="106">
        <f>VLOOKUP($A13,$A$2:N$5,N$1+1,0)*$C13</f>
        <v>42106.05</v>
      </c>
      <c r="O13" s="106">
        <f>VLOOKUP($A13,$A$2:O$5,O$1+1,0)*$C13</f>
        <v>45069.3</v>
      </c>
    </row>
    <row r="14" spans="1:15">
      <c r="A14" s="7" t="s">
        <v>10</v>
      </c>
      <c r="B14" t="s">
        <v>5</v>
      </c>
      <c r="C14" s="29">
        <v>0.45</v>
      </c>
      <c r="D14" s="106">
        <f>VLOOKUP($A14,$A$2:D$5,D$1+1,0)*$C14</f>
        <v>16738.2</v>
      </c>
      <c r="E14" s="106">
        <f>VLOOKUP($A14,$A$2:E$5,E$1+1,0)*$C14</f>
        <v>21230.55</v>
      </c>
      <c r="F14" s="106">
        <f>VLOOKUP($A14,$A$2:F$5,F$1+1,0)*$C14</f>
        <v>24599.25</v>
      </c>
      <c r="G14" s="106">
        <f>VLOOKUP($A14,$A$2:G$5,G$1+1,0)*$C14</f>
        <v>17795.25</v>
      </c>
      <c r="H14" s="106">
        <f>VLOOKUP($A14,$A$2:H$5,H$1+1,0)*$C14</f>
        <v>20857.95</v>
      </c>
      <c r="I14" s="106">
        <f>VLOOKUP($A14,$A$2:I$5,I$1+1,0)*$C14</f>
        <v>19980.900000000001</v>
      </c>
      <c r="J14" s="106">
        <f>VLOOKUP($A14,$A$2:J$5,J$1+1,0)*$C14</f>
        <v>22820.400000000001</v>
      </c>
      <c r="K14" s="106">
        <f>VLOOKUP($A14,$A$2:K$5,K$1+1,0)*$C14</f>
        <v>28659.600000000002</v>
      </c>
      <c r="L14" s="106">
        <f>VLOOKUP($A14,$A$2:L$5,L$1+1,0)*$C14</f>
        <v>23971.5</v>
      </c>
      <c r="M14" s="106">
        <f>VLOOKUP($A14,$A$2:M$5,M$1+1,0)*$C14</f>
        <v>21575.7</v>
      </c>
      <c r="N14" s="106">
        <f>VLOOKUP($A14,$A$2:N$5,N$1+1,0)*$C14</f>
        <v>14124.15</v>
      </c>
      <c r="O14" s="106">
        <f>VLOOKUP($A14,$A$2:O$5,O$1+1,0)*$C14</f>
        <v>19359.900000000001</v>
      </c>
    </row>
    <row r="15" spans="1:15">
      <c r="A15" s="7" t="s">
        <v>14</v>
      </c>
      <c r="B15" t="s">
        <v>5</v>
      </c>
      <c r="C15" s="29">
        <v>0.66</v>
      </c>
      <c r="D15" s="106">
        <f>VLOOKUP($A15,$A$2:D$5,D$1+1,0)*$C15</f>
        <v>63571.200000000004</v>
      </c>
      <c r="E15" s="106">
        <f>VLOOKUP($A15,$A$2:E$5,E$1+1,0)*$C15</f>
        <v>33797.94</v>
      </c>
      <c r="F15" s="106">
        <f>VLOOKUP($A15,$A$2:F$5,F$1+1,0)*$C15</f>
        <v>53521.380000000005</v>
      </c>
      <c r="G15" s="106">
        <f>VLOOKUP($A15,$A$2:G$5,G$1+1,0)*$C15</f>
        <v>57928.200000000004</v>
      </c>
      <c r="H15" s="106">
        <f>VLOOKUP($A15,$A$2:H$5,H$1+1,0)*$C15</f>
        <v>49526.400000000001</v>
      </c>
      <c r="I15" s="106">
        <f>VLOOKUP($A15,$A$2:I$5,I$1+1,0)*$C15</f>
        <v>49980.480000000003</v>
      </c>
      <c r="J15" s="106">
        <f>VLOOKUP($A15,$A$2:J$5,J$1+1,0)*$C15</f>
        <v>54927.18</v>
      </c>
      <c r="K15" s="106">
        <f>VLOOKUP($A15,$A$2:K$5,K$1+1,0)*$C15</f>
        <v>25907.64</v>
      </c>
      <c r="L15" s="106">
        <f>VLOOKUP($A15,$A$2:L$5,L$1+1,0)*$C15</f>
        <v>33537.24</v>
      </c>
      <c r="M15" s="106">
        <f>VLOOKUP($A15,$A$2:M$5,M$1+1,0)*$C15</f>
        <v>31028.58</v>
      </c>
      <c r="N15" s="106">
        <f>VLOOKUP($A15,$A$2:N$5,N$1+1,0)*$C15</f>
        <v>49084.200000000004</v>
      </c>
      <c r="O15" s="106">
        <f>VLOOKUP($A15,$A$2:O$5,O$1+1,0)*$C15</f>
        <v>34388.639999999999</v>
      </c>
    </row>
    <row r="16" spans="1:15">
      <c r="A16" s="7" t="s">
        <v>2</v>
      </c>
      <c r="B16" s="82" t="s">
        <v>6</v>
      </c>
      <c r="C16" s="29">
        <v>1</v>
      </c>
      <c r="D16" s="106">
        <f>VLOOKUP($A16,$A$2:D$5,D$1+1,0)*$C16</f>
        <v>112917</v>
      </c>
      <c r="E16" s="106">
        <f>VLOOKUP($A16,$A$2:E$5,E$1+1,0)*$C16</f>
        <v>117031</v>
      </c>
      <c r="F16" s="106">
        <f>VLOOKUP($A16,$A$2:F$5,F$1+1,0)*$C16</f>
        <v>53073</v>
      </c>
      <c r="G16" s="106">
        <f>VLOOKUP($A16,$A$2:G$5,G$1+1,0)*$C16</f>
        <v>97363</v>
      </c>
      <c r="H16" s="106">
        <f>VLOOKUP($A16,$A$2:H$5,H$1+1,0)*$C16</f>
        <v>85957</v>
      </c>
      <c r="I16" s="106">
        <f>VLOOKUP($A16,$A$2:I$5,I$1+1,0)*$C16</f>
        <v>77173</v>
      </c>
      <c r="J16" s="106">
        <f>VLOOKUP($A16,$A$2:J$5,J$1+1,0)*$C16</f>
        <v>87954</v>
      </c>
      <c r="K16" s="106">
        <f>VLOOKUP($A16,$A$2:K$5,K$1+1,0)*$C16</f>
        <v>96249</v>
      </c>
      <c r="L16" s="106">
        <f>VLOOKUP($A16,$A$2:L$5,L$1+1,0)*$C16</f>
        <v>90235</v>
      </c>
      <c r="M16" s="106">
        <f>VLOOKUP($A16,$A$2:M$5,M$1+1,0)*$C16</f>
        <v>98895</v>
      </c>
      <c r="N16" s="106">
        <f>VLOOKUP($A16,$A$2:N$5,N$1+1,0)*$C16</f>
        <v>93569</v>
      </c>
      <c r="O16" s="106">
        <f>VLOOKUP($A16,$A$2:O$5,O$1+1,0)*$C16</f>
        <v>100154</v>
      </c>
    </row>
    <row r="17" spans="1:15">
      <c r="A17" s="7" t="s">
        <v>10</v>
      </c>
      <c r="B17" s="82" t="s">
        <v>11</v>
      </c>
      <c r="C17" s="29">
        <v>0.4</v>
      </c>
      <c r="D17" s="106">
        <f>VLOOKUP($A17,$A$2:D$5,D$1+1,0)*$C17</f>
        <v>14878.400000000001</v>
      </c>
      <c r="E17" s="106">
        <f>VLOOKUP($A17,$A$2:E$5,E$1+1,0)*$C17</f>
        <v>18871.600000000002</v>
      </c>
      <c r="F17" s="106">
        <f>VLOOKUP($A17,$A$2:F$5,F$1+1,0)*$C17</f>
        <v>21866</v>
      </c>
      <c r="G17" s="106">
        <f>VLOOKUP($A17,$A$2:G$5,G$1+1,0)*$C17</f>
        <v>15818</v>
      </c>
      <c r="H17" s="106">
        <f>VLOOKUP($A17,$A$2:H$5,H$1+1,0)*$C17</f>
        <v>18540.400000000001</v>
      </c>
      <c r="I17" s="106">
        <f>VLOOKUP($A17,$A$2:I$5,I$1+1,0)*$C17</f>
        <v>17760.8</v>
      </c>
      <c r="J17" s="106">
        <f>VLOOKUP($A17,$A$2:J$5,J$1+1,0)*$C17</f>
        <v>20284.800000000003</v>
      </c>
      <c r="K17" s="106">
        <f>VLOOKUP($A17,$A$2:K$5,K$1+1,0)*$C17</f>
        <v>25475.200000000001</v>
      </c>
      <c r="L17" s="106">
        <f>VLOOKUP($A17,$A$2:L$5,L$1+1,0)*$C17</f>
        <v>21308</v>
      </c>
      <c r="M17" s="106">
        <f>VLOOKUP($A17,$A$2:M$5,M$1+1,0)*$C17</f>
        <v>19178.400000000001</v>
      </c>
      <c r="N17" s="106">
        <f>VLOOKUP($A17,$A$2:N$5,N$1+1,0)*$C17</f>
        <v>12554.800000000001</v>
      </c>
      <c r="O17" s="106">
        <f>VLOOKUP($A17,$A$2:O$5,O$1+1,0)*$C17</f>
        <v>17208.8</v>
      </c>
    </row>
    <row r="18" spans="1:15">
      <c r="A18" s="7" t="s">
        <v>14</v>
      </c>
      <c r="B18" t="s">
        <v>11</v>
      </c>
      <c r="C18" s="29">
        <v>0.45</v>
      </c>
      <c r="D18" s="106">
        <f>VLOOKUP($A18,$A$2:D$5,D$1+1,0)*$C18</f>
        <v>43344</v>
      </c>
      <c r="E18" s="106">
        <f>VLOOKUP($A18,$A$2:E$5,E$1+1,0)*$C18</f>
        <v>23044.05</v>
      </c>
      <c r="F18" s="106">
        <f>VLOOKUP($A18,$A$2:F$5,F$1+1,0)*$C18</f>
        <v>36491.85</v>
      </c>
      <c r="G18" s="106">
        <f>VLOOKUP($A18,$A$2:G$5,G$1+1,0)*$C18</f>
        <v>39496.5</v>
      </c>
      <c r="H18" s="106">
        <f>VLOOKUP($A18,$A$2:H$5,H$1+1,0)*$C18</f>
        <v>33768</v>
      </c>
      <c r="I18" s="106">
        <f>VLOOKUP($A18,$A$2:I$5,I$1+1,0)*$C18</f>
        <v>34077.599999999999</v>
      </c>
      <c r="J18" s="106">
        <f>VLOOKUP($A18,$A$2:J$5,J$1+1,0)*$C18</f>
        <v>37450.35</v>
      </c>
      <c r="K18" s="106">
        <f>VLOOKUP($A18,$A$2:K$5,K$1+1,0)*$C18</f>
        <v>17664.3</v>
      </c>
      <c r="L18" s="106">
        <f>VLOOKUP($A18,$A$2:L$5,L$1+1,0)*$C18</f>
        <v>22866.3</v>
      </c>
      <c r="M18" s="106">
        <f>VLOOKUP($A18,$A$2:M$5,M$1+1,0)*$C18</f>
        <v>21155.850000000002</v>
      </c>
      <c r="N18" s="106">
        <f>VLOOKUP($A18,$A$2:N$5,N$1+1,0)*$C18</f>
        <v>33466.5</v>
      </c>
      <c r="O18" s="106">
        <f>VLOOKUP($A18,$A$2:O$5,O$1+1,0)*$C18</f>
        <v>23446.799999999999</v>
      </c>
    </row>
    <row r="19" spans="1:15">
      <c r="A19" s="7" t="s">
        <v>10</v>
      </c>
      <c r="B19" s="82" t="s">
        <v>12</v>
      </c>
      <c r="C19" s="29">
        <v>1</v>
      </c>
      <c r="D19" s="106">
        <f>VLOOKUP($A19,$A$2:D$5,D$1+1,0)*$C19</f>
        <v>37196</v>
      </c>
      <c r="E19" s="106">
        <f>VLOOKUP($A19,$A$2:E$5,E$1+1,0)*$C19</f>
        <v>47179</v>
      </c>
      <c r="F19" s="106">
        <f>VLOOKUP($A19,$A$2:F$5,F$1+1,0)*$C19</f>
        <v>54665</v>
      </c>
      <c r="G19" s="106">
        <f>VLOOKUP($A19,$A$2:G$5,G$1+1,0)*$C19</f>
        <v>39545</v>
      </c>
      <c r="H19" s="106">
        <f>VLOOKUP($A19,$A$2:H$5,H$1+1,0)*$C19</f>
        <v>46351</v>
      </c>
      <c r="I19" s="106">
        <f>VLOOKUP($A19,$A$2:I$5,I$1+1,0)*$C19</f>
        <v>44402</v>
      </c>
      <c r="J19" s="106">
        <f>VLOOKUP($A19,$A$2:J$5,J$1+1,0)*$C19</f>
        <v>50712</v>
      </c>
      <c r="K19" s="106">
        <f>VLOOKUP($A19,$A$2:K$5,K$1+1,0)*$C19</f>
        <v>63688</v>
      </c>
      <c r="L19" s="106">
        <f>VLOOKUP($A19,$A$2:L$5,L$1+1,0)*$C19</f>
        <v>53270</v>
      </c>
      <c r="M19" s="106">
        <f>VLOOKUP($A19,$A$2:M$5,M$1+1,0)*$C19</f>
        <v>47946</v>
      </c>
      <c r="N19" s="106">
        <f>VLOOKUP($A19,$A$2:N$5,N$1+1,0)*$C19</f>
        <v>31387</v>
      </c>
      <c r="O19" s="106">
        <f>VLOOKUP($A19,$A$2:O$5,O$1+1,0)*$C19</f>
        <v>43022</v>
      </c>
    </row>
    <row r="20" spans="1:15">
      <c r="A20" s="7" t="s">
        <v>14</v>
      </c>
      <c r="B20" t="s">
        <v>12</v>
      </c>
      <c r="C20" s="29">
        <v>1</v>
      </c>
      <c r="D20" s="106">
        <f>VLOOKUP($A20,$A$2:D$5,D$1+1,0)*$C20</f>
        <v>96320</v>
      </c>
      <c r="E20" s="106">
        <f>VLOOKUP($A20,$A$2:E$5,E$1+1,0)*$C20</f>
        <v>51209</v>
      </c>
      <c r="F20" s="106">
        <f>VLOOKUP($A20,$A$2:F$5,F$1+1,0)*$C20</f>
        <v>81093</v>
      </c>
      <c r="G20" s="106">
        <f>VLOOKUP($A20,$A$2:G$5,G$1+1,0)*$C20</f>
        <v>87770</v>
      </c>
      <c r="H20" s="106">
        <f>VLOOKUP($A20,$A$2:H$5,H$1+1,0)*$C20</f>
        <v>75040</v>
      </c>
      <c r="I20" s="106">
        <f>VLOOKUP($A20,$A$2:I$5,I$1+1,0)*$C20</f>
        <v>75728</v>
      </c>
      <c r="J20" s="106">
        <f>VLOOKUP($A20,$A$2:J$5,J$1+1,0)*$C20</f>
        <v>83223</v>
      </c>
      <c r="K20" s="106">
        <f>VLOOKUP($A20,$A$2:K$5,K$1+1,0)*$C20</f>
        <v>39254</v>
      </c>
      <c r="L20" s="106">
        <f>VLOOKUP($A20,$A$2:L$5,L$1+1,0)*$C20</f>
        <v>50814</v>
      </c>
      <c r="M20" s="106">
        <f>VLOOKUP($A20,$A$2:M$5,M$1+1,0)*$C20</f>
        <v>47013</v>
      </c>
      <c r="N20" s="106">
        <f>VLOOKUP($A20,$A$2:N$5,N$1+1,0)*$C20</f>
        <v>74370</v>
      </c>
      <c r="O20" s="106">
        <f>VLOOKUP($A20,$A$2:O$5,O$1+1,0)*$C20</f>
        <v>52104</v>
      </c>
    </row>
    <row r="21" spans="1:15">
      <c r="A21" s="7" t="s">
        <v>2</v>
      </c>
      <c r="B21" t="s">
        <v>7</v>
      </c>
      <c r="C21" s="29">
        <v>1.4E-2</v>
      </c>
      <c r="D21" s="106">
        <f>VLOOKUP($A21,$A$2:D$5,D$1+1,0)*$C21</f>
        <v>1580.838</v>
      </c>
      <c r="E21" s="106">
        <f>VLOOKUP($A21,$A$2:E$5,E$1+1,0)*$C21</f>
        <v>1638.434</v>
      </c>
      <c r="F21" s="106">
        <f>VLOOKUP($A21,$A$2:F$5,F$1+1,0)*$C21</f>
        <v>743.02200000000005</v>
      </c>
      <c r="G21" s="106">
        <f>VLOOKUP($A21,$A$2:G$5,G$1+1,0)*$C21</f>
        <v>1363.0820000000001</v>
      </c>
      <c r="H21" s="106">
        <f>VLOOKUP($A21,$A$2:H$5,H$1+1,0)*$C21</f>
        <v>1203.3980000000001</v>
      </c>
      <c r="I21" s="106">
        <f>VLOOKUP($A21,$A$2:I$5,I$1+1,0)*$C21</f>
        <v>1080.422</v>
      </c>
      <c r="J21" s="106">
        <f>VLOOKUP($A21,$A$2:J$5,J$1+1,0)*$C21</f>
        <v>1231.356</v>
      </c>
      <c r="K21" s="106">
        <f>VLOOKUP($A21,$A$2:K$5,K$1+1,0)*$C21</f>
        <v>1347.4860000000001</v>
      </c>
      <c r="L21" s="106">
        <f>VLOOKUP($A21,$A$2:L$5,L$1+1,0)*$C21</f>
        <v>1263.29</v>
      </c>
      <c r="M21" s="106">
        <f>VLOOKUP($A21,$A$2:M$5,M$1+1,0)*$C21</f>
        <v>1384.53</v>
      </c>
      <c r="N21" s="106">
        <f>VLOOKUP($A21,$A$2:N$5,N$1+1,0)*$C21</f>
        <v>1309.9660000000001</v>
      </c>
      <c r="O21" s="106">
        <f>VLOOKUP($A21,$A$2:O$5,O$1+1,0)*$C21</f>
        <v>1402.1559999999999</v>
      </c>
    </row>
    <row r="22" spans="1:15">
      <c r="A22" s="7" t="s">
        <v>10</v>
      </c>
      <c r="B22" t="s">
        <v>7</v>
      </c>
      <c r="C22" s="29">
        <v>1.4E-2</v>
      </c>
      <c r="D22" s="106">
        <f>VLOOKUP($A22,$A$2:D$5,D$1+1,0)*$C22</f>
        <v>520.74400000000003</v>
      </c>
      <c r="E22" s="106">
        <f>VLOOKUP($A22,$A$2:E$5,E$1+1,0)*$C22</f>
        <v>660.50599999999997</v>
      </c>
      <c r="F22" s="106">
        <f>VLOOKUP($A22,$A$2:F$5,F$1+1,0)*$C22</f>
        <v>765.31000000000006</v>
      </c>
      <c r="G22" s="106">
        <f>VLOOKUP($A22,$A$2:G$5,G$1+1,0)*$C22</f>
        <v>553.63</v>
      </c>
      <c r="H22" s="106">
        <f>VLOOKUP($A22,$A$2:H$5,H$1+1,0)*$C22</f>
        <v>648.91399999999999</v>
      </c>
      <c r="I22" s="106">
        <f>VLOOKUP($A22,$A$2:I$5,I$1+1,0)*$C22</f>
        <v>621.62800000000004</v>
      </c>
      <c r="J22" s="106">
        <f>VLOOKUP($A22,$A$2:J$5,J$1+1,0)*$C22</f>
        <v>709.96799999999996</v>
      </c>
      <c r="K22" s="106">
        <f>VLOOKUP($A22,$A$2:K$5,K$1+1,0)*$C22</f>
        <v>891.63200000000006</v>
      </c>
      <c r="L22" s="106">
        <f>VLOOKUP($A22,$A$2:L$5,L$1+1,0)*$C22</f>
        <v>745.78</v>
      </c>
      <c r="M22" s="106">
        <f>VLOOKUP($A22,$A$2:M$5,M$1+1,0)*$C22</f>
        <v>671.24400000000003</v>
      </c>
      <c r="N22" s="106">
        <f>VLOOKUP($A22,$A$2:N$5,N$1+1,0)*$C22</f>
        <v>439.41800000000001</v>
      </c>
      <c r="O22" s="106">
        <f>VLOOKUP($A22,$A$2:O$5,O$1+1,0)*$C22</f>
        <v>602.30799999999999</v>
      </c>
    </row>
    <row r="23" spans="1:15">
      <c r="A23" s="7" t="s">
        <v>14</v>
      </c>
      <c r="B23" t="s">
        <v>7</v>
      </c>
      <c r="C23" s="29">
        <v>1.4E-2</v>
      </c>
      <c r="D23" s="106">
        <f>VLOOKUP($A23,$A$2:D$5,D$1+1,0)*$C23</f>
        <v>1348.48</v>
      </c>
      <c r="E23" s="106">
        <f>VLOOKUP($A23,$A$2:E$5,E$1+1,0)*$C23</f>
        <v>716.92600000000004</v>
      </c>
      <c r="F23" s="106">
        <f>VLOOKUP($A23,$A$2:F$5,F$1+1,0)*$C23</f>
        <v>1135.3020000000001</v>
      </c>
      <c r="G23" s="106">
        <f>VLOOKUP($A23,$A$2:G$5,G$1+1,0)*$C23</f>
        <v>1228.78</v>
      </c>
      <c r="H23" s="106">
        <f>VLOOKUP($A23,$A$2:H$5,H$1+1,0)*$C23</f>
        <v>1050.56</v>
      </c>
      <c r="I23" s="106">
        <f>VLOOKUP($A23,$A$2:I$5,I$1+1,0)*$C23</f>
        <v>1060.192</v>
      </c>
      <c r="J23" s="106">
        <f>VLOOKUP($A23,$A$2:J$5,J$1+1,0)*$C23</f>
        <v>1165.1220000000001</v>
      </c>
      <c r="K23" s="106">
        <f>VLOOKUP($A23,$A$2:K$5,K$1+1,0)*$C23</f>
        <v>549.55600000000004</v>
      </c>
      <c r="L23" s="106">
        <f>VLOOKUP($A23,$A$2:L$5,L$1+1,0)*$C23</f>
        <v>711.39599999999996</v>
      </c>
      <c r="M23" s="106">
        <f>VLOOKUP($A23,$A$2:M$5,M$1+1,0)*$C23</f>
        <v>658.18200000000002</v>
      </c>
      <c r="N23" s="106">
        <f>VLOOKUP($A23,$A$2:N$5,N$1+1,0)*$C23</f>
        <v>1041.18</v>
      </c>
      <c r="O23" s="106">
        <f>VLOOKUP($A23,$A$2:O$5,O$1+1,0)*$C23</f>
        <v>729.45600000000002</v>
      </c>
    </row>
    <row r="24" spans="1:15">
      <c r="A24" s="7" t="s">
        <v>2</v>
      </c>
      <c r="B24" t="s">
        <v>8</v>
      </c>
      <c r="C24" s="29">
        <v>0.03</v>
      </c>
      <c r="D24" s="106">
        <f>VLOOKUP($A24,$A$2:D$5,D$1+1,0)*$C24</f>
        <v>3387.5099999999998</v>
      </c>
      <c r="E24" s="106">
        <f>VLOOKUP($A24,$A$2:E$5,E$1+1,0)*$C24</f>
        <v>3510.93</v>
      </c>
      <c r="F24" s="106">
        <f>VLOOKUP($A24,$A$2:F$5,F$1+1,0)*$C24</f>
        <v>1592.19</v>
      </c>
      <c r="G24" s="106">
        <f>VLOOKUP($A24,$A$2:G$5,G$1+1,0)*$C24</f>
        <v>2920.89</v>
      </c>
      <c r="H24" s="106">
        <f>VLOOKUP($A24,$A$2:H$5,H$1+1,0)*$C24</f>
        <v>2578.71</v>
      </c>
      <c r="I24" s="106">
        <f>VLOOKUP($A24,$A$2:I$5,I$1+1,0)*$C24</f>
        <v>2315.19</v>
      </c>
      <c r="J24" s="106">
        <f>VLOOKUP($A24,$A$2:J$5,J$1+1,0)*$C24</f>
        <v>2638.62</v>
      </c>
      <c r="K24" s="106">
        <f>VLOOKUP($A24,$A$2:K$5,K$1+1,0)*$C24</f>
        <v>2887.47</v>
      </c>
      <c r="L24" s="106">
        <f>VLOOKUP($A24,$A$2:L$5,L$1+1,0)*$C24</f>
        <v>2707.0499999999997</v>
      </c>
      <c r="M24" s="106">
        <f>VLOOKUP($A24,$A$2:M$5,M$1+1,0)*$C24</f>
        <v>2966.85</v>
      </c>
      <c r="N24" s="106">
        <f>VLOOKUP($A24,$A$2:N$5,N$1+1,0)*$C24</f>
        <v>2807.0699999999997</v>
      </c>
      <c r="O24" s="106">
        <f>VLOOKUP($A24,$A$2:O$5,O$1+1,0)*$C24</f>
        <v>3004.62</v>
      </c>
    </row>
    <row r="25" spans="1:15">
      <c r="A25" s="7" t="s">
        <v>10</v>
      </c>
      <c r="B25" t="s">
        <v>8</v>
      </c>
      <c r="C25" s="29">
        <v>0.03</v>
      </c>
      <c r="D25" s="106">
        <f>VLOOKUP($A25,$A$2:D$5,D$1+1,0)*$C25</f>
        <v>1115.8799999999999</v>
      </c>
      <c r="E25" s="106">
        <f>VLOOKUP($A25,$A$2:E$5,E$1+1,0)*$C25</f>
        <v>1415.37</v>
      </c>
      <c r="F25" s="106">
        <f>VLOOKUP($A25,$A$2:F$5,F$1+1,0)*$C25</f>
        <v>1639.95</v>
      </c>
      <c r="G25" s="106">
        <f>VLOOKUP($A25,$A$2:G$5,G$1+1,0)*$C25</f>
        <v>1186.3499999999999</v>
      </c>
      <c r="H25" s="106">
        <f>VLOOKUP($A25,$A$2:H$5,H$1+1,0)*$C25</f>
        <v>1390.53</v>
      </c>
      <c r="I25" s="106">
        <f>VLOOKUP($A25,$A$2:I$5,I$1+1,0)*$C25</f>
        <v>1332.06</v>
      </c>
      <c r="J25" s="106">
        <f>VLOOKUP($A25,$A$2:J$5,J$1+1,0)*$C25</f>
        <v>1521.36</v>
      </c>
      <c r="K25" s="106">
        <f>VLOOKUP($A25,$A$2:K$5,K$1+1,0)*$C25</f>
        <v>1910.6399999999999</v>
      </c>
      <c r="L25" s="106">
        <f>VLOOKUP($A25,$A$2:L$5,L$1+1,0)*$C25</f>
        <v>1598.1</v>
      </c>
      <c r="M25" s="106">
        <f>VLOOKUP($A25,$A$2:M$5,M$1+1,0)*$C25</f>
        <v>1438.3799999999999</v>
      </c>
      <c r="N25" s="106">
        <f>VLOOKUP($A25,$A$2:N$5,N$1+1,0)*$C25</f>
        <v>941.61</v>
      </c>
      <c r="O25" s="106">
        <f>VLOOKUP($A25,$A$2:O$5,O$1+1,0)*$C25</f>
        <v>1290.6599999999999</v>
      </c>
    </row>
    <row r="26" spans="1:15">
      <c r="A26" s="7" t="s">
        <v>14</v>
      </c>
      <c r="B26" t="s">
        <v>8</v>
      </c>
      <c r="C26" s="29">
        <v>0.03</v>
      </c>
      <c r="D26" s="106">
        <f>VLOOKUP($A26,$A$2:D$5,D$1+1,0)*$C26</f>
        <v>2889.6</v>
      </c>
      <c r="E26" s="106">
        <f>VLOOKUP($A26,$A$2:E$5,E$1+1,0)*$C26</f>
        <v>1536.27</v>
      </c>
      <c r="F26" s="106">
        <f>VLOOKUP($A26,$A$2:F$5,F$1+1,0)*$C26</f>
        <v>2432.79</v>
      </c>
      <c r="G26" s="106">
        <f>VLOOKUP($A26,$A$2:G$5,G$1+1,0)*$C26</f>
        <v>2633.1</v>
      </c>
      <c r="H26" s="106">
        <f>VLOOKUP($A26,$A$2:H$5,H$1+1,0)*$C26</f>
        <v>2251.1999999999998</v>
      </c>
      <c r="I26" s="106">
        <f>VLOOKUP($A26,$A$2:I$5,I$1+1,0)*$C26</f>
        <v>2271.8399999999997</v>
      </c>
      <c r="J26" s="106">
        <f>VLOOKUP($A26,$A$2:J$5,J$1+1,0)*$C26</f>
        <v>2496.69</v>
      </c>
      <c r="K26" s="106">
        <f>VLOOKUP($A26,$A$2:K$5,K$1+1,0)*$C26</f>
        <v>1177.6199999999999</v>
      </c>
      <c r="L26" s="106">
        <f>VLOOKUP($A26,$A$2:L$5,L$1+1,0)*$C26</f>
        <v>1524.4199999999998</v>
      </c>
      <c r="M26" s="106">
        <f>VLOOKUP($A26,$A$2:M$5,M$1+1,0)*$C26</f>
        <v>1410.3899999999999</v>
      </c>
      <c r="N26" s="106">
        <f>VLOOKUP($A26,$A$2:N$5,N$1+1,0)*$C26</f>
        <v>2231.1</v>
      </c>
      <c r="O26" s="106">
        <f>VLOOKUP($A26,$A$2:O$5,O$1+1,0)*$C26</f>
        <v>1563.12</v>
      </c>
    </row>
    <row r="31" spans="1:15">
      <c r="B31" s="43">
        <v>44562</v>
      </c>
      <c r="C31" s="42">
        <v>44592</v>
      </c>
      <c r="D31" s="43">
        <v>44620</v>
      </c>
      <c r="E31" s="43">
        <v>44651</v>
      </c>
      <c r="F31" s="43">
        <v>44681</v>
      </c>
      <c r="G31" s="43">
        <v>44712</v>
      </c>
      <c r="H31" s="43">
        <v>44742</v>
      </c>
      <c r="I31" s="43">
        <v>44773</v>
      </c>
      <c r="J31" s="43">
        <v>44804</v>
      </c>
      <c r="K31" s="43">
        <v>44834</v>
      </c>
      <c r="L31" s="43">
        <v>44865</v>
      </c>
      <c r="M31" s="43">
        <v>44895</v>
      </c>
      <c r="N31" s="43">
        <v>44926</v>
      </c>
    </row>
    <row r="32" spans="1:15">
      <c r="A32" t="s">
        <v>3</v>
      </c>
      <c r="B32">
        <v>13500</v>
      </c>
      <c r="C32" s="29">
        <v>8333.1999999999971</v>
      </c>
      <c r="D32">
        <v>1520.7999999999956</v>
      </c>
      <c r="E32">
        <v>20291.599999999995</v>
      </c>
      <c r="F32">
        <v>21346.399999999987</v>
      </c>
      <c r="G32">
        <v>26963.599999999984</v>
      </c>
      <c r="H32">
        <v>36094.39999999998</v>
      </c>
      <c r="I32">
        <v>40912.799999999981</v>
      </c>
      <c r="J32">
        <v>42413.19999999999</v>
      </c>
      <c r="K32">
        <v>46319.199999999983</v>
      </c>
      <c r="L32">
        <v>46761.199999999983</v>
      </c>
      <c r="M32">
        <v>49333.599999999984</v>
      </c>
      <c r="N32">
        <v>49271.999999999971</v>
      </c>
    </row>
    <row r="33" spans="1:15">
      <c r="A33" t="s">
        <v>4</v>
      </c>
      <c r="B33">
        <v>32350</v>
      </c>
      <c r="C33" s="29">
        <v>23134.739999999991</v>
      </c>
      <c r="D33">
        <v>20742.559999999994</v>
      </c>
      <c r="E33">
        <v>24199.739999999998</v>
      </c>
      <c r="F33">
        <v>19770.579999999987</v>
      </c>
      <c r="G33">
        <v>19154.019999999986</v>
      </c>
      <c r="H33">
        <v>20747.35999999999</v>
      </c>
      <c r="I33">
        <v>16931.779999999981</v>
      </c>
      <c r="J33">
        <v>18109.759999999987</v>
      </c>
      <c r="K33">
        <v>20359.57999999998</v>
      </c>
      <c r="L33">
        <v>22711.699999999975</v>
      </c>
      <c r="M33">
        <v>23859.979999999981</v>
      </c>
      <c r="N33">
        <v>25898.379999999983</v>
      </c>
    </row>
    <row r="34" spans="1:15">
      <c r="A34" t="s">
        <v>5</v>
      </c>
      <c r="B34">
        <v>47427</v>
      </c>
      <c r="C34" s="29">
        <v>16304.950000000004</v>
      </c>
      <c r="D34">
        <v>8612.5100000000093</v>
      </c>
      <c r="E34">
        <v>6609.0299999999988</v>
      </c>
      <c r="F34">
        <v>12072.229999999989</v>
      </c>
      <c r="G34">
        <v>3007.2299999999886</v>
      </c>
      <c r="H34">
        <v>28317.999999999978</v>
      </c>
      <c r="I34">
        <v>10991.119999999959</v>
      </c>
      <c r="J34">
        <v>13111.829999999958</v>
      </c>
      <c r="K34">
        <v>14997.33999999996</v>
      </c>
      <c r="L34">
        <v>17890.309999999969</v>
      </c>
      <c r="M34">
        <v>12575.90999999996</v>
      </c>
      <c r="N34">
        <v>13758.069999999956</v>
      </c>
    </row>
    <row r="35" spans="1:15">
      <c r="A35" t="s">
        <v>6</v>
      </c>
      <c r="B35">
        <v>18603</v>
      </c>
      <c r="C35" s="29">
        <v>15686</v>
      </c>
      <c r="D35">
        <v>8655</v>
      </c>
      <c r="E35">
        <v>65582</v>
      </c>
      <c r="F35">
        <v>78219</v>
      </c>
      <c r="G35">
        <v>102262</v>
      </c>
      <c r="H35">
        <v>135089</v>
      </c>
      <c r="I35">
        <v>157135</v>
      </c>
      <c r="J35">
        <v>170886</v>
      </c>
      <c r="K35">
        <v>190651</v>
      </c>
      <c r="L35">
        <v>201756</v>
      </c>
      <c r="M35">
        <v>218187</v>
      </c>
      <c r="N35">
        <v>228033</v>
      </c>
    </row>
    <row r="36" spans="1:15">
      <c r="A36" t="s">
        <v>11</v>
      </c>
      <c r="B36">
        <v>18337</v>
      </c>
      <c r="C36" s="41">
        <v>114.59999999999854</v>
      </c>
      <c r="D36" s="1">
        <v>3198.9499999999971</v>
      </c>
      <c r="E36" s="1">
        <v>4841.0999999999985</v>
      </c>
      <c r="F36" s="1">
        <v>4526.5999999999985</v>
      </c>
      <c r="G36" s="1">
        <v>3218.1999999999971</v>
      </c>
      <c r="H36" s="1">
        <v>3379.7999999999956</v>
      </c>
      <c r="I36" s="1">
        <v>15644.649999999987</v>
      </c>
      <c r="J36" s="1">
        <v>12505.149999999987</v>
      </c>
      <c r="K36" s="1">
        <v>8330.8499999999876</v>
      </c>
      <c r="L36" s="1">
        <v>7996.5999999999876</v>
      </c>
      <c r="M36" s="1">
        <v>1975.2999999999884</v>
      </c>
      <c r="N36" s="1">
        <v>1319.6999999999898</v>
      </c>
    </row>
    <row r="37" spans="1:15">
      <c r="A37" t="s">
        <v>12</v>
      </c>
      <c r="B37">
        <v>29181</v>
      </c>
      <c r="C37" s="107">
        <v>70</v>
      </c>
      <c r="D37">
        <v>6087</v>
      </c>
      <c r="E37">
        <v>20329</v>
      </c>
      <c r="F37">
        <v>3014</v>
      </c>
      <c r="G37">
        <v>11623</v>
      </c>
      <c r="H37">
        <v>1493</v>
      </c>
      <c r="I37">
        <v>7558</v>
      </c>
      <c r="J37">
        <v>9021</v>
      </c>
      <c r="K37">
        <v>9342</v>
      </c>
      <c r="L37">
        <v>18788</v>
      </c>
      <c r="M37">
        <v>17436</v>
      </c>
      <c r="N37">
        <v>26715</v>
      </c>
    </row>
    <row r="40" spans="1:15">
      <c r="A40" t="s">
        <v>131</v>
      </c>
      <c r="D40" s="43">
        <v>44571</v>
      </c>
      <c r="E40" s="43">
        <v>44604</v>
      </c>
      <c r="F40" s="43">
        <v>44632</v>
      </c>
      <c r="G40" s="43">
        <v>44666</v>
      </c>
      <c r="H40" s="43">
        <v>44690</v>
      </c>
      <c r="I40" s="43">
        <v>44725</v>
      </c>
      <c r="J40" s="43">
        <v>44754</v>
      </c>
      <c r="K40" s="43">
        <v>44782</v>
      </c>
      <c r="L40" s="43">
        <v>44818</v>
      </c>
      <c r="M40" s="43">
        <v>44845</v>
      </c>
      <c r="N40" s="43">
        <v>44874</v>
      </c>
      <c r="O40" s="43">
        <v>44908</v>
      </c>
    </row>
    <row r="41" spans="1:15">
      <c r="A41" s="7" t="s">
        <v>2</v>
      </c>
      <c r="B41" s="82" t="s">
        <v>3</v>
      </c>
      <c r="C41" s="29">
        <v>0.4</v>
      </c>
      <c r="D41" s="106"/>
      <c r="E41" s="106">
        <f>E9-C32</f>
        <v>38479.200000000004</v>
      </c>
      <c r="F41" s="106">
        <f>F9-D32</f>
        <v>19708.400000000005</v>
      </c>
      <c r="G41" s="106">
        <f>G9-E32</f>
        <v>18653.600000000009</v>
      </c>
      <c r="H41" s="106">
        <f t="shared" ref="H41:O41" si="0">H9-F32</f>
        <v>13036.400000000016</v>
      </c>
      <c r="I41" s="106">
        <f t="shared" si="0"/>
        <v>3905.6000000000167</v>
      </c>
      <c r="J41" s="106">
        <f t="shared" si="0"/>
        <v>-912.79999999998108</v>
      </c>
      <c r="K41" s="106">
        <f t="shared" si="0"/>
        <v>-2413.1999999999825</v>
      </c>
      <c r="L41" s="106">
        <f t="shared" si="0"/>
        <v>-6319.1999999999898</v>
      </c>
      <c r="M41" s="106">
        <f t="shared" si="0"/>
        <v>-6761.1999999999825</v>
      </c>
      <c r="N41" s="106">
        <f t="shared" si="0"/>
        <v>-9333.599999999984</v>
      </c>
      <c r="O41" s="106">
        <f t="shared" si="0"/>
        <v>-9271.9999999999782</v>
      </c>
    </row>
    <row r="42" spans="1:15">
      <c r="A42" s="7" t="s">
        <v>2</v>
      </c>
      <c r="B42" s="82" t="s">
        <v>4</v>
      </c>
      <c r="C42" s="29">
        <v>0.22</v>
      </c>
      <c r="D42" s="106"/>
      <c r="E42" s="106">
        <f>E10-C33</f>
        <v>2612.080000000009</v>
      </c>
      <c r="F42" s="106"/>
      <c r="G42" s="106"/>
      <c r="H42" s="106"/>
      <c r="I42" s="106"/>
      <c r="J42" s="106"/>
      <c r="K42" s="106"/>
      <c r="L42" s="106"/>
      <c r="M42" s="106"/>
      <c r="N42" s="106"/>
      <c r="O42" s="106"/>
    </row>
    <row r="43" spans="1:15">
      <c r="A43" s="7" t="s">
        <v>10</v>
      </c>
      <c r="B43" t="s">
        <v>4</v>
      </c>
      <c r="C43" s="29">
        <v>0.22</v>
      </c>
      <c r="D43" s="106"/>
      <c r="E43" s="106"/>
      <c r="F43" s="106"/>
      <c r="G43" s="106"/>
      <c r="H43" s="106"/>
      <c r="I43" s="106"/>
      <c r="J43" s="106"/>
      <c r="K43" s="106"/>
      <c r="L43" s="106"/>
      <c r="M43" s="106"/>
      <c r="N43" s="106"/>
      <c r="O43" s="106"/>
    </row>
    <row r="44" spans="1:15">
      <c r="A44" s="7" t="s">
        <v>14</v>
      </c>
      <c r="B44" t="s">
        <v>4</v>
      </c>
      <c r="C44" s="29">
        <v>0.22</v>
      </c>
      <c r="D44" s="106"/>
      <c r="E44" s="106"/>
      <c r="F44" s="106"/>
      <c r="G44" s="106"/>
      <c r="H44" s="106"/>
      <c r="I44" s="106"/>
      <c r="J44" s="106"/>
      <c r="K44" s="106"/>
      <c r="L44" s="106"/>
      <c r="M44" s="106"/>
      <c r="N44" s="106"/>
      <c r="O44" s="106"/>
    </row>
    <row r="45" spans="1:15">
      <c r="A45" s="7" t="s">
        <v>2</v>
      </c>
      <c r="B45" s="82" t="s">
        <v>5</v>
      </c>
      <c r="C45" s="29">
        <v>0.45</v>
      </c>
      <c r="D45" s="106"/>
      <c r="E45" s="106">
        <f>E13-D34</f>
        <v>44051.439999999995</v>
      </c>
      <c r="F45" s="106"/>
      <c r="G45" s="106"/>
      <c r="H45" s="106"/>
      <c r="I45" s="106"/>
      <c r="J45" s="106"/>
      <c r="K45" s="106"/>
      <c r="L45" s="106"/>
      <c r="M45" s="106"/>
      <c r="N45" s="106"/>
      <c r="O45" s="106"/>
    </row>
    <row r="46" spans="1:15">
      <c r="A46" s="7" t="s">
        <v>10</v>
      </c>
      <c r="B46" t="s">
        <v>5</v>
      </c>
      <c r="C46" s="29">
        <v>0.45</v>
      </c>
      <c r="D46" s="106"/>
      <c r="E46" s="106"/>
      <c r="F46" s="106"/>
      <c r="G46" s="106"/>
      <c r="H46" s="106"/>
      <c r="I46" s="106"/>
      <c r="J46" s="106"/>
      <c r="K46" s="106"/>
      <c r="L46" s="106"/>
      <c r="M46" s="106"/>
      <c r="N46" s="106"/>
      <c r="O46" s="106"/>
    </row>
    <row r="47" spans="1:15">
      <c r="A47" s="7" t="s">
        <v>14</v>
      </c>
      <c r="B47" t="s">
        <v>5</v>
      </c>
      <c r="C47" s="29">
        <v>0.66</v>
      </c>
      <c r="D47" s="106"/>
      <c r="E47" s="106"/>
      <c r="F47" s="106"/>
      <c r="G47" s="106"/>
      <c r="H47" s="106"/>
      <c r="I47" s="106"/>
      <c r="J47" s="106"/>
      <c r="K47" s="106"/>
      <c r="L47" s="106"/>
      <c r="M47" s="106"/>
      <c r="N47" s="106"/>
      <c r="O47" s="106"/>
    </row>
    <row r="48" spans="1:15">
      <c r="A48" s="7" t="s">
        <v>2</v>
      </c>
      <c r="B48" s="82" t="s">
        <v>6</v>
      </c>
      <c r="C48" s="29">
        <v>1</v>
      </c>
      <c r="D48" s="106"/>
      <c r="E48" s="106">
        <f>E16-C35</f>
        <v>101345</v>
      </c>
      <c r="F48" s="106"/>
      <c r="G48" s="106"/>
      <c r="H48" s="106"/>
      <c r="I48" s="106"/>
      <c r="J48" s="106"/>
      <c r="K48" s="106"/>
      <c r="L48" s="106"/>
      <c r="M48" s="106"/>
      <c r="N48" s="106"/>
      <c r="O48" s="106"/>
    </row>
    <row r="49" spans="1:15">
      <c r="A49" s="7" t="s">
        <v>10</v>
      </c>
      <c r="B49" s="82" t="s">
        <v>11</v>
      </c>
      <c r="C49" s="29">
        <v>0.4</v>
      </c>
      <c r="D49" s="106"/>
      <c r="E49" s="106"/>
      <c r="F49" s="106"/>
      <c r="G49" s="106"/>
      <c r="H49" s="106"/>
      <c r="I49" s="106"/>
      <c r="J49" s="106"/>
      <c r="K49" s="106"/>
      <c r="L49" s="106"/>
      <c r="M49" s="106"/>
      <c r="N49" s="106"/>
      <c r="O49" s="106"/>
    </row>
    <row r="50" spans="1:15">
      <c r="A50" s="7" t="s">
        <v>14</v>
      </c>
      <c r="B50" t="s">
        <v>11</v>
      </c>
      <c r="C50" s="29">
        <v>0.45</v>
      </c>
      <c r="D50" s="106"/>
      <c r="E50" s="106"/>
      <c r="F50" s="106"/>
      <c r="G50" s="106"/>
      <c r="H50" s="106"/>
      <c r="I50" s="106"/>
      <c r="J50" s="106"/>
      <c r="K50" s="106"/>
      <c r="L50" s="106"/>
      <c r="M50" s="106"/>
      <c r="N50" s="106"/>
      <c r="O50" s="106"/>
    </row>
    <row r="51" spans="1:15">
      <c r="A51" s="7" t="s">
        <v>10</v>
      </c>
      <c r="B51" s="82" t="s">
        <v>12</v>
      </c>
      <c r="C51" s="29">
        <v>1</v>
      </c>
      <c r="D51" s="106"/>
      <c r="E51" s="106"/>
      <c r="F51" s="106"/>
      <c r="G51" s="106"/>
      <c r="H51" s="106"/>
      <c r="I51" s="106"/>
      <c r="J51" s="106"/>
      <c r="K51" s="106"/>
      <c r="L51" s="106"/>
      <c r="M51" s="106"/>
      <c r="N51" s="106"/>
      <c r="O51" s="106"/>
    </row>
    <row r="52" spans="1:15">
      <c r="A52" s="7" t="s">
        <v>14</v>
      </c>
      <c r="B52" t="s">
        <v>12</v>
      </c>
      <c r="C52" s="29">
        <v>1</v>
      </c>
      <c r="D52" s="106"/>
      <c r="E52" s="106"/>
      <c r="F52" s="106"/>
      <c r="G52" s="106"/>
      <c r="H52" s="106"/>
      <c r="I52" s="106"/>
      <c r="J52" s="106"/>
      <c r="K52" s="106"/>
      <c r="L52" s="106"/>
      <c r="M52" s="106"/>
      <c r="N52" s="106"/>
      <c r="O52" s="106"/>
    </row>
    <row r="53" spans="1:15">
      <c r="A53" s="7" t="s">
        <v>2</v>
      </c>
      <c r="B53" t="s">
        <v>7</v>
      </c>
      <c r="C53" s="29">
        <v>1.4E-2</v>
      </c>
      <c r="D53" s="106"/>
      <c r="E53" s="106"/>
      <c r="F53" s="106"/>
      <c r="G53" s="106"/>
      <c r="H53" s="106"/>
      <c r="I53" s="106"/>
      <c r="J53" s="106"/>
      <c r="K53" s="106"/>
      <c r="L53" s="106"/>
      <c r="M53" s="106"/>
      <c r="N53" s="106"/>
      <c r="O53" s="106"/>
    </row>
    <row r="54" spans="1:15">
      <c r="A54" s="7" t="s">
        <v>10</v>
      </c>
      <c r="B54" t="s">
        <v>7</v>
      </c>
      <c r="C54" s="29">
        <v>1.4E-2</v>
      </c>
      <c r="D54" s="106"/>
      <c r="E54" s="106"/>
      <c r="F54" s="106"/>
      <c r="G54" s="106"/>
      <c r="H54" s="106"/>
      <c r="I54" s="106"/>
      <c r="J54" s="106"/>
      <c r="K54" s="106"/>
      <c r="L54" s="106"/>
      <c r="M54" s="106"/>
      <c r="N54" s="106"/>
      <c r="O54" s="106"/>
    </row>
    <row r="55" spans="1:15">
      <c r="A55" s="7" t="s">
        <v>14</v>
      </c>
      <c r="B55" t="s">
        <v>7</v>
      </c>
      <c r="C55" s="29">
        <v>1.4E-2</v>
      </c>
      <c r="D55" s="106"/>
      <c r="E55" s="106"/>
      <c r="F55" s="106"/>
      <c r="G55" s="106"/>
      <c r="H55" s="106"/>
      <c r="I55" s="106"/>
      <c r="J55" s="106"/>
      <c r="K55" s="106"/>
      <c r="L55" s="106"/>
      <c r="M55" s="106"/>
      <c r="N55" s="106"/>
      <c r="O55" s="106"/>
    </row>
    <row r="56" spans="1:15">
      <c r="A56" s="7" t="s">
        <v>2</v>
      </c>
      <c r="B56" t="s">
        <v>8</v>
      </c>
      <c r="C56" s="29">
        <v>0.03</v>
      </c>
      <c r="D56" s="106"/>
      <c r="E56" s="106"/>
      <c r="F56" s="106"/>
      <c r="G56" s="106"/>
      <c r="H56" s="106"/>
      <c r="I56" s="106"/>
      <c r="J56" s="106"/>
      <c r="K56" s="106"/>
      <c r="L56" s="106"/>
      <c r="M56" s="106"/>
      <c r="N56" s="106"/>
      <c r="O56" s="106"/>
    </row>
    <row r="57" spans="1:15">
      <c r="A57" s="7" t="s">
        <v>10</v>
      </c>
      <c r="B57" t="s">
        <v>8</v>
      </c>
      <c r="C57" s="29">
        <v>0.03</v>
      </c>
      <c r="D57" s="106"/>
      <c r="E57" s="106"/>
      <c r="F57" s="106"/>
      <c r="G57" s="106"/>
      <c r="H57" s="106"/>
      <c r="I57" s="106"/>
      <c r="J57" s="106"/>
      <c r="K57" s="106"/>
      <c r="L57" s="106"/>
      <c r="M57" s="106"/>
      <c r="N57" s="106"/>
      <c r="O57" s="106"/>
    </row>
    <row r="58" spans="1:15">
      <c r="A58" s="7" t="s">
        <v>14</v>
      </c>
      <c r="B58" t="s">
        <v>8</v>
      </c>
      <c r="C58" s="29">
        <v>0.03</v>
      </c>
      <c r="D58" s="106"/>
      <c r="E58" s="106"/>
      <c r="F58" s="106"/>
      <c r="G58" s="106"/>
      <c r="H58" s="106"/>
      <c r="I58" s="106"/>
      <c r="J58" s="106"/>
      <c r="K58" s="106"/>
      <c r="L58" s="106"/>
      <c r="M58" s="106"/>
      <c r="N58" s="106"/>
      <c r="O58" s="106"/>
    </row>
    <row r="59" spans="1:15">
      <c r="D59" s="44">
        <f>C32*'Cost Structure'!D3</f>
        <v>158330.79999999993</v>
      </c>
      <c r="E59" s="44">
        <f>E41*'Cost Structure'!E3</f>
        <v>769584.00000000012</v>
      </c>
    </row>
    <row r="60" spans="1:15">
      <c r="D60" s="44">
        <f>C33*'Cost Structure'!D4</f>
        <v>416425.31999999983</v>
      </c>
      <c r="E60" s="44">
        <f>E42*'Cost Structure'!E4</f>
        <v>54853.680000000189</v>
      </c>
    </row>
    <row r="61" spans="1:15">
      <c r="D61" s="44">
        <f>C34*'Cost Structure'!D5</f>
        <v>309794.0500000001</v>
      </c>
      <c r="E61" s="44">
        <f>E45*'Cost Structure'!E5</f>
        <v>792925.91999999993</v>
      </c>
    </row>
    <row r="62" spans="1:15">
      <c r="D62" s="44">
        <f>C35*'Cost Structure'!D6</f>
        <v>329406</v>
      </c>
      <c r="E62" s="44">
        <f>E48*'Cost Structure'!E6</f>
        <v>1824210</v>
      </c>
    </row>
    <row r="63" spans="1:15">
      <c r="D63" s="44">
        <f>SUM(D59:D62)</f>
        <v>1213956.17</v>
      </c>
      <c r="E63" s="44">
        <f>SUM(E59:E62)</f>
        <v>3441573.6</v>
      </c>
      <c r="F63" s="44">
        <f>D63+E63</f>
        <v>4655529.7699999996</v>
      </c>
    </row>
  </sheetData>
  <autoFilter ref="A8:O26" xr:uid="{2D467415-306A-408C-A581-9F6334DF0B69}">
    <sortState xmlns:xlrd2="http://schemas.microsoft.com/office/spreadsheetml/2017/richdata2" ref="A9:O26">
      <sortCondition ref="B8:B26"/>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545A6-FC72-4287-84AF-807AE4512EBA}">
  <sheetPr codeName="Sheet1">
    <tabColor theme="0"/>
  </sheetPr>
  <dimension ref="A5:N19"/>
  <sheetViews>
    <sheetView workbookViewId="0">
      <selection activeCell="A22" sqref="A22"/>
    </sheetView>
  </sheetViews>
  <sheetFormatPr baseColWidth="10" defaultColWidth="8.83203125" defaultRowHeight="15"/>
  <sheetData>
    <row r="5" spans="1:14">
      <c r="A5" s="570" t="s">
        <v>474</v>
      </c>
      <c r="B5" s="1"/>
      <c r="C5" s="1"/>
      <c r="D5" s="1"/>
      <c r="E5" s="1"/>
      <c r="F5" s="1"/>
      <c r="G5" s="1"/>
      <c r="H5" s="1"/>
      <c r="I5" s="1"/>
      <c r="J5" s="1"/>
      <c r="K5" s="1"/>
      <c r="L5" s="1"/>
      <c r="M5" s="1"/>
    </row>
    <row r="6" spans="1:14">
      <c r="A6" t="s">
        <v>470</v>
      </c>
    </row>
    <row r="7" spans="1:14">
      <c r="A7" s="1" t="s">
        <v>471</v>
      </c>
    </row>
    <row r="8" spans="1:14">
      <c r="A8" t="s">
        <v>472</v>
      </c>
      <c r="N8" s="1"/>
    </row>
    <row r="9" spans="1:14">
      <c r="A9" t="s">
        <v>473</v>
      </c>
    </row>
    <row r="11" spans="1:14">
      <c r="A11" s="570" t="s">
        <v>478</v>
      </c>
    </row>
    <row r="12" spans="1:14">
      <c r="A12" s="1" t="s">
        <v>475</v>
      </c>
    </row>
    <row r="13" spans="1:14">
      <c r="A13" s="1" t="s">
        <v>476</v>
      </c>
    </row>
    <row r="14" spans="1:14">
      <c r="A14" s="1" t="s">
        <v>477</v>
      </c>
    </row>
    <row r="16" spans="1:14">
      <c r="A16" s="570" t="s">
        <v>479</v>
      </c>
    </row>
    <row r="17" spans="1:1">
      <c r="A17" s="573" t="s">
        <v>505</v>
      </c>
    </row>
    <row r="18" spans="1:1">
      <c r="A18" s="573" t="s">
        <v>506</v>
      </c>
    </row>
    <row r="19" spans="1:1">
      <c r="A19" s="573" t="s">
        <v>507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28AB1-CE3F-4A8E-B64E-53E1368D5E75}">
  <sheetPr codeName="Sheet4">
    <tabColor theme="8" tint="0.79998168889431442"/>
  </sheetPr>
  <dimension ref="A3:C115"/>
  <sheetViews>
    <sheetView topLeftCell="A58" zoomScale="90" zoomScaleNormal="90" workbookViewId="0">
      <selection activeCell="B36" sqref="B36"/>
    </sheetView>
  </sheetViews>
  <sheetFormatPr baseColWidth="10" defaultColWidth="8.83203125" defaultRowHeight="15"/>
  <cols>
    <col min="1" max="1" width="27.5" bestFit="1" customWidth="1"/>
    <col min="2" max="2" width="15.83203125" bestFit="1" customWidth="1"/>
  </cols>
  <sheetData>
    <row r="3" spans="1:2">
      <c r="A3" s="1" t="s">
        <v>314</v>
      </c>
    </row>
    <row r="5" spans="1:2">
      <c r="A5" t="str">
        <f>CONCATENATE("EBITDA/Revenue"," ",'Executive summary'!G16)</f>
        <v>EBITDA/Revenue October</v>
      </c>
      <c r="B5" s="460">
        <f>'Executive summary'!G23/'Executive summary'!G21</f>
        <v>2.9846293610316276E-2</v>
      </c>
    </row>
    <row r="6" spans="1:2" s="464" customFormat="1" ht="13">
      <c r="A6" s="462" t="s">
        <v>315</v>
      </c>
      <c r="B6" s="463">
        <f>1-B5</f>
        <v>0.97015370638968368</v>
      </c>
    </row>
    <row r="8" spans="1:2">
      <c r="A8" t="str">
        <f>CONCATENATE("Budget EBITDA/Revenue"," ",'Executive summary'!G16)</f>
        <v>Budget EBITDA/Revenue October</v>
      </c>
      <c r="B8" s="144">
        <f>'Executive summary'!J23/'Executive summary'!J21</f>
        <v>1.5227753034031505E-2</v>
      </c>
    </row>
    <row r="9" spans="1:2" s="464" customFormat="1" ht="13">
      <c r="A9" s="462" t="s">
        <v>315</v>
      </c>
      <c r="B9" s="463">
        <f>1-B8</f>
        <v>0.98477224696596855</v>
      </c>
    </row>
    <row r="11" spans="1:2">
      <c r="A11" t="str">
        <f>CONCATENATE("Previous period EBITDA/Revenue")</f>
        <v>Previous period EBITDA/Revenue</v>
      </c>
      <c r="B11" s="144">
        <f>'Executive summary'!H23/'Executive summary'!H21</f>
        <v>6.937447797996904E-2</v>
      </c>
    </row>
    <row r="12" spans="1:2" s="464" customFormat="1" ht="13">
      <c r="A12" s="462" t="s">
        <v>315</v>
      </c>
      <c r="B12" s="463">
        <f>1-B11</f>
        <v>0.93062552202003102</v>
      </c>
    </row>
    <row r="14" spans="1:2">
      <c r="A14" t="str">
        <f>CONCATENATE('Executive summary'!G16," YTD EBITDA/Revenue",)</f>
        <v>October YTD EBITDA/Revenue</v>
      </c>
      <c r="B14" s="144">
        <f ca="1">'Executive summary'!L23/'Executive summary'!L21</f>
        <v>4.4017072721546154E-2</v>
      </c>
    </row>
    <row r="15" spans="1:2" s="464" customFormat="1" ht="13">
      <c r="A15" s="462" t="s">
        <v>315</v>
      </c>
      <c r="B15" s="463">
        <f ca="1">1-B14</f>
        <v>0.9559829272784538</v>
      </c>
    </row>
    <row r="19" spans="1:2">
      <c r="A19" s="1" t="s">
        <v>241</v>
      </c>
    </row>
    <row r="21" spans="1:2">
      <c r="A21" t="s">
        <v>241</v>
      </c>
      <c r="B21" s="460">
        <f>'Executive summary'!G22</f>
        <v>0.26388525234887711</v>
      </c>
    </row>
    <row r="22" spans="1:2">
      <c r="A22" s="462" t="s">
        <v>315</v>
      </c>
      <c r="B22" s="463">
        <f>1-B21</f>
        <v>0.73611474765112295</v>
      </c>
    </row>
    <row r="24" spans="1:2">
      <c r="A24" t="s">
        <v>316</v>
      </c>
      <c r="B24" s="144">
        <f>'Executive summary'!J22</f>
        <v>0.25194296859980292</v>
      </c>
    </row>
    <row r="25" spans="1:2">
      <c r="A25" s="462" t="s">
        <v>315</v>
      </c>
      <c r="B25" s="463">
        <f>1-B24</f>
        <v>0.74805703140019708</v>
      </c>
    </row>
    <row r="27" spans="1:2">
      <c r="A27" t="s">
        <v>317</v>
      </c>
      <c r="B27" s="144">
        <f>'Executive summary'!H22</f>
        <v>0.28638821785534407</v>
      </c>
    </row>
    <row r="28" spans="1:2">
      <c r="A28" s="462" t="s">
        <v>315</v>
      </c>
      <c r="B28" s="463">
        <f>1-B27</f>
        <v>0.71361178214465593</v>
      </c>
    </row>
    <row r="30" spans="1:2">
      <c r="A30" t="s">
        <v>318</v>
      </c>
      <c r="B30" s="144">
        <f ca="1">'Executive summary'!L22</f>
        <v>0.25696186584272623</v>
      </c>
    </row>
    <row r="31" spans="1:2">
      <c r="A31" s="462" t="s">
        <v>315</v>
      </c>
      <c r="B31" s="463">
        <f ca="1">1-B30</f>
        <v>0.74303813415727382</v>
      </c>
    </row>
    <row r="34" spans="1:2">
      <c r="A34" s="1" t="s">
        <v>319</v>
      </c>
    </row>
    <row r="36" spans="1:2">
      <c r="A36" t="s">
        <v>321</v>
      </c>
      <c r="B36" s="460">
        <f>'Executive summary'!$J$24/'Executive summary'!$J$21</f>
        <v>1.4303997725044308E-2</v>
      </c>
    </row>
    <row r="37" spans="1:2">
      <c r="A37" s="462" t="s">
        <v>315</v>
      </c>
      <c r="B37" s="463">
        <f>1-B36</f>
        <v>0.98569600227495568</v>
      </c>
    </row>
    <row r="39" spans="1:2">
      <c r="A39" t="s">
        <v>322</v>
      </c>
      <c r="B39" s="144">
        <f>'Executive summary'!$J$24/'Executive summary'!$H$21</f>
        <v>1.3976826811133341E-2</v>
      </c>
    </row>
    <row r="40" spans="1:2">
      <c r="A40" s="462" t="s">
        <v>315</v>
      </c>
      <c r="B40" s="463">
        <f>1-B39</f>
        <v>0.98602317318886668</v>
      </c>
    </row>
    <row r="42" spans="1:2">
      <c r="A42" t="s">
        <v>323</v>
      </c>
      <c r="B42" s="144">
        <f>+'Executive summary'!$H$24/'Executive summary'!$H$21</f>
        <v>7.0217649034357663E-2</v>
      </c>
    </row>
    <row r="43" spans="1:2">
      <c r="A43" s="462" t="s">
        <v>315</v>
      </c>
      <c r="B43" s="463">
        <f>1-B42</f>
        <v>0.92978235096564232</v>
      </c>
    </row>
    <row r="45" spans="1:2">
      <c r="A45" t="s">
        <v>324</v>
      </c>
      <c r="B45" s="144">
        <f ca="1">+'Executive summary'!$L$24/'Executive summary'!$L$21</f>
        <v>4.4169835041935765E-2</v>
      </c>
    </row>
    <row r="46" spans="1:2">
      <c r="A46" s="462" t="s">
        <v>315</v>
      </c>
      <c r="B46" s="463">
        <f ca="1">1-B45</f>
        <v>0.95583016495806428</v>
      </c>
    </row>
    <row r="49" spans="1:2">
      <c r="A49" s="1" t="s">
        <v>325</v>
      </c>
    </row>
    <row r="51" spans="1:2">
      <c r="A51" t="s">
        <v>326</v>
      </c>
      <c r="B51" s="421">
        <f ca="1">SUM(Net_result)</f>
        <v>5354600.3559999997</v>
      </c>
    </row>
    <row r="52" spans="1:2">
      <c r="A52" t="s">
        <v>195</v>
      </c>
      <c r="B52" s="421">
        <f>INDEX('LTM Balance Sheet'!$D$40:$O$40,MATCH('Executive summary'!$H$16,'LTM Balance Sheet'!$D$18:$O$18,0))</f>
        <v>50328481.671999998</v>
      </c>
    </row>
    <row r="53" spans="1:2">
      <c r="A53" t="s">
        <v>327</v>
      </c>
      <c r="B53" s="460">
        <f ca="1">B51/B52</f>
        <v>0.10639304382152671</v>
      </c>
    </row>
    <row r="54" spans="1:2">
      <c r="A54" t="s">
        <v>315</v>
      </c>
      <c r="B54" s="461">
        <f ca="1">1-B53</f>
        <v>0.8936069561784733</v>
      </c>
    </row>
    <row r="57" spans="1:2">
      <c r="A57" s="1" t="s">
        <v>328</v>
      </c>
    </row>
    <row r="59" spans="1:2">
      <c r="A59" t="s">
        <v>326</v>
      </c>
      <c r="B59" s="421">
        <f ca="1">SUM(Net_result)</f>
        <v>5354600.3559999997</v>
      </c>
    </row>
    <row r="60" spans="1:2">
      <c r="A60" t="s">
        <v>195</v>
      </c>
      <c r="B60" s="421">
        <f>INDEX('LTM Balance Sheet'!$D$30:$O$30,MATCH('Executive summary'!$H$16,'LTM Balance Sheet'!$D$18:$O$18,0))</f>
        <v>145258261.35600001</v>
      </c>
    </row>
    <row r="61" spans="1:2">
      <c r="A61" t="s">
        <v>329</v>
      </c>
      <c r="B61" s="460">
        <f ca="1">B59/B60</f>
        <v>3.6862621829659013E-2</v>
      </c>
    </row>
    <row r="62" spans="1:2">
      <c r="A62" t="s">
        <v>315</v>
      </c>
      <c r="B62" s="461">
        <f ca="1">1-B61</f>
        <v>0.96313737817034095</v>
      </c>
    </row>
    <row r="65" spans="1:3">
      <c r="A65" s="1" t="s">
        <v>331</v>
      </c>
    </row>
    <row r="67" spans="1:3">
      <c r="A67" s="1" t="s">
        <v>332</v>
      </c>
      <c r="B67" s="466">
        <f>'Executive summary'!G21</f>
        <v>11353191</v>
      </c>
    </row>
    <row r="68" spans="1:3">
      <c r="A68" t="s">
        <v>2</v>
      </c>
      <c r="B68" s="466">
        <f>INDEX(Revenue!C68:N68,MATCH('Executive summary'!$H$16,Revenue!$C$66:$N$66,0))</f>
        <v>5688352</v>
      </c>
    </row>
    <row r="69" spans="1:3">
      <c r="A69" t="s">
        <v>10</v>
      </c>
      <c r="B69" s="466">
        <f>INDEX(Revenue!C69:N69,MATCH('Executive summary'!$H$16,Revenue!$C$66:$N$66,0))</f>
        <v>2825915</v>
      </c>
    </row>
    <row r="70" spans="1:3">
      <c r="A70" t="s">
        <v>14</v>
      </c>
      <c r="B70" s="466">
        <f>INDEX(Revenue!C70:N70,MATCH('Executive summary'!$H$16,Revenue!$C$66:$N$66,0))</f>
        <v>2838924</v>
      </c>
    </row>
    <row r="74" spans="1:3">
      <c r="A74" t="s">
        <v>343</v>
      </c>
    </row>
    <row r="75" spans="1:3">
      <c r="A75" s="467" t="str" cm="1">
        <f t="array" ref="A75:C79">'Revenue analysis'!C34:E38</f>
        <v>Client 1</v>
      </c>
      <c r="B75" s="466">
        <v>2665260</v>
      </c>
      <c r="C75" s="144">
        <v>0.23475866828982267</v>
      </c>
    </row>
    <row r="76" spans="1:3">
      <c r="A76" t="str">
        <v>Client 10</v>
      </c>
      <c r="B76" s="466">
        <v>1589335</v>
      </c>
      <c r="C76" s="144">
        <v>0.13999015783315899</v>
      </c>
    </row>
    <row r="77" spans="1:3">
      <c r="A77" t="str">
        <v>Client 5</v>
      </c>
      <c r="B77" s="466">
        <v>1398420</v>
      </c>
      <c r="C77" s="144">
        <v>0.12317418072152578</v>
      </c>
    </row>
    <row r="78" spans="1:3">
      <c r="A78" t="str">
        <v>Client 8</v>
      </c>
      <c r="B78" s="466">
        <v>1391220</v>
      </c>
      <c r="C78" s="144">
        <v>0.12253999778564459</v>
      </c>
    </row>
    <row r="79" spans="1:3">
      <c r="A79" t="str">
        <v>Client 7</v>
      </c>
      <c r="B79" s="466">
        <v>1149234</v>
      </c>
      <c r="C79" s="144">
        <v>0.10122563779645741</v>
      </c>
    </row>
    <row r="83" spans="1:3">
      <c r="A83" t="s">
        <v>344</v>
      </c>
    </row>
    <row r="84" spans="1:3">
      <c r="A84" t="str" cm="1">
        <f t="array" ref="A84:B88">'Revenue analysis'!C49:D53</f>
        <v>Client 1</v>
      </c>
      <c r="B84" s="144">
        <v>0.20093413281557176</v>
      </c>
    </row>
    <row r="85" spans="1:3">
      <c r="A85" t="str">
        <v>Client 5</v>
      </c>
      <c r="B85" s="144">
        <v>0.17584660212738967</v>
      </c>
    </row>
    <row r="86" spans="1:3">
      <c r="A86" s="467" t="str">
        <v>Client 8</v>
      </c>
      <c r="B86" s="144">
        <v>0.13989972605891665</v>
      </c>
      <c r="C86" s="144"/>
    </row>
    <row r="87" spans="1:3">
      <c r="A87" t="str">
        <v>Client 4</v>
      </c>
      <c r="B87" s="144">
        <v>0.13021304382118826</v>
      </c>
      <c r="C87" s="144"/>
    </row>
    <row r="88" spans="1:3">
      <c r="A88" t="str">
        <v>Client 10</v>
      </c>
      <c r="B88" s="144">
        <v>0.12101457307624276</v>
      </c>
      <c r="C88" s="144"/>
    </row>
    <row r="89" spans="1:3">
      <c r="A89" s="462" t="s">
        <v>346</v>
      </c>
      <c r="B89" s="463">
        <f>1-SUM(B84:B88)</f>
        <v>0.23209192210069096</v>
      </c>
    </row>
    <row r="90" spans="1:3">
      <c r="B90" s="466"/>
      <c r="C90" s="144"/>
    </row>
    <row r="92" spans="1:3">
      <c r="A92" t="s">
        <v>351</v>
      </c>
    </row>
    <row r="94" spans="1:3">
      <c r="A94" t="s">
        <v>313</v>
      </c>
      <c r="B94" s="484">
        <f>HLOOKUP('Executive summary'!$G$16,'LTM Cashflow Stat.'!$D$23:$O$44,22,0)</f>
        <v>13359562.732000001</v>
      </c>
    </row>
    <row r="95" spans="1:3">
      <c r="A95" t="s">
        <v>353</v>
      </c>
      <c r="B95" s="484">
        <f>IF(B94&lt;0,-B94,0)</f>
        <v>0</v>
      </c>
    </row>
    <row r="96" spans="1:3">
      <c r="A96" t="s">
        <v>352</v>
      </c>
      <c r="B96" s="484">
        <f>10000000-B95</f>
        <v>10000000</v>
      </c>
    </row>
    <row r="97" spans="1:2">
      <c r="B97" s="484"/>
    </row>
    <row r="101" spans="1:2">
      <c r="A101" t="s">
        <v>359</v>
      </c>
    </row>
    <row r="103" spans="1:2">
      <c r="A103" t="s">
        <v>360</v>
      </c>
      <c r="B103" s="491">
        <f>HLOOKUP('Executive summary'!H16,'LTM Balance Sheet'!$D$18:$P$40,17,0)</f>
        <v>10500000</v>
      </c>
    </row>
    <row r="104" spans="1:2">
      <c r="A104" t="s">
        <v>195</v>
      </c>
      <c r="B104" s="491">
        <f>HLOOKUP('Executive summary'!H16,'LTM Balance Sheet'!$D$18:$P$40,23,0)</f>
        <v>50328481.671999998</v>
      </c>
    </row>
    <row r="105" spans="1:2">
      <c r="A105" t="s">
        <v>361</v>
      </c>
      <c r="B105" s="492">
        <f>+B103/B104</f>
        <v>0.20862938143913098</v>
      </c>
    </row>
    <row r="106" spans="1:2">
      <c r="A106" s="462" t="s">
        <v>315</v>
      </c>
      <c r="B106" s="463">
        <f>1-B105</f>
        <v>0.79137061856086899</v>
      </c>
    </row>
    <row r="110" spans="1:2">
      <c r="A110" t="s">
        <v>359</v>
      </c>
    </row>
    <row r="112" spans="1:2">
      <c r="A112" t="s">
        <v>362</v>
      </c>
      <c r="B112" s="491">
        <f>HLOOKUP('Executive summary'!H16,'LTM Balance Sheet'!$D$18:$P$40,10,0)-HLOOKUP('Executive summary'!H16,'LTM Balance Sheet'!$D$18:$P$40,9,0)</f>
        <v>19465740.900000002</v>
      </c>
    </row>
    <row r="113" spans="1:2">
      <c r="A113" t="s">
        <v>363</v>
      </c>
      <c r="B113" s="491">
        <f>HLOOKUP('Executive summary'!H16,'LTM Balance Sheet'!$D$18:$P$40,16,0)</f>
        <v>30787275</v>
      </c>
    </row>
    <row r="114" spans="1:2">
      <c r="A114" t="s">
        <v>364</v>
      </c>
      <c r="B114" s="492">
        <f>+B112/B113</f>
        <v>0.63226579487791634</v>
      </c>
    </row>
    <row r="115" spans="1:2">
      <c r="A115" s="462" t="s">
        <v>315</v>
      </c>
      <c r="B115" s="463">
        <f>1-B114</f>
        <v>0.36773420512208366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AB56A-609A-4C76-A786-5CF50F1B3613}">
  <dimension ref="T2:Z5"/>
  <sheetViews>
    <sheetView zoomScale="60" zoomScaleNormal="60" workbookViewId="0">
      <selection activeCell="AA19" sqref="AA19"/>
    </sheetView>
  </sheetViews>
  <sheetFormatPr baseColWidth="10" defaultColWidth="8.83203125" defaultRowHeight="15"/>
  <cols>
    <col min="1" max="1" width="2.83203125" style="114" customWidth="1"/>
    <col min="2" max="2" width="10.5" style="114" customWidth="1"/>
    <col min="3" max="4" width="8.83203125" style="114"/>
    <col min="5" max="5" width="13.5" style="114" customWidth="1"/>
    <col min="6" max="6" width="6.1640625" style="114" customWidth="1"/>
    <col min="7" max="7" width="3.5" style="114" customWidth="1"/>
    <col min="8" max="10" width="8.83203125" style="114"/>
    <col min="11" max="11" width="13.5" style="114" customWidth="1"/>
    <col min="12" max="12" width="6.1640625" style="114" customWidth="1"/>
    <col min="13" max="13" width="3.5" style="114" customWidth="1"/>
    <col min="14" max="15" width="8.83203125" style="114"/>
    <col min="16" max="16" width="13.83203125" style="114" customWidth="1"/>
    <col min="17" max="17" width="6.1640625" style="114" customWidth="1"/>
    <col min="18" max="18" width="3.5" style="114" customWidth="1"/>
    <col min="19" max="21" width="8.83203125" style="114"/>
    <col min="22" max="22" width="9" style="114" customWidth="1"/>
    <col min="23" max="24" width="8.83203125" style="114"/>
    <col min="25" max="25" width="8.83203125" style="114" customWidth="1"/>
    <col min="26" max="16384" width="8.83203125" style="114"/>
  </cols>
  <sheetData>
    <row r="2" spans="20:26">
      <c r="T2" s="639"/>
      <c r="U2" s="638"/>
      <c r="V2" s="639"/>
    </row>
    <row r="3" spans="20:26">
      <c r="T3" s="639"/>
      <c r="U3" s="638"/>
      <c r="V3" s="640"/>
    </row>
    <row r="5" spans="20:26">
      <c r="W5" s="641"/>
      <c r="X5" s="641"/>
      <c r="Y5" s="642"/>
      <c r="Z5" s="642"/>
    </row>
  </sheetData>
  <conditionalFormatting sqref="V2">
    <cfRule type="containsText" dxfId="119" priority="1" operator="containsText" text="Connected">
      <formula>NOT(ISERROR(SEARCH("Connected",V2)))</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96657-1541-4CEB-BFA8-9D6B74369580}">
  <dimension ref="I12:I15"/>
  <sheetViews>
    <sheetView topLeftCell="A4" zoomScale="110" zoomScaleNormal="110" workbookViewId="0">
      <selection activeCell="W34" sqref="W34"/>
    </sheetView>
  </sheetViews>
  <sheetFormatPr baseColWidth="10" defaultColWidth="8.83203125" defaultRowHeight="15"/>
  <cols>
    <col min="1" max="16384" width="8.83203125" style="114"/>
  </cols>
  <sheetData>
    <row r="12" spans="9:9" ht="16">
      <c r="I12" s="637"/>
    </row>
    <row r="15" spans="9:9" ht="16">
      <c r="I15" s="63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8D84-29BC-4EFF-AD9C-3739EA7BAC5D}">
  <sheetPr codeName="Sheet5"/>
  <dimension ref="O5:O81"/>
  <sheetViews>
    <sheetView workbookViewId="0">
      <selection activeCell="I27" sqref="I27"/>
    </sheetView>
  </sheetViews>
  <sheetFormatPr baseColWidth="10" defaultColWidth="8.83203125" defaultRowHeight="15"/>
  <sheetData>
    <row r="5" spans="15:15" ht="18">
      <c r="O5" s="335" t="s">
        <v>400</v>
      </c>
    </row>
    <row r="6" spans="15:15">
      <c r="O6" s="538" t="s">
        <v>402</v>
      </c>
    </row>
    <row r="7" spans="15:15">
      <c r="O7" s="538" t="s">
        <v>403</v>
      </c>
    </row>
    <row r="8" spans="15:15">
      <c r="O8" s="538" t="s">
        <v>404</v>
      </c>
    </row>
    <row r="9" spans="15:15">
      <c r="O9" s="538" t="s">
        <v>405</v>
      </c>
    </row>
    <row r="10" spans="15:15">
      <c r="O10" s="553" t="s">
        <v>406</v>
      </c>
    </row>
    <row r="11" spans="15:15">
      <c r="O11" s="522"/>
    </row>
    <row r="12" spans="15:15">
      <c r="O12" s="502"/>
    </row>
    <row r="13" spans="15:15" ht="18">
      <c r="O13" s="391"/>
    </row>
    <row r="14" spans="15:15" ht="18">
      <c r="O14" s="335" t="s">
        <v>401</v>
      </c>
    </row>
    <row r="15" spans="15:15">
      <c r="O15" s="538" t="s">
        <v>407</v>
      </c>
    </row>
    <row r="16" spans="15:15">
      <c r="O16" s="538" t="s">
        <v>408</v>
      </c>
    </row>
    <row r="17" spans="15:15">
      <c r="O17" s="538" t="s">
        <v>409</v>
      </c>
    </row>
    <row r="18" spans="15:15">
      <c r="O18" s="538" t="s">
        <v>410</v>
      </c>
    </row>
    <row r="19" spans="15:15">
      <c r="O19" s="553" t="s">
        <v>411</v>
      </c>
    </row>
    <row r="20" spans="15:15">
      <c r="O20" s="522"/>
    </row>
    <row r="21" spans="15:15">
      <c r="O21" s="243"/>
    </row>
    <row r="22" spans="15:15" ht="18">
      <c r="O22" s="391"/>
    </row>
    <row r="23" spans="15:15" ht="18">
      <c r="O23" s="335" t="s">
        <v>412</v>
      </c>
    </row>
    <row r="24" spans="15:15">
      <c r="O24" s="538" t="s">
        <v>413</v>
      </c>
    </row>
    <row r="25" spans="15:15">
      <c r="O25" s="538" t="s">
        <v>414</v>
      </c>
    </row>
    <row r="26" spans="15:15">
      <c r="O26" s="538" t="s">
        <v>415</v>
      </c>
    </row>
    <row r="27" spans="15:15">
      <c r="O27" s="538" t="s">
        <v>416</v>
      </c>
    </row>
    <row r="28" spans="15:15">
      <c r="O28" s="538" t="s">
        <v>417</v>
      </c>
    </row>
    <row r="29" spans="15:15">
      <c r="O29" s="553" t="s">
        <v>418</v>
      </c>
    </row>
    <row r="30" spans="15:15">
      <c r="O30" s="522"/>
    </row>
    <row r="31" spans="15:15">
      <c r="O31" s="243"/>
    </row>
    <row r="32" spans="15:15" ht="18">
      <c r="O32" s="391"/>
    </row>
    <row r="33" spans="15:15" ht="18">
      <c r="O33" s="335" t="s">
        <v>419</v>
      </c>
    </row>
    <row r="34" spans="15:15">
      <c r="O34" s="538" t="s">
        <v>420</v>
      </c>
    </row>
    <row r="35" spans="15:15">
      <c r="O35" s="538" t="s">
        <v>421</v>
      </c>
    </row>
    <row r="36" spans="15:15">
      <c r="O36" s="538" t="s">
        <v>422</v>
      </c>
    </row>
    <row r="37" spans="15:15">
      <c r="O37" s="538" t="s">
        <v>423</v>
      </c>
    </row>
    <row r="38" spans="15:15">
      <c r="O38" s="522"/>
    </row>
    <row r="39" spans="15:15">
      <c r="O39" s="561"/>
    </row>
    <row r="40" spans="15:15">
      <c r="O40" s="505"/>
    </row>
    <row r="41" spans="15:15" ht="18">
      <c r="O41" s="335" t="s">
        <v>424</v>
      </c>
    </row>
    <row r="42" spans="15:15">
      <c r="O42" s="538" t="s">
        <v>425</v>
      </c>
    </row>
    <row r="43" spans="15:15">
      <c r="O43" s="538" t="s">
        <v>426</v>
      </c>
    </row>
    <row r="44" spans="15:15">
      <c r="O44" s="538" t="s">
        <v>427</v>
      </c>
    </row>
    <row r="45" spans="15:15">
      <c r="O45" s="538" t="s">
        <v>381</v>
      </c>
    </row>
    <row r="46" spans="15:15">
      <c r="O46" s="505"/>
    </row>
    <row r="47" spans="15:15">
      <c r="O47" s="561"/>
    </row>
    <row r="48" spans="15:15">
      <c r="O48" s="505"/>
    </row>
    <row r="49" spans="15:15" ht="18">
      <c r="O49" s="335" t="s">
        <v>428</v>
      </c>
    </row>
    <row r="50" spans="15:15">
      <c r="O50" s="538" t="s">
        <v>429</v>
      </c>
    </row>
    <row r="51" spans="15:15">
      <c r="O51" s="538" t="s">
        <v>430</v>
      </c>
    </row>
    <row r="52" spans="15:15">
      <c r="O52" s="538" t="s">
        <v>431</v>
      </c>
    </row>
    <row r="53" spans="15:15">
      <c r="O53" s="538" t="s">
        <v>381</v>
      </c>
    </row>
    <row r="54" spans="15:15">
      <c r="O54" s="505"/>
    </row>
    <row r="55" spans="15:15" ht="18">
      <c r="O55" s="557"/>
    </row>
    <row r="56" spans="15:15">
      <c r="O56" s="505"/>
    </row>
    <row r="57" spans="15:15" ht="18">
      <c r="O57" s="335" t="s">
        <v>432</v>
      </c>
    </row>
    <row r="58" spans="15:15">
      <c r="O58" s="538" t="s">
        <v>433</v>
      </c>
    </row>
    <row r="59" spans="15:15">
      <c r="O59" s="538" t="s">
        <v>434</v>
      </c>
    </row>
    <row r="60" spans="15:15">
      <c r="O60" s="538" t="s">
        <v>435</v>
      </c>
    </row>
    <row r="61" spans="15:15">
      <c r="O61" s="505"/>
    </row>
    <row r="62" spans="15:15">
      <c r="O62" s="502"/>
    </row>
    <row r="63" spans="15:15">
      <c r="O63" s="505"/>
    </row>
    <row r="64" spans="15:15" ht="18">
      <c r="O64" s="335" t="s">
        <v>436</v>
      </c>
    </row>
    <row r="65" spans="15:15">
      <c r="O65" s="538" t="s">
        <v>437</v>
      </c>
    </row>
    <row r="66" spans="15:15">
      <c r="O66" s="538" t="s">
        <v>438</v>
      </c>
    </row>
    <row r="67" spans="15:15">
      <c r="O67" s="538" t="s">
        <v>439</v>
      </c>
    </row>
    <row r="68" spans="15:15">
      <c r="O68" s="505"/>
    </row>
    <row r="69" spans="15:15">
      <c r="O69" s="502"/>
    </row>
    <row r="70" spans="15:15">
      <c r="O70" s="505"/>
    </row>
    <row r="71" spans="15:15" ht="18">
      <c r="O71" s="335" t="s">
        <v>445</v>
      </c>
    </row>
    <row r="72" spans="15:15">
      <c r="O72" s="538" t="s">
        <v>446</v>
      </c>
    </row>
    <row r="73" spans="15:15">
      <c r="O73" s="538" t="s">
        <v>447</v>
      </c>
    </row>
    <row r="74" spans="15:15">
      <c r="O74" s="538" t="s">
        <v>448</v>
      </c>
    </row>
    <row r="75" spans="15:15">
      <c r="O75" s="505"/>
    </row>
    <row r="76" spans="15:15">
      <c r="O76" s="502"/>
    </row>
    <row r="77" spans="15:15">
      <c r="O77" s="505"/>
    </row>
    <row r="78" spans="15:15" ht="18">
      <c r="O78" s="335" t="s">
        <v>449</v>
      </c>
    </row>
    <row r="79" spans="15:15">
      <c r="O79" s="538" t="s">
        <v>450</v>
      </c>
    </row>
    <row r="80" spans="15:15">
      <c r="O80" s="538" t="s">
        <v>451</v>
      </c>
    </row>
    <row r="81" spans="15:15">
      <c r="O81" s="538"/>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67665-BBE8-416F-A7E5-E13A78DDFC4A}">
  <sheetPr codeName="Sheet17">
    <tabColor theme="4"/>
  </sheetPr>
  <dimension ref="A1"/>
  <sheetViews>
    <sheetView zoomScale="83" workbookViewId="0"/>
  </sheetViews>
  <sheetFormatPr baseColWidth="10" defaultColWidth="8.83203125"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4AA4E-C0AF-47FC-B3FF-3A9E4FE622A6}">
  <sheetPr codeName="Sheet27">
    <tabColor theme="4" tint="0.79998168889431442"/>
  </sheetPr>
  <dimension ref="A1:AH468"/>
  <sheetViews>
    <sheetView showGridLines="0" topLeftCell="D1" zoomScale="80" zoomScaleNormal="80" workbookViewId="0">
      <selection activeCell="I35" sqref="I35:J35"/>
    </sheetView>
  </sheetViews>
  <sheetFormatPr baseColWidth="10" defaultColWidth="8.83203125" defaultRowHeight="15" zeroHeight="1"/>
  <cols>
    <col min="1" max="1" width="2.1640625" style="7" hidden="1" customWidth="1"/>
    <col min="2" max="2" width="33.1640625" style="7" hidden="1" customWidth="1"/>
    <col min="3" max="3" width="2.83203125" style="7" hidden="1" customWidth="1"/>
    <col min="4" max="5" width="2.1640625" style="236" customWidth="1"/>
    <col min="6" max="6" width="30.33203125" style="243" customWidth="1"/>
    <col min="7" max="7" width="19.1640625" style="236" customWidth="1"/>
    <col min="8" max="8" width="16.1640625" style="236" bestFit="1" customWidth="1"/>
    <col min="9" max="9" width="7.33203125" style="236" customWidth="1"/>
    <col min="10" max="10" width="7.83203125" style="236" bestFit="1" customWidth="1"/>
    <col min="11" max="11" width="1.5" style="236" customWidth="1"/>
    <col min="12" max="12" width="1.83203125" style="236" customWidth="1"/>
    <col min="13" max="13" width="2.1640625" style="236" customWidth="1"/>
    <col min="14" max="14" width="44.83203125" style="236" bestFit="1" customWidth="1"/>
    <col min="15" max="15" width="19.1640625" style="236" customWidth="1"/>
    <col min="16" max="16" width="1.83203125" style="236" customWidth="1"/>
    <col min="17" max="17" width="2.5" style="236" customWidth="1"/>
    <col min="18" max="18" width="12.5" style="236" bestFit="1" customWidth="1"/>
    <col min="19" max="19" width="4.1640625" style="236" customWidth="1"/>
    <col min="20" max="20" width="12" style="236" customWidth="1"/>
    <col min="21" max="22" width="12.5" style="114" bestFit="1" customWidth="1"/>
    <col min="23" max="23" width="13.6640625" style="114" bestFit="1" customWidth="1"/>
    <col min="24" max="24" width="8.83203125" style="114"/>
    <col min="25" max="25" width="21.1640625" style="114" customWidth="1"/>
    <col min="26" max="26" width="3.1640625" style="114" customWidth="1"/>
    <col min="27" max="27" width="8.83203125" style="114"/>
    <col min="28" max="28" width="2.83203125" style="236" customWidth="1"/>
    <col min="29" max="34" width="8.83203125" style="236"/>
    <col min="35" max="16384" width="8.83203125" style="114"/>
  </cols>
  <sheetData>
    <row r="1" spans="1:34">
      <c r="A1" s="114"/>
      <c r="B1" s="114"/>
      <c r="C1" s="114"/>
      <c r="D1" s="114"/>
      <c r="E1" s="114"/>
      <c r="F1" s="118"/>
      <c r="G1" s="114"/>
      <c r="H1" s="114"/>
      <c r="I1" s="114"/>
      <c r="J1" s="114"/>
      <c r="K1" s="114"/>
      <c r="L1" s="114"/>
      <c r="M1" s="114"/>
      <c r="N1" s="114"/>
      <c r="O1" s="114"/>
      <c r="P1" s="114"/>
      <c r="Q1" s="114"/>
      <c r="R1" s="114"/>
      <c r="S1" s="114"/>
      <c r="T1" s="114"/>
      <c r="AB1" s="114"/>
      <c r="AC1" s="114"/>
      <c r="AE1" s="114"/>
      <c r="AF1" s="114"/>
      <c r="AG1" s="114"/>
      <c r="AH1" s="114"/>
    </row>
    <row r="2" spans="1:34">
      <c r="A2" s="114"/>
      <c r="B2" s="114"/>
      <c r="C2" s="114"/>
      <c r="D2" s="114"/>
      <c r="E2" s="114"/>
      <c r="F2" s="118"/>
      <c r="G2" s="114"/>
      <c r="H2" s="114"/>
      <c r="I2" s="114"/>
      <c r="J2" s="114"/>
      <c r="K2" s="114"/>
      <c r="L2" s="114"/>
      <c r="M2" s="114"/>
      <c r="N2" s="114"/>
      <c r="O2" s="114"/>
      <c r="P2" s="114"/>
      <c r="Q2" s="114"/>
      <c r="R2" s="114"/>
      <c r="S2" s="114"/>
      <c r="T2" s="114"/>
      <c r="AB2" s="114"/>
      <c r="AC2" s="114"/>
      <c r="AE2" s="114"/>
      <c r="AF2" s="114"/>
      <c r="AG2" s="114"/>
      <c r="AH2" s="114"/>
    </row>
    <row r="3" spans="1:34">
      <c r="A3" s="114"/>
      <c r="B3" s="114"/>
      <c r="C3" s="114"/>
      <c r="D3" s="114"/>
      <c r="E3" s="114"/>
      <c r="F3" s="118"/>
      <c r="G3" s="114"/>
      <c r="H3" s="114"/>
      <c r="I3" s="114"/>
      <c r="J3" s="114"/>
      <c r="K3" s="114"/>
      <c r="L3" s="114"/>
      <c r="M3" s="114"/>
      <c r="N3" s="114"/>
      <c r="O3" s="114"/>
      <c r="P3" s="114"/>
      <c r="Q3" s="114"/>
      <c r="R3" s="114"/>
      <c r="S3" s="114"/>
      <c r="T3" s="114"/>
      <c r="AB3" s="114"/>
      <c r="AC3" s="114"/>
      <c r="AE3" s="114"/>
      <c r="AF3" s="114"/>
      <c r="AG3" s="114"/>
      <c r="AH3" s="114"/>
    </row>
    <row r="4" spans="1:34">
      <c r="A4" s="114"/>
      <c r="B4" s="114"/>
      <c r="C4" s="114"/>
      <c r="D4" s="114"/>
      <c r="E4" s="114"/>
      <c r="F4" s="118"/>
      <c r="G4" s="114"/>
      <c r="H4" s="114"/>
      <c r="I4" s="114"/>
      <c r="J4" s="114"/>
      <c r="K4" s="114"/>
      <c r="L4" s="114"/>
      <c r="M4" s="114"/>
      <c r="N4" s="114"/>
      <c r="O4" s="114"/>
      <c r="P4" s="114"/>
      <c r="Q4" s="114"/>
      <c r="R4" s="114"/>
      <c r="S4" s="114"/>
      <c r="T4" s="114"/>
      <c r="AB4" s="114"/>
      <c r="AC4" s="114"/>
      <c r="AE4" s="114"/>
      <c r="AF4" s="114"/>
      <c r="AG4" s="114"/>
      <c r="AH4" s="114"/>
    </row>
    <row r="5" spans="1:34">
      <c r="A5" s="114"/>
      <c r="B5" s="114"/>
      <c r="C5" s="114"/>
      <c r="D5" s="114"/>
      <c r="E5" s="114"/>
      <c r="F5" s="118"/>
      <c r="G5" s="114"/>
      <c r="H5" s="114"/>
      <c r="I5" s="114"/>
      <c r="J5" s="114"/>
      <c r="K5" s="114"/>
      <c r="L5" s="114"/>
      <c r="M5" s="114"/>
      <c r="N5" s="114"/>
      <c r="O5" s="114"/>
      <c r="P5" s="114"/>
      <c r="Q5" s="114"/>
      <c r="R5" s="114"/>
      <c r="S5" s="114"/>
      <c r="T5" s="114"/>
      <c r="AB5" s="114"/>
      <c r="AC5" s="114"/>
      <c r="AE5" s="114"/>
      <c r="AF5" s="114"/>
      <c r="AG5" s="114"/>
      <c r="AH5" s="114"/>
    </row>
    <row r="6" spans="1:34" s="234" customFormat="1">
      <c r="F6" s="251"/>
      <c r="AD6" s="293"/>
    </row>
    <row r="7" spans="1:34" s="234" customFormat="1">
      <c r="A7" s="645"/>
      <c r="B7" s="645"/>
      <c r="C7" s="645"/>
      <c r="D7" s="293"/>
      <c r="E7" s="293"/>
      <c r="F7" s="294"/>
      <c r="G7" s="293"/>
      <c r="H7" s="293"/>
      <c r="I7" s="293"/>
      <c r="J7" s="293"/>
      <c r="K7" s="293"/>
      <c r="L7" s="293"/>
      <c r="M7" s="293"/>
      <c r="N7" s="293"/>
      <c r="O7" s="293"/>
      <c r="P7" s="293"/>
      <c r="Q7" s="293"/>
      <c r="R7" s="293"/>
      <c r="S7" s="293"/>
      <c r="T7" s="293"/>
      <c r="AD7" s="293"/>
    </row>
    <row r="8" spans="1:34" s="234" customFormat="1">
      <c r="A8" s="645"/>
      <c r="B8" s="645"/>
      <c r="C8" s="645"/>
      <c r="D8" s="293"/>
      <c r="E8" s="293"/>
      <c r="F8" s="294"/>
      <c r="G8" s="293"/>
      <c r="H8" s="293"/>
      <c r="I8" s="293"/>
      <c r="J8" s="293"/>
      <c r="K8" s="293"/>
      <c r="L8" s="293"/>
      <c r="M8" s="293"/>
      <c r="N8" s="293"/>
      <c r="O8" s="293"/>
      <c r="P8" s="293"/>
      <c r="Q8" s="293"/>
      <c r="R8" s="293"/>
      <c r="S8" s="293"/>
      <c r="T8" s="293"/>
      <c r="AD8" s="293"/>
    </row>
    <row r="9" spans="1:34" s="234" customFormat="1">
      <c r="A9" s="645"/>
      <c r="B9" s="645"/>
      <c r="C9" s="645"/>
      <c r="D9" s="293"/>
      <c r="E9" s="293"/>
      <c r="F9" s="294"/>
      <c r="G9" s="293"/>
      <c r="H9" s="293"/>
      <c r="I9" s="293"/>
      <c r="J9" s="293"/>
      <c r="K9" s="293"/>
      <c r="L9" s="293"/>
      <c r="M9" s="293"/>
      <c r="N9" s="293"/>
      <c r="O9" s="293"/>
      <c r="P9" s="293"/>
      <c r="Q9" s="293"/>
      <c r="R9" s="293"/>
      <c r="S9" s="293"/>
      <c r="T9" s="293"/>
      <c r="AD9" s="293"/>
    </row>
    <row r="10" spans="1:34" s="234" customFormat="1">
      <c r="A10" s="645"/>
      <c r="B10" s="645"/>
      <c r="C10" s="645"/>
      <c r="D10" s="293"/>
      <c r="E10" s="293"/>
      <c r="F10" s="294"/>
      <c r="G10" s="293"/>
      <c r="H10" s="293"/>
      <c r="I10" s="293"/>
      <c r="J10" s="293"/>
      <c r="K10" s="293"/>
      <c r="L10" s="293"/>
      <c r="M10" s="293"/>
      <c r="N10" s="293"/>
      <c r="O10" s="293"/>
      <c r="P10" s="293"/>
      <c r="Q10" s="293"/>
      <c r="R10" s="293"/>
      <c r="S10" s="293"/>
      <c r="T10" s="293"/>
      <c r="AD10" s="293"/>
    </row>
    <row r="11" spans="1:34" s="234" customFormat="1">
      <c r="A11" s="645"/>
      <c r="B11" s="645"/>
      <c r="C11" s="645"/>
      <c r="D11" s="293"/>
      <c r="E11" s="293"/>
      <c r="F11" s="294"/>
      <c r="G11" s="293"/>
      <c r="H11" s="293"/>
      <c r="I11" s="293"/>
      <c r="J11" s="293"/>
      <c r="K11" s="293"/>
      <c r="L11" s="293"/>
      <c r="M11" s="293"/>
      <c r="N11" s="293"/>
      <c r="O11" s="293"/>
      <c r="P11" s="293"/>
      <c r="Q11" s="293"/>
      <c r="R11" s="293"/>
      <c r="S11" s="293"/>
      <c r="T11" s="293"/>
      <c r="AD11" s="293"/>
    </row>
    <row r="12" spans="1:34" s="234" customFormat="1">
      <c r="A12" s="645"/>
      <c r="B12" s="645"/>
      <c r="C12" s="645"/>
      <c r="D12" s="293"/>
      <c r="E12" s="293"/>
      <c r="F12" s="294"/>
      <c r="G12" s="293"/>
      <c r="H12" s="293"/>
      <c r="I12" s="293"/>
      <c r="J12" s="293"/>
      <c r="K12" s="293"/>
      <c r="L12" s="293"/>
      <c r="M12" s="293"/>
      <c r="N12" s="293"/>
      <c r="O12" s="293"/>
      <c r="P12" s="293"/>
      <c r="Q12" s="293"/>
      <c r="R12" s="293"/>
      <c r="S12" s="293"/>
      <c r="T12" s="293"/>
      <c r="AD12" s="293"/>
    </row>
    <row r="13" spans="1:34" s="234" customFormat="1">
      <c r="A13" s="645"/>
      <c r="B13" s="645"/>
      <c r="C13" s="645"/>
      <c r="D13" s="293"/>
      <c r="E13" s="293"/>
      <c r="F13" s="294"/>
      <c r="G13" s="293"/>
      <c r="H13" s="293"/>
      <c r="I13" s="293"/>
      <c r="J13" s="293"/>
      <c r="K13" s="293"/>
      <c r="L13" s="293"/>
      <c r="M13" s="293"/>
      <c r="N13" s="293"/>
      <c r="O13" s="293"/>
      <c r="P13" s="293"/>
      <c r="Q13" s="293"/>
      <c r="R13" s="293"/>
      <c r="S13" s="293"/>
      <c r="T13" s="293"/>
      <c r="AD13" s="293"/>
    </row>
    <row r="14" spans="1:34" ht="19">
      <c r="D14" s="114"/>
      <c r="E14" s="114"/>
      <c r="F14" s="118"/>
      <c r="G14" s="147"/>
      <c r="H14" s="147"/>
      <c r="I14" s="147"/>
      <c r="J14" s="114"/>
      <c r="K14" s="114"/>
      <c r="L14" s="114"/>
      <c r="M14" s="114"/>
      <c r="N14" s="114"/>
      <c r="O14" s="114"/>
      <c r="P14" s="114"/>
      <c r="Q14" s="114"/>
      <c r="R14" s="114"/>
      <c r="S14" s="114"/>
      <c r="T14" s="114"/>
      <c r="W14" s="280" t="s">
        <v>258</v>
      </c>
      <c r="X14" s="280" t="s">
        <v>256</v>
      </c>
      <c r="Y14" s="337" t="s">
        <v>259</v>
      </c>
      <c r="Z14" s="337" t="s">
        <v>257</v>
      </c>
      <c r="AB14" s="114"/>
      <c r="AC14" s="114"/>
      <c r="AE14" s="114"/>
      <c r="AF14" s="114"/>
      <c r="AG14" s="114"/>
      <c r="AH14" s="114"/>
    </row>
    <row r="15" spans="1:34" ht="16" thickBot="1">
      <c r="D15" s="114"/>
      <c r="E15" s="114"/>
      <c r="F15" s="114"/>
      <c r="G15" s="114"/>
      <c r="H15" s="419">
        <v>1</v>
      </c>
      <c r="I15" s="114"/>
      <c r="J15" s="114"/>
      <c r="K15" s="114"/>
      <c r="L15" s="114"/>
      <c r="M15" s="130"/>
      <c r="N15" s="114"/>
      <c r="O15" s="114"/>
      <c r="P15" s="114"/>
      <c r="Q15" s="114"/>
      <c r="R15" s="114"/>
      <c r="S15" s="114"/>
      <c r="T15" s="114"/>
      <c r="AB15" s="114"/>
      <c r="AC15" s="114"/>
      <c r="AE15" s="114"/>
      <c r="AF15" s="114"/>
      <c r="AG15" s="114"/>
      <c r="AH15" s="114"/>
    </row>
    <row r="16" spans="1:34" s="287" customFormat="1" ht="26.5" customHeight="1" thickBot="1">
      <c r="A16" s="286"/>
      <c r="B16" s="286"/>
      <c r="C16" s="286"/>
      <c r="E16" s="701"/>
      <c r="F16" s="646" t="s">
        <v>174</v>
      </c>
      <c r="G16" s="646" t="s">
        <v>26</v>
      </c>
      <c r="H16" s="646">
        <f>+VLOOKUP(G16,Reference!A2:B13,2,0)</f>
        <v>10</v>
      </c>
      <c r="I16" s="646">
        <v>2022</v>
      </c>
      <c r="J16" s="717">
        <v>2023</v>
      </c>
      <c r="K16" s="718"/>
      <c r="L16" s="718"/>
      <c r="M16" s="718"/>
      <c r="AD16" s="563"/>
    </row>
    <row r="17" spans="1:34">
      <c r="D17" s="114"/>
      <c r="E17" s="114"/>
      <c r="F17" s="118"/>
      <c r="G17" s="114"/>
      <c r="H17" s="114"/>
      <c r="I17" s="114"/>
      <c r="J17" s="114"/>
      <c r="K17" s="114"/>
      <c r="L17" s="114"/>
      <c r="M17" s="114"/>
      <c r="N17" s="114"/>
      <c r="O17" s="114"/>
      <c r="P17" s="114"/>
      <c r="Q17" s="114"/>
      <c r="R17" s="114"/>
      <c r="S17" s="114"/>
      <c r="T17" s="114"/>
      <c r="AB17" s="114"/>
      <c r="AC17" s="114"/>
      <c r="AE17" s="114"/>
      <c r="AF17" s="114"/>
      <c r="AG17" s="114"/>
      <c r="AH17" s="114"/>
    </row>
    <row r="18" spans="1:34">
      <c r="U18" s="236"/>
      <c r="V18" s="236"/>
      <c r="W18" s="236"/>
      <c r="X18" s="236"/>
      <c r="Y18" s="236"/>
      <c r="Z18" s="236"/>
      <c r="AA18" s="236"/>
    </row>
    <row r="19" spans="1:34" ht="19">
      <c r="B19" s="240"/>
      <c r="U19" s="236"/>
      <c r="V19" s="236"/>
      <c r="W19" s="236"/>
      <c r="X19" s="236"/>
      <c r="Y19" s="236"/>
      <c r="Z19" s="236"/>
      <c r="AA19" s="236"/>
    </row>
    <row r="20" spans="1:34" ht="19">
      <c r="B20" s="240"/>
      <c r="E20" s="234"/>
      <c r="F20" s="251"/>
      <c r="G20" s="234"/>
      <c r="H20" s="234"/>
      <c r="I20" s="234"/>
      <c r="J20" s="735" t="s">
        <v>250</v>
      </c>
      <c r="K20" s="735"/>
      <c r="Q20" s="114"/>
      <c r="R20" s="719" t="s">
        <v>251</v>
      </c>
      <c r="S20" s="719"/>
      <c r="T20" s="719"/>
      <c r="AA20" s="236"/>
    </row>
    <row r="21" spans="1:34" s="204" customFormat="1" ht="16.25" customHeight="1" thickBot="1">
      <c r="A21" s="241"/>
      <c r="B21" s="241"/>
      <c r="C21" s="241"/>
      <c r="D21" s="244"/>
      <c r="E21" s="252"/>
      <c r="F21" s="719" t="s">
        <v>98</v>
      </c>
      <c r="G21" s="719"/>
      <c r="H21" s="719"/>
      <c r="I21" s="234"/>
      <c r="J21" s="234"/>
      <c r="K21" s="234"/>
      <c r="L21" s="244"/>
      <c r="M21" s="236"/>
      <c r="N21" s="236"/>
      <c r="O21" s="236"/>
      <c r="P21" s="236"/>
      <c r="Q21" s="114"/>
      <c r="R21" s="114"/>
      <c r="S21" s="114"/>
      <c r="AA21" s="244"/>
      <c r="AB21" s="244"/>
      <c r="AC21" s="244"/>
      <c r="AD21" s="244"/>
      <c r="AE21" s="244"/>
      <c r="AF21" s="244"/>
      <c r="AG21" s="244"/>
      <c r="AH21" s="244"/>
    </row>
    <row r="22" spans="1:34" ht="34">
      <c r="B22" s="420"/>
      <c r="E22" s="234"/>
      <c r="F22" s="258">
        <f>-SUMIFS('Jounal entries final'!$H:$H,'Jounal entries final'!$E:$E,F21,'Jounal entries final'!$B:$B,H16,'Jounal entries final'!$C:$C,'Dashboard Aifina'!$I$16)</f>
        <v>11353191</v>
      </c>
      <c r="G22" s="260"/>
      <c r="H22" s="258"/>
      <c r="I22" s="234"/>
      <c r="J22" s="260"/>
      <c r="K22" s="234"/>
      <c r="Q22" s="114"/>
      <c r="R22" s="720" t="str">
        <f>VLOOKUP(H16,'Comments database'!$A$3:$H$15,8,0)</f>
        <v>October’s 1.17% revenue decline was driven by significant drops in Client 4’s revenue (over 450K$ loss), partially offset by Client 10’s significant recovery and further growth from Client 1. Reliance on large clients remains high, indicating continued volatility risks. The 1.17% decline in October’s YTD performance shows that the company is still struggling with client volatility, especially from Client 4. The partial recovery from Client 10 is encouraging, but overall reliance on large accounts continues to expose the company to risk.</v>
      </c>
      <c r="S22" s="721"/>
      <c r="T22" s="721"/>
      <c r="U22" s="721"/>
      <c r="V22" s="721"/>
      <c r="W22" s="721"/>
      <c r="X22" s="721"/>
      <c r="Y22" s="722"/>
      <c r="AA22" s="236"/>
    </row>
    <row r="23" spans="1:34" ht="19">
      <c r="B23" s="240"/>
      <c r="E23" s="234"/>
      <c r="F23" s="253"/>
      <c r="G23" s="732"/>
      <c r="H23" s="732"/>
      <c r="I23" s="234"/>
      <c r="J23" s="234"/>
      <c r="K23" s="234"/>
      <c r="Q23" s="114"/>
      <c r="R23" s="723"/>
      <c r="S23" s="724"/>
      <c r="T23" s="724"/>
      <c r="U23" s="724"/>
      <c r="V23" s="724"/>
      <c r="W23" s="724"/>
      <c r="X23" s="724"/>
      <c r="Y23" s="725"/>
      <c r="AA23" s="236"/>
    </row>
    <row r="24" spans="1:34" ht="19">
      <c r="E24" s="234"/>
      <c r="F24" s="254" t="s">
        <v>178</v>
      </c>
      <c r="G24" s="733">
        <f>INDEX('P&amp;L Budget'!D23:O23,MATCH('Dashboard Aifina'!H16,'P&amp;L Budget'!D16:O16,0))</f>
        <v>11224834</v>
      </c>
      <c r="H24" s="733"/>
      <c r="I24" s="734">
        <f>+(F22-G24)/G24</f>
        <v>1.1435091155913754E-2</v>
      </c>
      <c r="J24" s="734"/>
      <c r="K24" s="234"/>
      <c r="Q24" s="114"/>
      <c r="R24" s="723"/>
      <c r="S24" s="724"/>
      <c r="T24" s="724"/>
      <c r="U24" s="724"/>
      <c r="V24" s="724"/>
      <c r="W24" s="724"/>
      <c r="X24" s="724"/>
      <c r="Y24" s="725"/>
      <c r="AA24" s="236"/>
    </row>
    <row r="25" spans="1:34" ht="19">
      <c r="B25" s="240"/>
      <c r="E25" s="234"/>
      <c r="F25" s="254" t="s">
        <v>180</v>
      </c>
      <c r="G25" s="729">
        <f>-SUMIFS('Jounal entries final'!$H:$H,'Jounal entries final'!$E:$E,F21,'Jounal entries final'!$B:$B,H16-1,'Jounal entries final'!$C:$C,'Financial statement 1 P&amp;L'!$G$3)</f>
        <v>11487586</v>
      </c>
      <c r="H25" s="729">
        <f>-SUMIFS('Jounal entries final'!$H:$H,'Jounal entries final'!$E:$E,'Financial statement 1 P&amp;L'!D12,'Jounal entries final'!$B:$B,'Financial statement 1 P&amp;L'!$E$2-1,'Jounal entries final'!$C:$C,'Financial statement 1 P&amp;L'!$G$3)</f>
        <v>0</v>
      </c>
      <c r="I25" s="730">
        <f>+(F22-G25)/G25</f>
        <v>-1.1699150718001153E-2</v>
      </c>
      <c r="J25" s="730"/>
      <c r="K25" s="234"/>
      <c r="Q25" s="114"/>
      <c r="R25" s="723"/>
      <c r="S25" s="724"/>
      <c r="T25" s="724"/>
      <c r="U25" s="724"/>
      <c r="V25" s="724"/>
      <c r="W25" s="724"/>
      <c r="X25" s="724"/>
      <c r="Y25" s="725"/>
      <c r="AA25" s="236"/>
    </row>
    <row r="26" spans="1:34" ht="28.25" customHeight="1" thickBot="1">
      <c r="B26" s="240"/>
      <c r="E26" s="234"/>
      <c r="F26" s="254" t="s">
        <v>298</v>
      </c>
      <c r="G26" s="729">
        <f ca="1">SUM(Selected_revenue)</f>
        <v>121227538</v>
      </c>
      <c r="H26" s="729"/>
      <c r="I26" s="730"/>
      <c r="J26" s="730"/>
      <c r="K26" s="234"/>
      <c r="Q26" s="114"/>
      <c r="R26" s="726"/>
      <c r="S26" s="727"/>
      <c r="T26" s="727"/>
      <c r="U26" s="727"/>
      <c r="V26" s="727"/>
      <c r="W26" s="727"/>
      <c r="X26" s="727"/>
      <c r="Y26" s="728"/>
      <c r="AA26" s="236"/>
    </row>
    <row r="27" spans="1:34" ht="19">
      <c r="E27" s="234"/>
      <c r="F27" s="255"/>
      <c r="G27" s="256"/>
      <c r="H27" s="257"/>
      <c r="I27" s="234"/>
      <c r="J27" s="234"/>
      <c r="K27" s="234"/>
      <c r="Q27" s="114"/>
      <c r="R27" s="114"/>
      <c r="S27" s="114"/>
      <c r="T27" s="114"/>
      <c r="AA27" s="236"/>
    </row>
    <row r="28" spans="1:34" ht="19.25" customHeight="1">
      <c r="B28" s="240"/>
      <c r="F28" s="245"/>
      <c r="G28" s="250"/>
      <c r="U28" s="236"/>
      <c r="V28" s="236"/>
      <c r="W28" s="236"/>
      <c r="X28" s="236"/>
      <c r="Y28" s="236"/>
      <c r="Z28" s="236"/>
      <c r="AA28" s="236"/>
    </row>
    <row r="29" spans="1:34" ht="18" customHeight="1">
      <c r="B29" s="240"/>
      <c r="E29" s="234"/>
      <c r="F29" s="251"/>
      <c r="G29" s="234"/>
      <c r="H29" s="234"/>
      <c r="I29" s="234"/>
      <c r="J29" s="731" t="s">
        <v>250</v>
      </c>
      <c r="K29" s="731"/>
      <c r="Q29" s="114"/>
      <c r="R29" s="719" t="s">
        <v>251</v>
      </c>
      <c r="S29" s="719"/>
      <c r="T29" s="719"/>
      <c r="AA29" s="236"/>
    </row>
    <row r="30" spans="1:34" ht="23" thickBot="1">
      <c r="E30" s="252"/>
      <c r="F30" s="719" t="s">
        <v>241</v>
      </c>
      <c r="G30" s="719"/>
      <c r="H30" s="719"/>
      <c r="I30" s="234"/>
      <c r="J30" s="234"/>
      <c r="K30" s="234"/>
      <c r="Q30" s="114"/>
      <c r="R30" s="114"/>
      <c r="S30" s="114"/>
      <c r="T30" s="204"/>
      <c r="U30" s="204"/>
      <c r="V30" s="204"/>
      <c r="W30" s="204"/>
      <c r="X30" s="204"/>
      <c r="Y30" s="204"/>
      <c r="Z30" s="204"/>
      <c r="AA30" s="236"/>
    </row>
    <row r="31" spans="1:34" ht="33.5" customHeight="1">
      <c r="B31" s="240"/>
      <c r="E31" s="234"/>
      <c r="F31" s="417">
        <f>INDEX('Last 12M'!$G$12:$R$12,MATCH('Dashboard Aifina'!$H$16,'Last 12M'!$G$1:$R$1,0))</f>
        <v>0.26388525234887711</v>
      </c>
      <c r="G31" s="258"/>
      <c r="H31" s="258"/>
      <c r="I31" s="234"/>
      <c r="J31" s="260"/>
      <c r="K31" s="234"/>
      <c r="Q31" s="114"/>
      <c r="R31" s="740" t="str">
        <f>HLOOKUP(H16,'Margin analysis prompts'!$A$44:$L$51,8,0)</f>
        <v>In October, margin performance reflects a -4% impact from a slight decline in revenue, equating to -38 K$. This was partially mitigated by cost efficiencies, which contributed +26%, or +255 K$, to the margin. While the revenue drop is minimal, the cost savings played an important role in limiting the margin decline. Moving forward, attention to both revenue recovery and maintaining cost control will be key to sustaining profitability. Looking at the YTD margin performance, contributions from Client 9 and Client 4 have provided consistent support to year-to-date margins. However, the decline in Client 10’s performance poses a risk to overall profitability. Stabilizing underperforming clients, such as Client 1, will be necessary to maintain YTD margin growth.</v>
      </c>
      <c r="S31" s="741"/>
      <c r="T31" s="741"/>
      <c r="U31" s="741"/>
      <c r="V31" s="741"/>
      <c r="W31" s="741"/>
      <c r="X31" s="741"/>
      <c r="Y31" s="742"/>
      <c r="AA31" s="236"/>
    </row>
    <row r="32" spans="1:34" ht="19">
      <c r="E32" s="234"/>
      <c r="F32" s="253"/>
      <c r="G32" s="732"/>
      <c r="H32" s="732"/>
      <c r="I32" s="234"/>
      <c r="J32" s="234"/>
      <c r="K32" s="234"/>
      <c r="Q32" s="114"/>
      <c r="R32" s="743"/>
      <c r="S32" s="744"/>
      <c r="T32" s="744"/>
      <c r="U32" s="744"/>
      <c r="V32" s="744"/>
      <c r="W32" s="744"/>
      <c r="X32" s="744"/>
      <c r="Y32" s="745"/>
      <c r="AA32" s="236"/>
    </row>
    <row r="33" spans="2:34" ht="19">
      <c r="B33" s="240"/>
      <c r="E33" s="234"/>
      <c r="F33" s="254" t="s">
        <v>178</v>
      </c>
      <c r="G33" s="736">
        <f>INDEX('P&amp;L Budget'!D27:O27,MATCH('Dashboard Aifina'!$H$16,'P&amp;L Budget'!$D$16:$O$16,0))</f>
        <v>0.25194296859980292</v>
      </c>
      <c r="H33" s="736"/>
      <c r="I33" s="734">
        <f>+(F31-G33)/G33</f>
        <v>4.7400742380089317E-2</v>
      </c>
      <c r="J33" s="734"/>
      <c r="K33" s="234"/>
      <c r="Q33" s="114"/>
      <c r="R33" s="743"/>
      <c r="S33" s="744"/>
      <c r="T33" s="744"/>
      <c r="U33" s="744"/>
      <c r="V33" s="744"/>
      <c r="W33" s="744"/>
      <c r="X33" s="744"/>
      <c r="Y33" s="745"/>
      <c r="AA33" s="236"/>
    </row>
    <row r="34" spans="2:34" ht="19">
      <c r="E34" s="234"/>
      <c r="F34" s="254" t="s">
        <v>180</v>
      </c>
      <c r="G34" s="730">
        <f>INDEX('Last 12M'!$G$12:$R$12,MATCH('Dashboard Aifina'!$H$16-1,'Last 12M'!$G$1:$R$1,0))</f>
        <v>0.28638821785534407</v>
      </c>
      <c r="H34" s="730">
        <f>-SUMIFS('Jounal entries final'!$H:$H,'Jounal entries final'!$E:$E,'Financial statement 1 P&amp;L'!D21,'Jounal entries final'!$B:$B,'Financial statement 1 P&amp;L'!$E$2-1,'Jounal entries final'!$C:$C,'Financial statement 1 P&amp;L'!$G$3)</f>
        <v>0</v>
      </c>
      <c r="I34" s="730">
        <f>+(F31-G34)/G34</f>
        <v>-7.8575039416716896E-2</v>
      </c>
      <c r="J34" s="730"/>
      <c r="K34" s="234"/>
      <c r="Q34" s="114"/>
      <c r="R34" s="743"/>
      <c r="S34" s="744"/>
      <c r="T34" s="744"/>
      <c r="U34" s="744"/>
      <c r="V34" s="744"/>
      <c r="W34" s="744"/>
      <c r="X34" s="744"/>
      <c r="Y34" s="745"/>
      <c r="AA34" s="236"/>
    </row>
    <row r="35" spans="2:34" ht="20" thickBot="1">
      <c r="B35" s="240"/>
      <c r="E35" s="234"/>
      <c r="F35" s="254" t="s">
        <v>298</v>
      </c>
      <c r="G35" s="730">
        <f ca="1">SUM(Margin)/SUM(Selected_revenue)</f>
        <v>0.25696186584272623</v>
      </c>
      <c r="H35" s="730"/>
      <c r="I35" s="730"/>
      <c r="J35" s="730"/>
      <c r="K35" s="234"/>
      <c r="Q35" s="114"/>
      <c r="R35" s="746"/>
      <c r="S35" s="747"/>
      <c r="T35" s="747"/>
      <c r="U35" s="747"/>
      <c r="V35" s="747"/>
      <c r="W35" s="747"/>
      <c r="X35" s="747"/>
      <c r="Y35" s="748"/>
      <c r="AA35" s="236"/>
    </row>
    <row r="36" spans="2:34" ht="19">
      <c r="B36" s="240"/>
      <c r="E36" s="114"/>
      <c r="F36" s="119"/>
      <c r="G36" s="124"/>
      <c r="H36" s="114"/>
      <c r="I36" s="114"/>
      <c r="J36" s="114"/>
      <c r="K36" s="114"/>
      <c r="Q36" s="114"/>
      <c r="R36" s="114"/>
      <c r="S36" s="114"/>
      <c r="T36" s="114"/>
      <c r="AA36" s="236"/>
    </row>
    <row r="37" spans="2:34" ht="19.25" customHeight="1">
      <c r="F37" s="245"/>
      <c r="G37" s="250"/>
      <c r="U37" s="236"/>
      <c r="V37" s="236"/>
      <c r="W37" s="236"/>
      <c r="X37" s="236"/>
      <c r="Y37" s="236"/>
      <c r="Z37" s="236"/>
      <c r="AA37" s="236"/>
    </row>
    <row r="38" spans="2:34" ht="18" customHeight="1">
      <c r="B38" s="240"/>
      <c r="E38" s="234"/>
      <c r="F38" s="251"/>
      <c r="G38" s="234"/>
      <c r="H38" s="234"/>
      <c r="I38" s="234"/>
      <c r="J38" s="731" t="s">
        <v>250</v>
      </c>
      <c r="K38" s="731"/>
      <c r="Q38" s="114"/>
      <c r="R38" s="719" t="s">
        <v>251</v>
      </c>
      <c r="S38" s="719"/>
      <c r="T38" s="719"/>
      <c r="AA38" s="236"/>
    </row>
    <row r="39" spans="2:34" ht="23" thickBot="1">
      <c r="E39" s="252"/>
      <c r="F39" s="719" t="s">
        <v>182</v>
      </c>
      <c r="G39" s="719"/>
      <c r="H39" s="719"/>
      <c r="I39" s="234"/>
      <c r="J39" s="234"/>
      <c r="K39" s="234"/>
      <c r="Q39" s="114"/>
      <c r="R39" s="114"/>
      <c r="S39" s="114"/>
      <c r="T39" s="204"/>
      <c r="U39" s="204"/>
      <c r="V39" s="204"/>
      <c r="W39" s="204"/>
      <c r="X39" s="204"/>
      <c r="Y39" s="204"/>
      <c r="Z39" s="204"/>
      <c r="AA39" s="236"/>
    </row>
    <row r="40" spans="2:34" ht="33.5" customHeight="1">
      <c r="B40" s="240"/>
      <c r="E40" s="234"/>
      <c r="F40" s="258">
        <f>INDEX('Last 12M'!$G$17:$R$17,MATCH('Dashboard Aifina'!$H$16,'Last 12M'!$G$1:$R$1,0))</f>
        <v>338850.67200000025</v>
      </c>
      <c r="G40" s="258"/>
      <c r="H40" s="258"/>
      <c r="I40" s="234"/>
      <c r="J40" s="260"/>
      <c r="K40" s="234"/>
      <c r="Q40" s="114"/>
      <c r="R40" s="720" t="str">
        <f>HLOOKUP(H16,'EBITDA Analysis and prompts'!$C$13:$M$14,2,0)</f>
        <v>October’s results highlight stabilization in revenue, but the small revenue decline shows that the company has not yet fully recovered. Margins have been protected by continued cost efficiencies, but rising personnel and facility costs may indicate inefficiencies that need to be addressed. The increase in staffing costs could reflect higher headcount or increased wages, both of which need to be closely monitored to ensure they do not erode profitability further.</v>
      </c>
      <c r="S40" s="721"/>
      <c r="T40" s="721"/>
      <c r="U40" s="721"/>
      <c r="V40" s="721"/>
      <c r="W40" s="721"/>
      <c r="X40" s="721"/>
      <c r="Y40" s="722"/>
      <c r="AA40" s="236"/>
    </row>
    <row r="41" spans="2:34" ht="19">
      <c r="E41" s="234"/>
      <c r="F41" s="253"/>
      <c r="G41" s="732"/>
      <c r="H41" s="732"/>
      <c r="I41" s="234"/>
      <c r="J41" s="234"/>
      <c r="K41" s="234"/>
      <c r="Q41" s="114"/>
      <c r="R41" s="723"/>
      <c r="S41" s="724"/>
      <c r="T41" s="724"/>
      <c r="U41" s="724"/>
      <c r="V41" s="724"/>
      <c r="W41" s="724"/>
      <c r="X41" s="724"/>
      <c r="Y41" s="725"/>
      <c r="AA41" s="236"/>
    </row>
    <row r="42" spans="2:34" ht="19">
      <c r="B42" s="240"/>
      <c r="E42" s="234"/>
      <c r="F42" s="254" t="s">
        <v>178</v>
      </c>
      <c r="G42" s="733">
        <f>INDEX('P&amp;L Budget'!D33:O33,MATCH('Dashboard Aifina'!$H$16,'P&amp;L Budget'!$D$16:$O$16,0))</f>
        <v>170929</v>
      </c>
      <c r="H42" s="733"/>
      <c r="I42" s="734">
        <f>+(F40-G42)/G42</f>
        <v>0.98240598143088798</v>
      </c>
      <c r="J42" s="734"/>
      <c r="K42" s="234"/>
      <c r="Q42" s="114"/>
      <c r="R42" s="723"/>
      <c r="S42" s="724"/>
      <c r="T42" s="724"/>
      <c r="U42" s="724"/>
      <c r="V42" s="724"/>
      <c r="W42" s="724"/>
      <c r="X42" s="724"/>
      <c r="Y42" s="725"/>
      <c r="AA42" s="236"/>
    </row>
    <row r="43" spans="2:34" ht="19">
      <c r="E43" s="234"/>
      <c r="F43" s="254" t="s">
        <v>180</v>
      </c>
      <c r="G43" s="729">
        <f>INDEX('Last 12M'!$G$17:$R$17,MATCH('Dashboard Aifina'!$H$16-1,'Last 12M'!$G$1:$R$1,0))</f>
        <v>796945.28200000059</v>
      </c>
      <c r="H43" s="729">
        <f>-SUMIFS('Jounal entries final'!$H:$H,'Jounal entries final'!$E:$E,'Financial statement 1 P&amp;L'!D30,'Jounal entries final'!$B:$B,'Financial statement 1 P&amp;L'!$E$2-1,'Jounal entries final'!$C:$C,'Financial statement 1 P&amp;L'!$G$3)</f>
        <v>0</v>
      </c>
      <c r="I43" s="730">
        <f>+(F40+-G43)/-G43</f>
        <v>0.57481312750904767</v>
      </c>
      <c r="J43" s="730"/>
      <c r="K43" s="234"/>
      <c r="Q43" s="114"/>
      <c r="R43" s="723"/>
      <c r="S43" s="724"/>
      <c r="T43" s="724"/>
      <c r="U43" s="724"/>
      <c r="V43" s="724"/>
      <c r="W43" s="724"/>
      <c r="X43" s="724"/>
      <c r="Y43" s="725"/>
      <c r="AA43" s="236"/>
    </row>
    <row r="44" spans="2:34" ht="20" thickBot="1">
      <c r="B44" s="240"/>
      <c r="E44" s="234"/>
      <c r="F44" s="254" t="s">
        <v>298</v>
      </c>
      <c r="G44" s="729">
        <f ca="1">SUM(EBITDA)</f>
        <v>5336081.3559999997</v>
      </c>
      <c r="H44" s="729"/>
      <c r="I44" s="730"/>
      <c r="J44" s="730"/>
      <c r="K44" s="234"/>
      <c r="Q44" s="114"/>
      <c r="R44" s="726"/>
      <c r="S44" s="727"/>
      <c r="T44" s="727"/>
      <c r="U44" s="727"/>
      <c r="V44" s="727"/>
      <c r="W44" s="727"/>
      <c r="X44" s="727"/>
      <c r="Y44" s="728"/>
      <c r="AA44" s="236"/>
    </row>
    <row r="45" spans="2:34">
      <c r="E45" s="114"/>
      <c r="F45" s="119"/>
      <c r="G45" s="124"/>
      <c r="H45" s="114"/>
      <c r="I45" s="114"/>
      <c r="J45" s="114"/>
      <c r="K45" s="114"/>
      <c r="Q45" s="114"/>
      <c r="R45" s="114"/>
      <c r="S45" s="114"/>
      <c r="T45" s="114"/>
      <c r="AA45" s="236"/>
    </row>
    <row r="46" spans="2:34" ht="19">
      <c r="B46" s="240"/>
      <c r="U46" s="236"/>
      <c r="V46" s="236"/>
      <c r="W46" s="236"/>
      <c r="X46" s="236"/>
      <c r="Y46" s="236"/>
      <c r="Z46" s="236"/>
      <c r="AA46" s="236"/>
    </row>
    <row r="47" spans="2:34" ht="18" customHeight="1">
      <c r="E47" s="234"/>
      <c r="F47" s="251"/>
      <c r="G47" s="234"/>
      <c r="H47" s="234"/>
      <c r="I47" s="234"/>
      <c r="J47" s="751" t="s">
        <v>250</v>
      </c>
      <c r="K47" s="751"/>
      <c r="Q47" s="114"/>
      <c r="R47" s="719" t="s">
        <v>251</v>
      </c>
      <c r="S47" s="719"/>
      <c r="T47" s="719"/>
      <c r="AA47" s="236"/>
      <c r="AB47" s="293"/>
      <c r="AC47" s="294"/>
      <c r="AD47" s="293"/>
      <c r="AE47" s="293"/>
      <c r="AF47" s="293"/>
      <c r="AG47" s="752"/>
      <c r="AH47" s="752"/>
    </row>
    <row r="48" spans="2:34" ht="23" thickBot="1">
      <c r="E48" s="252"/>
      <c r="F48" s="719" t="s">
        <v>165</v>
      </c>
      <c r="G48" s="719"/>
      <c r="H48" s="719"/>
      <c r="I48" s="234"/>
      <c r="J48" s="234"/>
      <c r="K48" s="234"/>
      <c r="Q48" s="114"/>
      <c r="R48" s="114"/>
      <c r="S48" s="114"/>
      <c r="T48" s="204"/>
      <c r="U48" s="204"/>
      <c r="V48" s="204"/>
      <c r="W48" s="204"/>
      <c r="X48" s="204"/>
      <c r="Y48" s="204"/>
      <c r="Z48" s="204"/>
      <c r="AA48" s="236"/>
      <c r="AB48" s="295"/>
      <c r="AC48" s="737"/>
      <c r="AD48" s="737"/>
      <c r="AE48" s="737"/>
      <c r="AF48" s="293"/>
      <c r="AG48" s="293"/>
      <c r="AH48" s="293"/>
    </row>
    <row r="49" spans="2:34" ht="34">
      <c r="E49" s="234"/>
      <c r="F49" s="275">
        <f>SUM(G51:G52)-G53</f>
        <v>-17.528482545509974</v>
      </c>
      <c r="G49" s="278"/>
      <c r="H49" s="258"/>
      <c r="I49" s="234"/>
      <c r="J49" s="260"/>
      <c r="K49" s="234"/>
      <c r="Q49" s="114"/>
      <c r="R49" s="753" t="str">
        <f>CONCATENATE("- ",HLOOKUP(H16,'DSO Comments'!B4:M9,6,0),CHAR(10),"- ",VLOOKUP(H16,'DIO Comments'!A5:G17,7,0),CHAR(10),"- ",HLOOKUP(H16,'DPO Comments'!B2:M8,7,0))</f>
        <v>- October’s DSO drop to 69 days reflects some progress in collection efforts, especially with Client 9. However, Clients 7 and 10 continue to drag down the overall performance. The YTD insight indicates that while there has been some recovery, collection performance remains highly volatile. The CFO should consider setting stricter internal KPIs to prevent further slippage and possibly exploring invoice factoring or securing short-term financing as a buffer against late payments. Maintaining liquidity during this period will be critical as collections remain inconsistent.
- YTD DIO at 13.9 signals that liquidity management is now in crisis territory. The company’s ability to meet its short-term obligations is becoming compromised due to the significant amount of cash tied up in inventory. Emergency measures are necessary to rebalance inventory levels and protect the company’s cash flow.
- Supplier A’s DPO is improving, but Supplier B’s payment delays are alarming and pose serious cash flow risks. Address Supplier B’s payments urgently to prevent disruption and monitor Supplier D to avoid further delays.</v>
      </c>
      <c r="S49" s="754"/>
      <c r="T49" s="754"/>
      <c r="U49" s="754"/>
      <c r="V49" s="754"/>
      <c r="W49" s="754"/>
      <c r="X49" s="754"/>
      <c r="Y49" s="755"/>
      <c r="AA49" s="236"/>
      <c r="AB49" s="293"/>
      <c r="AC49" s="738"/>
      <c r="AD49" s="739"/>
      <c r="AE49" s="739"/>
      <c r="AF49" s="739"/>
      <c r="AG49" s="739"/>
      <c r="AH49" s="293"/>
    </row>
    <row r="50" spans="2:34" ht="13.25" customHeight="1">
      <c r="E50" s="234"/>
      <c r="F50" s="274"/>
      <c r="G50" s="277" t="s">
        <v>254</v>
      </c>
      <c r="H50" s="277" t="s">
        <v>255</v>
      </c>
      <c r="I50" s="234"/>
      <c r="J50" s="260"/>
      <c r="K50" s="234"/>
      <c r="Q50" s="114"/>
      <c r="R50" s="756"/>
      <c r="S50" s="757"/>
      <c r="T50" s="757"/>
      <c r="U50" s="757"/>
      <c r="V50" s="757"/>
      <c r="W50" s="757"/>
      <c r="X50" s="757"/>
      <c r="Y50" s="758"/>
      <c r="AA50" s="236"/>
      <c r="AB50" s="293"/>
      <c r="AC50" s="738"/>
      <c r="AD50" s="739"/>
      <c r="AE50" s="739"/>
      <c r="AF50" s="739"/>
      <c r="AG50" s="739"/>
      <c r="AH50" s="293"/>
    </row>
    <row r="51" spans="2:34" ht="18">
      <c r="E51" s="234"/>
      <c r="F51" s="254" t="s">
        <v>160</v>
      </c>
      <c r="G51" s="276">
        <f>INDEX('Working Capital'!$G$11:$R$11,MATCH('Dashboard Aifina'!$H$16,'Working Capital'!$G$1:$R$1,0))</f>
        <v>68.614582982194293</v>
      </c>
      <c r="H51" s="276">
        <f>INDEX('Working Capital'!$G$11:$R$11,MATCH('Dashboard Aifina'!$H$16-1,'Working Capital'!$G$1:$R$1,0))</f>
        <v>80.270290522238199</v>
      </c>
      <c r="I51" s="254"/>
      <c r="J51" s="279">
        <f>(G51-H51)</f>
        <v>-11.655707540043906</v>
      </c>
      <c r="K51" s="234"/>
      <c r="Q51" s="114"/>
      <c r="R51" s="756"/>
      <c r="S51" s="757"/>
      <c r="T51" s="757"/>
      <c r="U51" s="757"/>
      <c r="V51" s="757"/>
      <c r="W51" s="757"/>
      <c r="X51" s="757"/>
      <c r="Y51" s="758"/>
      <c r="AA51" s="236"/>
      <c r="AB51" s="293"/>
      <c r="AC51" s="739"/>
      <c r="AD51" s="739"/>
      <c r="AE51" s="739"/>
      <c r="AF51" s="739"/>
      <c r="AG51" s="739"/>
      <c r="AH51" s="293"/>
    </row>
    <row r="52" spans="2:34" ht="18">
      <c r="E52" s="234"/>
      <c r="F52" s="254" t="s">
        <v>161</v>
      </c>
      <c r="G52" s="276">
        <f>INDEX('Working Capital'!$G$16:$R$16,MATCH('Dashboard Aifina'!$H$16,'Working Capital'!$G$1:$R$1,0))</f>
        <v>22.538998297104317</v>
      </c>
      <c r="H52" s="276">
        <f>INDEX('Working Capital'!$G$16:$R$16,MATCH('Dashboard Aifina'!$H$16-1,'Working Capital'!$G$1:$R$1,0))</f>
        <v>19.663390809157995</v>
      </c>
      <c r="I52" s="254"/>
      <c r="J52" s="279">
        <f>(G52-H52)</f>
        <v>2.875607487946322</v>
      </c>
      <c r="K52" s="234"/>
      <c r="Q52" s="114"/>
      <c r="R52" s="756"/>
      <c r="S52" s="757"/>
      <c r="T52" s="757"/>
      <c r="U52" s="757"/>
      <c r="V52" s="757"/>
      <c r="W52" s="757"/>
      <c r="X52" s="757"/>
      <c r="Y52" s="758"/>
      <c r="AA52" s="236"/>
      <c r="AB52" s="293"/>
      <c r="AC52" s="739"/>
      <c r="AD52" s="739"/>
      <c r="AE52" s="739"/>
      <c r="AF52" s="739"/>
      <c r="AG52" s="739"/>
      <c r="AH52" s="293"/>
    </row>
    <row r="53" spans="2:34" ht="20" thickBot="1">
      <c r="E53" s="234"/>
      <c r="F53" s="254" t="s">
        <v>162</v>
      </c>
      <c r="G53" s="276">
        <f>INDEX('Working Capital'!$G$22:$R$22,MATCH('Dashboard Aifina'!$H$16,'Working Capital'!$G$1:$R$1,0))</f>
        <v>108.68206382480858</v>
      </c>
      <c r="H53" s="276">
        <f>INDEX('Working Capital'!$G$22:$R$22,MATCH('Dashboard Aifina'!$H$16-1,'Working Capital'!$G$1:$R$1,0))</f>
        <v>79.692931179505024</v>
      </c>
      <c r="I53" s="254"/>
      <c r="J53" s="279">
        <f>(G53-H53)</f>
        <v>28.989132645303556</v>
      </c>
      <c r="K53" s="234"/>
      <c r="Q53" s="114"/>
      <c r="R53" s="759"/>
      <c r="S53" s="760"/>
      <c r="T53" s="760"/>
      <c r="U53" s="760"/>
      <c r="V53" s="760"/>
      <c r="W53" s="760"/>
      <c r="X53" s="760"/>
      <c r="Y53" s="761"/>
      <c r="AA53" s="236"/>
      <c r="AB53" s="293"/>
      <c r="AC53" s="249"/>
      <c r="AD53" s="749"/>
      <c r="AE53" s="749"/>
      <c r="AF53" s="750"/>
      <c r="AG53" s="750"/>
      <c r="AH53" s="293"/>
    </row>
    <row r="54" spans="2:34" ht="19">
      <c r="E54" s="234"/>
      <c r="F54" s="255"/>
      <c r="G54" s="256"/>
      <c r="H54" s="257"/>
      <c r="I54" s="234"/>
      <c r="J54" s="234"/>
      <c r="K54" s="234"/>
      <c r="Q54" s="114"/>
      <c r="R54" s="114"/>
      <c r="S54" s="114"/>
      <c r="T54" s="114"/>
      <c r="AA54" s="236"/>
      <c r="AB54" s="293"/>
      <c r="AC54" s="246"/>
      <c r="AD54" s="247"/>
      <c r="AE54" s="248"/>
      <c r="AF54" s="293"/>
      <c r="AG54" s="293"/>
      <c r="AH54" s="293"/>
    </row>
    <row r="55" spans="2:34">
      <c r="U55" s="236"/>
      <c r="V55" s="236"/>
      <c r="W55" s="236"/>
      <c r="X55" s="236"/>
      <c r="Y55" s="236"/>
      <c r="Z55" s="236"/>
      <c r="AA55" s="236"/>
    </row>
    <row r="56" spans="2:34" ht="18" customHeight="1">
      <c r="B56" s="240"/>
      <c r="E56" s="234"/>
      <c r="F56" s="251"/>
      <c r="G56" s="234"/>
      <c r="H56" s="234"/>
      <c r="I56" s="234"/>
      <c r="J56" s="731" t="s">
        <v>250</v>
      </c>
      <c r="K56" s="731"/>
      <c r="Q56" s="114"/>
      <c r="R56" s="719" t="s">
        <v>251</v>
      </c>
      <c r="S56" s="719"/>
      <c r="T56" s="719"/>
      <c r="AA56" s="236"/>
    </row>
    <row r="57" spans="2:34" ht="23" thickBot="1">
      <c r="E57" s="252"/>
      <c r="F57" s="719" t="s">
        <v>313</v>
      </c>
      <c r="G57" s="719"/>
      <c r="H57" s="719"/>
      <c r="I57" s="234"/>
      <c r="J57" s="234"/>
      <c r="K57" s="234"/>
      <c r="Q57" s="114"/>
      <c r="R57" s="114"/>
      <c r="S57" s="114"/>
      <c r="T57" s="204"/>
      <c r="U57" s="204"/>
      <c r="V57" s="204"/>
      <c r="W57" s="204"/>
      <c r="X57" s="204"/>
      <c r="Y57" s="204"/>
      <c r="Z57" s="204"/>
      <c r="AA57" s="236"/>
    </row>
    <row r="58" spans="2:34" ht="33.5" customHeight="1">
      <c r="B58" s="240"/>
      <c r="E58" s="234"/>
      <c r="F58" s="258">
        <f>HLOOKUP('Dashboard Aifina'!G16,'LTM Cashflow Stat.'!$D$23:$O$44,22,0)</f>
        <v>13359562.732000001</v>
      </c>
      <c r="G58" s="258"/>
      <c r="H58" s="258"/>
      <c r="I58" s="234"/>
      <c r="J58" s="260"/>
      <c r="K58" s="234"/>
      <c r="Q58" s="114"/>
      <c r="R58" s="720" t="str">
        <f>VLOOKUP(H16,'Cashflow comments'!$A$3:$F$15,6,0)</f>
        <v xml:space="preserve"> October's large inflows restore the company's liquidity position. Strong collections and cash control help offset EBITDA challenges.</v>
      </c>
      <c r="S58" s="721"/>
      <c r="T58" s="721"/>
      <c r="U58" s="721"/>
      <c r="V58" s="721"/>
      <c r="W58" s="721"/>
      <c r="X58" s="721"/>
      <c r="Y58" s="722"/>
      <c r="AA58" s="236"/>
    </row>
    <row r="59" spans="2:34" ht="19">
      <c r="E59" s="234"/>
      <c r="F59" s="253"/>
      <c r="G59" s="732"/>
      <c r="H59" s="732"/>
      <c r="I59" s="234"/>
      <c r="J59" s="234"/>
      <c r="K59" s="234"/>
      <c r="Q59" s="114"/>
      <c r="R59" s="723"/>
      <c r="S59" s="724"/>
      <c r="T59" s="724"/>
      <c r="U59" s="724"/>
      <c r="V59" s="724"/>
      <c r="W59" s="724"/>
      <c r="X59" s="724"/>
      <c r="Y59" s="725"/>
      <c r="AA59" s="236"/>
    </row>
    <row r="60" spans="2:34" ht="19">
      <c r="B60" s="240"/>
      <c r="E60" s="234"/>
      <c r="F60" s="254" t="s">
        <v>178</v>
      </c>
      <c r="G60" s="733">
        <f ca="1">RANDBETWEEN(F58*0.98,F58*1.01)</f>
        <v>13274400</v>
      </c>
      <c r="H60" s="733"/>
      <c r="I60" s="734">
        <f ca="1">+(F58-G60)/G60</f>
        <v>6.4155616826373149E-3</v>
      </c>
      <c r="J60" s="734"/>
      <c r="K60" s="234"/>
      <c r="Q60" s="114"/>
      <c r="R60" s="723"/>
      <c r="S60" s="724"/>
      <c r="T60" s="724"/>
      <c r="U60" s="724"/>
      <c r="V60" s="724"/>
      <c r="W60" s="724"/>
      <c r="X60" s="724"/>
      <c r="Y60" s="725"/>
      <c r="AA60" s="236"/>
    </row>
    <row r="61" spans="2:34" ht="19">
      <c r="E61" s="234"/>
      <c r="F61" s="254" t="s">
        <v>180</v>
      </c>
      <c r="G61" s="729">
        <f>HLOOKUP(H16-1,'LTM Cashflow Stat.'!$D$17:$P$44,28,0)</f>
        <v>1879546.7019999987</v>
      </c>
      <c r="H61" s="729">
        <f>-SUMIFS('Jounal entries final'!$H:$H,'Jounal entries final'!$E:$E,'Financial statement 1 P&amp;L'!D49,'Jounal entries final'!$B:$B,'Financial statement 1 P&amp;L'!$E$2-1,'Jounal entries final'!$C:$C,'Financial statement 1 P&amp;L'!$G$3)</f>
        <v>0</v>
      </c>
      <c r="I61" s="730">
        <f>+(F58+G61)/G61</f>
        <v>8.1078642088458253</v>
      </c>
      <c r="J61" s="730"/>
      <c r="K61" s="234"/>
      <c r="Q61" s="114"/>
      <c r="R61" s="723"/>
      <c r="S61" s="724"/>
      <c r="T61" s="724"/>
      <c r="U61" s="724"/>
      <c r="V61" s="724"/>
      <c r="W61" s="724"/>
      <c r="X61" s="724"/>
      <c r="Y61" s="725"/>
      <c r="AA61" s="236"/>
    </row>
    <row r="62" spans="2:34" ht="20" thickBot="1">
      <c r="B62" s="240"/>
      <c r="E62" s="234"/>
      <c r="F62" s="254"/>
      <c r="G62" s="729"/>
      <c r="H62" s="729"/>
      <c r="I62" s="730"/>
      <c r="J62" s="730"/>
      <c r="K62" s="234"/>
      <c r="Q62" s="114"/>
      <c r="R62" s="726"/>
      <c r="S62" s="727"/>
      <c r="T62" s="727"/>
      <c r="U62" s="727"/>
      <c r="V62" s="727"/>
      <c r="W62" s="727"/>
      <c r="X62" s="727"/>
      <c r="Y62" s="728"/>
      <c r="AA62" s="236"/>
    </row>
    <row r="63" spans="2:34">
      <c r="E63" s="114"/>
      <c r="F63" s="119"/>
      <c r="G63" s="124"/>
      <c r="H63" s="114"/>
      <c r="I63" s="114"/>
      <c r="J63" s="114"/>
      <c r="K63" s="114"/>
      <c r="Q63" s="114"/>
      <c r="R63" s="114"/>
      <c r="S63" s="114"/>
      <c r="T63" s="114"/>
      <c r="AA63" s="236"/>
    </row>
    <row r="64" spans="2:34">
      <c r="U64" s="236"/>
      <c r="V64" s="236"/>
      <c r="W64" s="236"/>
      <c r="X64" s="236"/>
      <c r="Y64" s="236"/>
      <c r="Z64" s="236"/>
      <c r="AA64" s="236"/>
    </row>
    <row r="65" spans="6:27">
      <c r="U65" s="236"/>
      <c r="V65" s="236"/>
      <c r="W65" s="236"/>
      <c r="X65" s="236"/>
      <c r="Y65" s="236"/>
      <c r="Z65" s="236"/>
      <c r="AA65" s="236"/>
    </row>
    <row r="66" spans="6:27">
      <c r="U66" s="236"/>
      <c r="V66" s="236"/>
      <c r="W66" s="236"/>
      <c r="X66" s="236"/>
      <c r="Y66" s="236"/>
      <c r="Z66" s="236"/>
      <c r="AA66" s="236"/>
    </row>
    <row r="67" spans="6:27">
      <c r="U67" s="236"/>
      <c r="V67" s="236"/>
      <c r="W67" s="236"/>
      <c r="X67" s="236"/>
      <c r="Y67" s="236"/>
      <c r="Z67" s="236"/>
      <c r="AA67" s="236"/>
    </row>
    <row r="68" spans="6:27">
      <c r="U68" s="236"/>
      <c r="V68" s="236"/>
      <c r="W68" s="236"/>
      <c r="X68" s="236"/>
      <c r="Y68" s="236"/>
      <c r="Z68" s="236"/>
      <c r="AA68" s="236"/>
    </row>
    <row r="69" spans="6:27">
      <c r="F69" s="236"/>
      <c r="U69" s="236"/>
      <c r="V69" s="236"/>
      <c r="W69" s="236"/>
      <c r="X69" s="236"/>
      <c r="Y69" s="236"/>
      <c r="Z69" s="236"/>
      <c r="AA69" s="236"/>
    </row>
    <row r="70" spans="6:27">
      <c r="N70" s="459"/>
      <c r="O70" s="459"/>
      <c r="P70" s="459"/>
      <c r="Q70" s="459"/>
      <c r="R70" s="459"/>
      <c r="S70" s="459"/>
      <c r="T70" s="459"/>
      <c r="U70" s="459"/>
      <c r="V70" s="459"/>
      <c r="W70" s="459"/>
      <c r="X70" s="236"/>
      <c r="Y70" s="236"/>
      <c r="Z70" s="236"/>
      <c r="AA70" s="236"/>
    </row>
    <row r="71" spans="6:27" hidden="1">
      <c r="O71" s="459"/>
      <c r="U71" s="236"/>
      <c r="V71" s="236"/>
      <c r="W71" s="236"/>
      <c r="X71" s="236"/>
      <c r="Y71" s="236"/>
      <c r="Z71" s="236"/>
      <c r="AA71" s="236"/>
    </row>
    <row r="72" spans="6:27" hidden="1">
      <c r="U72" s="236"/>
      <c r="V72" s="236"/>
      <c r="W72" s="236"/>
      <c r="X72" s="236"/>
      <c r="Y72" s="236"/>
      <c r="Z72" s="236"/>
      <c r="AA72" s="236"/>
    </row>
    <row r="73" spans="6:27" hidden="1">
      <c r="U73" s="236"/>
      <c r="V73" s="236"/>
      <c r="W73" s="236"/>
      <c r="X73" s="236"/>
      <c r="Y73" s="236"/>
      <c r="Z73" s="236"/>
      <c r="AA73" s="236"/>
    </row>
    <row r="74" spans="6:27" hidden="1">
      <c r="U74" s="236"/>
      <c r="V74" s="236"/>
      <c r="W74" s="236"/>
      <c r="X74" s="236"/>
      <c r="Y74" s="236"/>
      <c r="Z74" s="236"/>
      <c r="AA74" s="236"/>
    </row>
    <row r="75" spans="6:27" hidden="1">
      <c r="U75" s="236"/>
      <c r="V75" s="236"/>
      <c r="W75" s="236"/>
      <c r="X75" s="236"/>
      <c r="Y75" s="236"/>
      <c r="Z75" s="236"/>
      <c r="AA75" s="236"/>
    </row>
    <row r="76" spans="6:27" hidden="1">
      <c r="U76" s="236"/>
      <c r="V76" s="236"/>
      <c r="W76" s="236"/>
      <c r="X76" s="236"/>
      <c r="Y76" s="236"/>
      <c r="Z76" s="236"/>
      <c r="AA76" s="236"/>
    </row>
    <row r="77" spans="6:27" hidden="1">
      <c r="U77" s="236"/>
      <c r="V77" s="236"/>
      <c r="W77" s="236"/>
      <c r="X77" s="236"/>
      <c r="Y77" s="236"/>
      <c r="Z77" s="236"/>
      <c r="AA77" s="236"/>
    </row>
    <row r="78" spans="6:27" hidden="1">
      <c r="U78" s="236"/>
      <c r="V78" s="236"/>
      <c r="W78" s="236"/>
      <c r="X78" s="236"/>
      <c r="Y78" s="236"/>
      <c r="Z78" s="236"/>
      <c r="AA78" s="236"/>
    </row>
    <row r="79" spans="6:27" hidden="1">
      <c r="U79" s="236"/>
      <c r="V79" s="236"/>
      <c r="W79" s="236"/>
      <c r="X79" s="236"/>
      <c r="Y79" s="236"/>
      <c r="Z79" s="236"/>
      <c r="AA79" s="236"/>
    </row>
    <row r="80" spans="6:27" hidden="1">
      <c r="U80" s="236"/>
      <c r="V80" s="236"/>
      <c r="W80" s="236"/>
      <c r="X80" s="236"/>
      <c r="Y80" s="236"/>
      <c r="Z80" s="236"/>
      <c r="AA80" s="236"/>
    </row>
    <row r="81" spans="21:27" hidden="1">
      <c r="U81" s="236"/>
      <c r="V81" s="236"/>
      <c r="W81" s="236"/>
      <c r="X81" s="236"/>
      <c r="Y81" s="236"/>
      <c r="Z81" s="236"/>
      <c r="AA81" s="236"/>
    </row>
    <row r="82" spans="21:27" hidden="1">
      <c r="U82" s="236"/>
      <c r="V82" s="236"/>
      <c r="W82" s="236"/>
      <c r="X82" s="236"/>
      <c r="Y82" s="236"/>
      <c r="Z82" s="236"/>
      <c r="AA82" s="236"/>
    </row>
    <row r="83" spans="21:27" hidden="1">
      <c r="U83" s="236"/>
      <c r="V83" s="236"/>
      <c r="W83" s="236"/>
      <c r="X83" s="236"/>
      <c r="Y83" s="236"/>
      <c r="Z83" s="236"/>
      <c r="AA83" s="236"/>
    </row>
    <row r="84" spans="21:27" hidden="1">
      <c r="U84" s="236"/>
      <c r="V84" s="236"/>
      <c r="W84" s="236"/>
      <c r="X84" s="236"/>
      <c r="Y84" s="236"/>
      <c r="Z84" s="236"/>
      <c r="AA84" s="236"/>
    </row>
    <row r="85" spans="21:27" hidden="1">
      <c r="U85" s="236"/>
      <c r="V85" s="236"/>
      <c r="W85" s="236"/>
      <c r="X85" s="236"/>
      <c r="Y85" s="236"/>
      <c r="Z85" s="236"/>
      <c r="AA85" s="236"/>
    </row>
    <row r="86" spans="21:27" hidden="1">
      <c r="U86" s="236"/>
      <c r="V86" s="236"/>
      <c r="W86" s="236"/>
      <c r="X86" s="236"/>
      <c r="Y86" s="236"/>
      <c r="Z86" s="236"/>
      <c r="AA86" s="236"/>
    </row>
    <row r="87" spans="21:27" hidden="1">
      <c r="U87" s="236"/>
      <c r="V87" s="236"/>
      <c r="W87" s="236"/>
      <c r="X87" s="236"/>
      <c r="Y87" s="236"/>
      <c r="Z87" s="236"/>
      <c r="AA87" s="236"/>
    </row>
    <row r="88" spans="21:27" hidden="1">
      <c r="U88" s="236"/>
      <c r="V88" s="236"/>
      <c r="W88" s="236"/>
      <c r="X88" s="236"/>
      <c r="Y88" s="236"/>
      <c r="Z88" s="236"/>
      <c r="AA88" s="236"/>
    </row>
    <row r="89" spans="21:27" hidden="1">
      <c r="U89" s="236"/>
      <c r="V89" s="236"/>
      <c r="W89" s="236"/>
      <c r="X89" s="236"/>
      <c r="Y89" s="236"/>
      <c r="Z89" s="236"/>
      <c r="AA89" s="236"/>
    </row>
    <row r="90" spans="21:27" hidden="1">
      <c r="U90" s="236"/>
      <c r="V90" s="236"/>
      <c r="W90" s="236"/>
      <c r="X90" s="236"/>
      <c r="Y90" s="236"/>
      <c r="Z90" s="236"/>
      <c r="AA90" s="236"/>
    </row>
    <row r="91" spans="21:27" hidden="1">
      <c r="U91" s="236"/>
      <c r="V91" s="236"/>
      <c r="W91" s="236"/>
      <c r="X91" s="236"/>
      <c r="Y91" s="236"/>
      <c r="Z91" s="236"/>
      <c r="AA91" s="236"/>
    </row>
    <row r="92" spans="21:27" hidden="1">
      <c r="U92" s="236"/>
      <c r="V92" s="236"/>
      <c r="W92" s="236"/>
      <c r="X92" s="236"/>
      <c r="Y92" s="236"/>
      <c r="Z92" s="236"/>
      <c r="AA92" s="236"/>
    </row>
    <row r="93" spans="21:27" hidden="1">
      <c r="U93" s="236"/>
      <c r="V93" s="236"/>
      <c r="W93" s="236"/>
      <c r="X93" s="236"/>
      <c r="Y93" s="236"/>
      <c r="Z93" s="236"/>
      <c r="AA93" s="236"/>
    </row>
    <row r="94" spans="21:27" hidden="1">
      <c r="U94" s="236"/>
      <c r="V94" s="236"/>
      <c r="W94" s="236"/>
      <c r="X94" s="236"/>
      <c r="Y94" s="236"/>
      <c r="Z94" s="236"/>
      <c r="AA94" s="236"/>
    </row>
    <row r="95" spans="21:27" hidden="1">
      <c r="U95" s="236"/>
      <c r="V95" s="236"/>
      <c r="W95" s="236"/>
      <c r="X95" s="236"/>
      <c r="Y95" s="236"/>
      <c r="Z95" s="236"/>
      <c r="AA95" s="236"/>
    </row>
    <row r="96" spans="21:27" hidden="1">
      <c r="U96" s="236"/>
      <c r="V96" s="236"/>
      <c r="W96" s="236"/>
      <c r="X96" s="236"/>
      <c r="Y96" s="236"/>
      <c r="Z96" s="236"/>
      <c r="AA96" s="236"/>
    </row>
    <row r="97" spans="21:27" hidden="1">
      <c r="U97" s="236"/>
      <c r="V97" s="236"/>
      <c r="W97" s="236"/>
      <c r="X97" s="236"/>
      <c r="Y97" s="236"/>
      <c r="Z97" s="236"/>
      <c r="AA97" s="236"/>
    </row>
    <row r="98" spans="21:27" hidden="1">
      <c r="U98" s="236"/>
      <c r="V98" s="236"/>
      <c r="W98" s="236"/>
      <c r="X98" s="236"/>
      <c r="Y98" s="236"/>
      <c r="Z98" s="236"/>
      <c r="AA98" s="236"/>
    </row>
    <row r="99" spans="21:27" hidden="1">
      <c r="U99" s="236"/>
      <c r="V99" s="236"/>
      <c r="W99" s="236"/>
      <c r="X99" s="236"/>
      <c r="Y99" s="236"/>
      <c r="Z99" s="236"/>
      <c r="AA99" s="236"/>
    </row>
    <row r="100" spans="21:27" hidden="1">
      <c r="U100" s="236"/>
      <c r="V100" s="236"/>
      <c r="W100" s="236"/>
      <c r="X100" s="236"/>
      <c r="Y100" s="236"/>
      <c r="Z100" s="236"/>
      <c r="AA100" s="236"/>
    </row>
    <row r="101" spans="21:27" hidden="1">
      <c r="U101" s="236"/>
      <c r="V101" s="236"/>
      <c r="W101" s="236"/>
      <c r="X101" s="236"/>
      <c r="Y101" s="236"/>
      <c r="Z101" s="236"/>
      <c r="AA101" s="236"/>
    </row>
    <row r="102" spans="21:27" hidden="1">
      <c r="U102" s="236"/>
      <c r="V102" s="236"/>
      <c r="W102" s="236"/>
      <c r="X102" s="236"/>
      <c r="Y102" s="236"/>
      <c r="Z102" s="236"/>
      <c r="AA102" s="236"/>
    </row>
    <row r="103" spans="21:27" hidden="1">
      <c r="U103" s="236"/>
      <c r="V103" s="236"/>
      <c r="W103" s="236"/>
      <c r="X103" s="236"/>
      <c r="Y103" s="236"/>
      <c r="Z103" s="236"/>
      <c r="AA103" s="236"/>
    </row>
    <row r="104" spans="21:27" hidden="1">
      <c r="U104" s="236"/>
      <c r="V104" s="236"/>
      <c r="W104" s="236"/>
      <c r="X104" s="236"/>
      <c r="Y104" s="236"/>
      <c r="Z104" s="236"/>
      <c r="AA104" s="236"/>
    </row>
    <row r="105" spans="21:27" hidden="1">
      <c r="U105" s="236"/>
      <c r="V105" s="236"/>
      <c r="W105" s="236"/>
      <c r="X105" s="236"/>
      <c r="Y105" s="236"/>
      <c r="Z105" s="236"/>
      <c r="AA105" s="236"/>
    </row>
    <row r="106" spans="21:27" hidden="1">
      <c r="U106" s="236"/>
      <c r="V106" s="236"/>
      <c r="W106" s="236"/>
      <c r="X106" s="236"/>
      <c r="Y106" s="236"/>
      <c r="Z106" s="236"/>
      <c r="AA106" s="236"/>
    </row>
    <row r="107" spans="21:27" hidden="1">
      <c r="U107" s="236"/>
      <c r="V107" s="236"/>
      <c r="W107" s="236"/>
      <c r="X107" s="236"/>
      <c r="Y107" s="236"/>
      <c r="Z107" s="236"/>
      <c r="AA107" s="236"/>
    </row>
    <row r="108" spans="21:27" hidden="1">
      <c r="U108" s="236"/>
      <c r="V108" s="236"/>
      <c r="W108" s="236"/>
      <c r="X108" s="236"/>
      <c r="Y108" s="236"/>
      <c r="Z108" s="236"/>
      <c r="AA108" s="236"/>
    </row>
    <row r="109" spans="21:27" hidden="1">
      <c r="U109" s="236"/>
      <c r="V109" s="236"/>
      <c r="W109" s="236"/>
      <c r="X109" s="236"/>
      <c r="Y109" s="236"/>
      <c r="Z109" s="236"/>
      <c r="AA109" s="236"/>
    </row>
    <row r="110" spans="21:27" hidden="1">
      <c r="U110" s="236"/>
      <c r="V110" s="236"/>
      <c r="W110" s="236"/>
      <c r="X110" s="236"/>
      <c r="Y110" s="236"/>
      <c r="Z110" s="236"/>
      <c r="AA110" s="236"/>
    </row>
    <row r="111" spans="21:27" hidden="1">
      <c r="U111" s="236"/>
      <c r="V111" s="236"/>
      <c r="W111" s="236"/>
      <c r="X111" s="236"/>
      <c r="Y111" s="236"/>
      <c r="Z111" s="236"/>
      <c r="AA111" s="236"/>
    </row>
    <row r="112" spans="21:27" hidden="1">
      <c r="U112" s="236"/>
      <c r="V112" s="236"/>
      <c r="W112" s="236"/>
      <c r="X112" s="236"/>
      <c r="Y112" s="236"/>
      <c r="Z112" s="236"/>
      <c r="AA112" s="236"/>
    </row>
    <row r="113" spans="21:27" hidden="1">
      <c r="U113" s="236"/>
      <c r="V113" s="236"/>
      <c r="W113" s="236"/>
      <c r="X113" s="236"/>
      <c r="Y113" s="236"/>
      <c r="Z113" s="236"/>
      <c r="AA113" s="236"/>
    </row>
    <row r="114" spans="21:27" hidden="1">
      <c r="U114" s="236"/>
      <c r="V114" s="236"/>
      <c r="W114" s="236"/>
      <c r="X114" s="236"/>
      <c r="Y114" s="236"/>
      <c r="Z114" s="236"/>
      <c r="AA114" s="236"/>
    </row>
    <row r="115" spans="21:27" hidden="1">
      <c r="U115" s="236"/>
      <c r="V115" s="236"/>
      <c r="W115" s="236"/>
      <c r="X115" s="236"/>
      <c r="Y115" s="236"/>
      <c r="Z115" s="236"/>
      <c r="AA115" s="236"/>
    </row>
    <row r="116" spans="21:27" hidden="1">
      <c r="U116" s="236"/>
      <c r="V116" s="236"/>
      <c r="W116" s="236"/>
      <c r="X116" s="236"/>
      <c r="Y116" s="236"/>
      <c r="Z116" s="236"/>
      <c r="AA116" s="236"/>
    </row>
    <row r="117" spans="21:27" hidden="1">
      <c r="U117" s="236"/>
      <c r="V117" s="236"/>
      <c r="W117" s="236"/>
      <c r="X117" s="236"/>
      <c r="Y117" s="236"/>
      <c r="Z117" s="236"/>
      <c r="AA117" s="236"/>
    </row>
    <row r="118" spans="21:27" hidden="1">
      <c r="U118" s="236"/>
      <c r="V118" s="236"/>
      <c r="W118" s="236"/>
      <c r="X118" s="236"/>
      <c r="Y118" s="236"/>
      <c r="Z118" s="236"/>
      <c r="AA118" s="236"/>
    </row>
    <row r="119" spans="21:27" hidden="1">
      <c r="U119" s="236"/>
      <c r="V119" s="236"/>
      <c r="W119" s="236"/>
      <c r="X119" s="236"/>
      <c r="Y119" s="236"/>
      <c r="Z119" s="236"/>
      <c r="AA119" s="236"/>
    </row>
    <row r="120" spans="21:27" hidden="1">
      <c r="U120" s="236"/>
      <c r="V120" s="236"/>
      <c r="W120" s="236"/>
      <c r="X120" s="236"/>
      <c r="Y120" s="236"/>
      <c r="Z120" s="236"/>
      <c r="AA120" s="236"/>
    </row>
    <row r="121" spans="21:27" hidden="1">
      <c r="U121" s="236"/>
      <c r="V121" s="236"/>
      <c r="W121" s="236"/>
      <c r="X121" s="236"/>
      <c r="Y121" s="236"/>
      <c r="Z121" s="236"/>
      <c r="AA121" s="236"/>
    </row>
    <row r="122" spans="21:27" hidden="1">
      <c r="U122" s="236"/>
      <c r="V122" s="236"/>
      <c r="W122" s="236"/>
      <c r="X122" s="236"/>
      <c r="Y122" s="236"/>
      <c r="Z122" s="236"/>
      <c r="AA122" s="236"/>
    </row>
    <row r="123" spans="21:27" hidden="1">
      <c r="U123" s="236"/>
      <c r="V123" s="236"/>
      <c r="W123" s="236"/>
      <c r="X123" s="236"/>
      <c r="Y123" s="236"/>
      <c r="Z123" s="236"/>
      <c r="AA123" s="236"/>
    </row>
    <row r="124" spans="21:27" hidden="1">
      <c r="U124" s="236"/>
      <c r="V124" s="236"/>
      <c r="W124" s="236"/>
      <c r="X124" s="236"/>
      <c r="Y124" s="236"/>
      <c r="Z124" s="236"/>
      <c r="AA124" s="236"/>
    </row>
    <row r="125" spans="21:27" hidden="1">
      <c r="U125" s="236"/>
      <c r="V125" s="236"/>
      <c r="W125" s="236"/>
      <c r="X125" s="236"/>
      <c r="Y125" s="236"/>
      <c r="Z125" s="236"/>
      <c r="AA125" s="236"/>
    </row>
    <row r="126" spans="21:27" hidden="1">
      <c r="U126" s="236"/>
      <c r="V126" s="236"/>
      <c r="W126" s="236"/>
      <c r="X126" s="236"/>
      <c r="Y126" s="236"/>
      <c r="Z126" s="236"/>
      <c r="AA126" s="236"/>
    </row>
    <row r="127" spans="21:27" hidden="1">
      <c r="U127" s="236"/>
      <c r="V127" s="236"/>
      <c r="W127" s="236"/>
      <c r="X127" s="236"/>
      <c r="Y127" s="236"/>
      <c r="Z127" s="236"/>
      <c r="AA127" s="236"/>
    </row>
    <row r="128" spans="21:27" hidden="1">
      <c r="U128" s="236"/>
      <c r="V128" s="236"/>
      <c r="W128" s="236"/>
      <c r="X128" s="236"/>
      <c r="Y128" s="236"/>
      <c r="Z128" s="236"/>
      <c r="AA128" s="236"/>
    </row>
    <row r="129" spans="21:27" hidden="1">
      <c r="U129" s="236"/>
      <c r="V129" s="236"/>
      <c r="W129" s="236"/>
      <c r="X129" s="236"/>
      <c r="Y129" s="236"/>
      <c r="Z129" s="236"/>
      <c r="AA129" s="236"/>
    </row>
    <row r="130" spans="21:27" hidden="1">
      <c r="U130" s="236"/>
      <c r="V130" s="236"/>
      <c r="W130" s="236"/>
      <c r="X130" s="236"/>
      <c r="Y130" s="236"/>
      <c r="Z130" s="236"/>
      <c r="AA130" s="236"/>
    </row>
    <row r="131" spans="21:27" hidden="1">
      <c r="U131" s="236"/>
      <c r="V131" s="236"/>
      <c r="W131" s="236"/>
      <c r="X131" s="236"/>
      <c r="Y131" s="236"/>
      <c r="Z131" s="236"/>
      <c r="AA131" s="236"/>
    </row>
    <row r="132" spans="21:27" hidden="1">
      <c r="U132" s="236"/>
      <c r="V132" s="236"/>
      <c r="W132" s="236"/>
      <c r="X132" s="236"/>
      <c r="Y132" s="236"/>
      <c r="Z132" s="236"/>
      <c r="AA132" s="236"/>
    </row>
    <row r="133" spans="21:27" hidden="1">
      <c r="U133" s="236"/>
      <c r="V133" s="236"/>
      <c r="W133" s="236"/>
      <c r="X133" s="236"/>
      <c r="Y133" s="236"/>
      <c r="Z133" s="236"/>
      <c r="AA133" s="236"/>
    </row>
    <row r="134" spans="21:27" hidden="1">
      <c r="U134" s="236"/>
      <c r="V134" s="236"/>
      <c r="W134" s="236"/>
      <c r="X134" s="236"/>
      <c r="Y134" s="236"/>
      <c r="Z134" s="236"/>
      <c r="AA134" s="236"/>
    </row>
    <row r="135" spans="21:27" hidden="1">
      <c r="U135" s="236"/>
      <c r="V135" s="236"/>
      <c r="W135" s="236"/>
      <c r="X135" s="236"/>
      <c r="Y135" s="236"/>
      <c r="Z135" s="236"/>
      <c r="AA135" s="236"/>
    </row>
    <row r="136" spans="21:27" hidden="1">
      <c r="U136" s="236"/>
      <c r="V136" s="236"/>
      <c r="W136" s="236"/>
      <c r="X136" s="236"/>
      <c r="Y136" s="236"/>
      <c r="Z136" s="236"/>
      <c r="AA136" s="236"/>
    </row>
    <row r="137" spans="21:27" hidden="1">
      <c r="U137" s="236"/>
      <c r="V137" s="236"/>
      <c r="W137" s="236"/>
      <c r="X137" s="236"/>
      <c r="Y137" s="236"/>
      <c r="Z137" s="236"/>
      <c r="AA137" s="236"/>
    </row>
    <row r="138" spans="21:27" hidden="1">
      <c r="U138" s="236"/>
      <c r="V138" s="236"/>
      <c r="W138" s="236"/>
      <c r="X138" s="236"/>
      <c r="Y138" s="236"/>
      <c r="Z138" s="236"/>
      <c r="AA138" s="236"/>
    </row>
    <row r="139" spans="21:27" hidden="1">
      <c r="U139" s="236"/>
      <c r="V139" s="236"/>
      <c r="W139" s="236"/>
      <c r="X139" s="236"/>
      <c r="Y139" s="236"/>
      <c r="Z139" s="236"/>
      <c r="AA139" s="236"/>
    </row>
    <row r="140" spans="21:27" hidden="1">
      <c r="U140" s="236"/>
      <c r="V140" s="236"/>
      <c r="W140" s="236"/>
      <c r="X140" s="236"/>
      <c r="Y140" s="236"/>
      <c r="Z140" s="236"/>
      <c r="AA140" s="236"/>
    </row>
    <row r="141" spans="21:27" hidden="1">
      <c r="U141" s="236"/>
      <c r="V141" s="236"/>
      <c r="W141" s="236"/>
      <c r="X141" s="236"/>
      <c r="Y141" s="236"/>
      <c r="Z141" s="236"/>
      <c r="AA141" s="236"/>
    </row>
    <row r="142" spans="21:27" hidden="1">
      <c r="U142" s="236"/>
      <c r="V142" s="236"/>
      <c r="W142" s="236"/>
      <c r="X142" s="236"/>
      <c r="Y142" s="236"/>
      <c r="Z142" s="236"/>
      <c r="AA142" s="236"/>
    </row>
    <row r="143" spans="21:27" hidden="1">
      <c r="U143" s="236"/>
      <c r="V143" s="236"/>
      <c r="W143" s="236"/>
      <c r="X143" s="236"/>
      <c r="Y143" s="236"/>
      <c r="Z143" s="236"/>
      <c r="AA143" s="236"/>
    </row>
    <row r="144" spans="21:27" hidden="1">
      <c r="U144" s="236"/>
      <c r="V144" s="236"/>
      <c r="W144" s="236"/>
      <c r="X144" s="236"/>
      <c r="Y144" s="236"/>
      <c r="Z144" s="236"/>
      <c r="AA144" s="236"/>
    </row>
    <row r="145" spans="21:27" hidden="1">
      <c r="U145" s="236"/>
      <c r="V145" s="236"/>
      <c r="W145" s="236"/>
      <c r="X145" s="236"/>
      <c r="Y145" s="236"/>
      <c r="Z145" s="236"/>
      <c r="AA145" s="236"/>
    </row>
    <row r="146" spans="21:27" hidden="1">
      <c r="U146" s="236"/>
      <c r="V146" s="236"/>
      <c r="W146" s="236"/>
      <c r="X146" s="236"/>
      <c r="Y146" s="236"/>
      <c r="Z146" s="236"/>
      <c r="AA146" s="236"/>
    </row>
    <row r="147" spans="21:27" hidden="1">
      <c r="U147" s="236"/>
      <c r="V147" s="236"/>
      <c r="W147" s="236"/>
      <c r="X147" s="236"/>
      <c r="Y147" s="236"/>
      <c r="Z147" s="236"/>
      <c r="AA147" s="236"/>
    </row>
    <row r="148" spans="21:27" hidden="1">
      <c r="U148" s="236"/>
      <c r="V148" s="236"/>
      <c r="W148" s="236"/>
      <c r="X148" s="236"/>
      <c r="Y148" s="236"/>
      <c r="Z148" s="236"/>
      <c r="AA148" s="236"/>
    </row>
    <row r="149" spans="21:27" hidden="1">
      <c r="U149" s="236"/>
      <c r="V149" s="236"/>
      <c r="W149" s="236"/>
      <c r="X149" s="236"/>
      <c r="Y149" s="236"/>
      <c r="Z149" s="236"/>
      <c r="AA149" s="236"/>
    </row>
    <row r="150" spans="21:27" hidden="1">
      <c r="U150" s="236"/>
      <c r="V150" s="236"/>
      <c r="W150" s="236"/>
      <c r="X150" s="236"/>
      <c r="Y150" s="236"/>
      <c r="Z150" s="236"/>
      <c r="AA150" s="236"/>
    </row>
    <row r="151" spans="21:27" hidden="1">
      <c r="U151" s="236"/>
      <c r="V151" s="236"/>
      <c r="W151" s="236"/>
      <c r="X151" s="236"/>
      <c r="Y151" s="236"/>
      <c r="Z151" s="236"/>
      <c r="AA151" s="236"/>
    </row>
    <row r="152" spans="21:27" hidden="1">
      <c r="U152" s="236"/>
      <c r="V152" s="236"/>
      <c r="W152" s="236"/>
      <c r="X152" s="236"/>
      <c r="Y152" s="236"/>
      <c r="Z152" s="236"/>
      <c r="AA152" s="236"/>
    </row>
    <row r="153" spans="21:27" hidden="1">
      <c r="U153" s="236"/>
      <c r="V153" s="236"/>
      <c r="W153" s="236"/>
      <c r="X153" s="236"/>
      <c r="Y153" s="236"/>
      <c r="Z153" s="236"/>
      <c r="AA153" s="236"/>
    </row>
    <row r="154" spans="21:27" hidden="1">
      <c r="U154" s="236"/>
      <c r="V154" s="236"/>
      <c r="W154" s="236"/>
      <c r="X154" s="236"/>
      <c r="Y154" s="236"/>
      <c r="Z154" s="236"/>
      <c r="AA154" s="236"/>
    </row>
    <row r="155" spans="21:27" hidden="1">
      <c r="U155" s="236"/>
      <c r="V155" s="236"/>
      <c r="W155" s="236"/>
      <c r="X155" s="236"/>
      <c r="Y155" s="236"/>
      <c r="Z155" s="236"/>
      <c r="AA155" s="236"/>
    </row>
    <row r="156" spans="21:27" hidden="1">
      <c r="U156" s="236"/>
      <c r="V156" s="236"/>
      <c r="W156" s="236"/>
      <c r="X156" s="236"/>
      <c r="Y156" s="236"/>
      <c r="Z156" s="236"/>
      <c r="AA156" s="236"/>
    </row>
    <row r="157" spans="21:27" hidden="1">
      <c r="U157" s="236"/>
      <c r="V157" s="236"/>
      <c r="W157" s="236"/>
      <c r="X157" s="236"/>
      <c r="Y157" s="236"/>
      <c r="Z157" s="236"/>
      <c r="AA157" s="236"/>
    </row>
    <row r="158" spans="21:27" hidden="1">
      <c r="U158" s="236"/>
      <c r="V158" s="236"/>
      <c r="W158" s="236"/>
      <c r="X158" s="236"/>
      <c r="Y158" s="236"/>
      <c r="Z158" s="236"/>
      <c r="AA158" s="236"/>
    </row>
    <row r="159" spans="21:27" hidden="1">
      <c r="U159" s="236"/>
      <c r="V159" s="236"/>
      <c r="W159" s="236"/>
      <c r="X159" s="236"/>
      <c r="Y159" s="236"/>
      <c r="Z159" s="236"/>
      <c r="AA159" s="236"/>
    </row>
    <row r="160" spans="21:27" hidden="1">
      <c r="U160" s="236"/>
      <c r="V160" s="236"/>
      <c r="W160" s="236"/>
      <c r="X160" s="236"/>
      <c r="Y160" s="236"/>
      <c r="Z160" s="236"/>
      <c r="AA160" s="236"/>
    </row>
    <row r="161" spans="21:27" hidden="1">
      <c r="U161" s="236"/>
      <c r="V161" s="236"/>
      <c r="W161" s="236"/>
      <c r="X161" s="236"/>
      <c r="Y161" s="236"/>
      <c r="Z161" s="236"/>
      <c r="AA161" s="236"/>
    </row>
    <row r="162" spans="21:27" hidden="1">
      <c r="U162" s="236"/>
      <c r="V162" s="236"/>
      <c r="W162" s="236"/>
      <c r="X162" s="236"/>
      <c r="Y162" s="236"/>
      <c r="Z162" s="236"/>
      <c r="AA162" s="236"/>
    </row>
    <row r="163" spans="21:27" hidden="1">
      <c r="U163" s="236"/>
      <c r="V163" s="236"/>
      <c r="W163" s="236"/>
      <c r="X163" s="236"/>
      <c r="Y163" s="236"/>
      <c r="Z163" s="236"/>
      <c r="AA163" s="236"/>
    </row>
    <row r="164" spans="21:27" hidden="1">
      <c r="U164" s="236"/>
      <c r="V164" s="236"/>
      <c r="W164" s="236"/>
      <c r="X164" s="236"/>
      <c r="Y164" s="236"/>
      <c r="Z164" s="236"/>
      <c r="AA164" s="236"/>
    </row>
    <row r="165" spans="21:27" hidden="1">
      <c r="U165" s="236"/>
      <c r="V165" s="236"/>
      <c r="W165" s="236"/>
      <c r="X165" s="236"/>
      <c r="Y165" s="236"/>
      <c r="Z165" s="236"/>
      <c r="AA165" s="236"/>
    </row>
    <row r="166" spans="21:27" hidden="1">
      <c r="U166" s="236"/>
      <c r="V166" s="236"/>
      <c r="W166" s="236"/>
      <c r="X166" s="236"/>
      <c r="Y166" s="236"/>
      <c r="Z166" s="236"/>
      <c r="AA166" s="236"/>
    </row>
    <row r="167" spans="21:27" hidden="1">
      <c r="U167" s="236"/>
      <c r="V167" s="236"/>
      <c r="W167" s="236"/>
      <c r="X167" s="236"/>
      <c r="Y167" s="236"/>
      <c r="Z167" s="236"/>
      <c r="AA167" s="236"/>
    </row>
    <row r="168" spans="21:27" hidden="1">
      <c r="U168" s="236"/>
      <c r="V168" s="236"/>
      <c r="W168" s="236"/>
      <c r="X168" s="236"/>
      <c r="Y168" s="236"/>
      <c r="Z168" s="236"/>
      <c r="AA168" s="236"/>
    </row>
    <row r="169" spans="21:27" hidden="1">
      <c r="U169" s="236"/>
      <c r="V169" s="236"/>
      <c r="W169" s="236"/>
      <c r="X169" s="236"/>
      <c r="Y169" s="236"/>
      <c r="Z169" s="236"/>
      <c r="AA169" s="236"/>
    </row>
    <row r="170" spans="21:27" hidden="1">
      <c r="U170" s="236"/>
      <c r="V170" s="236"/>
      <c r="W170" s="236"/>
      <c r="X170" s="236"/>
      <c r="Y170" s="236"/>
      <c r="Z170" s="236"/>
      <c r="AA170" s="236"/>
    </row>
    <row r="171" spans="21:27" hidden="1">
      <c r="U171" s="236"/>
      <c r="V171" s="236"/>
      <c r="W171" s="236"/>
      <c r="X171" s="236"/>
      <c r="Y171" s="236"/>
      <c r="Z171" s="236"/>
      <c r="AA171" s="236"/>
    </row>
    <row r="172" spans="21:27" hidden="1">
      <c r="U172" s="236"/>
      <c r="V172" s="236"/>
      <c r="W172" s="236"/>
      <c r="X172" s="236"/>
      <c r="Y172" s="236"/>
      <c r="Z172" s="236"/>
      <c r="AA172" s="236"/>
    </row>
    <row r="173" spans="21:27" hidden="1">
      <c r="U173" s="236"/>
      <c r="V173" s="236"/>
      <c r="W173" s="236"/>
      <c r="X173" s="236"/>
      <c r="Y173" s="236"/>
      <c r="Z173" s="236"/>
      <c r="AA173" s="236"/>
    </row>
    <row r="174" spans="21:27" hidden="1">
      <c r="U174" s="236"/>
      <c r="V174" s="236"/>
      <c r="W174" s="236"/>
      <c r="X174" s="236"/>
      <c r="Y174" s="236"/>
      <c r="Z174" s="236"/>
      <c r="AA174" s="236"/>
    </row>
    <row r="175" spans="21:27" hidden="1">
      <c r="U175" s="236"/>
      <c r="V175" s="236"/>
      <c r="W175" s="236"/>
      <c r="X175" s="236"/>
      <c r="Y175" s="236"/>
      <c r="Z175" s="236"/>
      <c r="AA175" s="236"/>
    </row>
    <row r="176" spans="21:27" hidden="1">
      <c r="U176" s="236"/>
      <c r="V176" s="236"/>
      <c r="W176" s="236"/>
      <c r="X176" s="236"/>
      <c r="Y176" s="236"/>
      <c r="Z176" s="236"/>
      <c r="AA176" s="236"/>
    </row>
    <row r="177" spans="21:27" hidden="1">
      <c r="U177" s="236"/>
      <c r="V177" s="236"/>
      <c r="W177" s="236"/>
      <c r="X177" s="236"/>
      <c r="Y177" s="236"/>
      <c r="Z177" s="236"/>
      <c r="AA177" s="236"/>
    </row>
    <row r="178" spans="21:27" hidden="1">
      <c r="U178" s="236"/>
      <c r="V178" s="236"/>
      <c r="W178" s="236"/>
      <c r="X178" s="236"/>
      <c r="Y178" s="236"/>
      <c r="Z178" s="236"/>
      <c r="AA178" s="236"/>
    </row>
    <row r="179" spans="21:27" hidden="1">
      <c r="U179" s="236"/>
      <c r="V179" s="236"/>
      <c r="W179" s="236"/>
      <c r="X179" s="236"/>
      <c r="Y179" s="236"/>
      <c r="Z179" s="236"/>
      <c r="AA179" s="236"/>
    </row>
    <row r="180" spans="21:27" hidden="1">
      <c r="U180" s="236"/>
      <c r="V180" s="236"/>
      <c r="W180" s="236"/>
      <c r="X180" s="236"/>
      <c r="Y180" s="236"/>
      <c r="Z180" s="236"/>
      <c r="AA180" s="236"/>
    </row>
    <row r="181" spans="21:27" hidden="1">
      <c r="U181" s="236"/>
      <c r="V181" s="236"/>
      <c r="W181" s="236"/>
      <c r="X181" s="236"/>
      <c r="Y181" s="236"/>
      <c r="Z181" s="236"/>
      <c r="AA181" s="236"/>
    </row>
    <row r="182" spans="21:27" hidden="1">
      <c r="U182" s="236"/>
      <c r="V182" s="236"/>
      <c r="W182" s="236"/>
      <c r="X182" s="236"/>
      <c r="Y182" s="236"/>
      <c r="Z182" s="236"/>
      <c r="AA182" s="236"/>
    </row>
    <row r="183" spans="21:27" hidden="1">
      <c r="U183" s="236"/>
      <c r="V183" s="236"/>
      <c r="W183" s="236"/>
      <c r="X183" s="236"/>
      <c r="Y183" s="236"/>
      <c r="Z183" s="236"/>
      <c r="AA183" s="236"/>
    </row>
    <row r="184" spans="21:27" hidden="1">
      <c r="U184" s="236"/>
      <c r="V184" s="236"/>
      <c r="W184" s="236"/>
      <c r="X184" s="236"/>
      <c r="Y184" s="236"/>
      <c r="Z184" s="236"/>
      <c r="AA184" s="236"/>
    </row>
    <row r="185" spans="21:27" hidden="1">
      <c r="U185" s="236"/>
      <c r="V185" s="236"/>
      <c r="W185" s="236"/>
      <c r="X185" s="236"/>
      <c r="Y185" s="236"/>
      <c r="Z185" s="236"/>
      <c r="AA185" s="236"/>
    </row>
    <row r="186" spans="21:27" hidden="1">
      <c r="U186" s="236"/>
      <c r="V186" s="236"/>
      <c r="W186" s="236"/>
      <c r="X186" s="236"/>
      <c r="Y186" s="236"/>
      <c r="Z186" s="236"/>
      <c r="AA186" s="236"/>
    </row>
    <row r="187" spans="21:27" hidden="1">
      <c r="U187" s="236"/>
      <c r="V187" s="236"/>
      <c r="W187" s="236"/>
      <c r="X187" s="236"/>
      <c r="Y187" s="236"/>
      <c r="Z187" s="236"/>
      <c r="AA187" s="236"/>
    </row>
    <row r="188" spans="21:27" hidden="1">
      <c r="U188" s="236"/>
      <c r="V188" s="236"/>
      <c r="W188" s="236"/>
      <c r="X188" s="236"/>
      <c r="Y188" s="236"/>
      <c r="Z188" s="236"/>
      <c r="AA188" s="236"/>
    </row>
    <row r="189" spans="21:27" hidden="1">
      <c r="U189" s="236"/>
      <c r="V189" s="236"/>
      <c r="W189" s="236"/>
      <c r="X189" s="236"/>
      <c r="Y189" s="236"/>
      <c r="Z189" s="236"/>
      <c r="AA189" s="236"/>
    </row>
    <row r="190" spans="21:27" hidden="1">
      <c r="U190" s="236"/>
      <c r="V190" s="236"/>
      <c r="W190" s="236"/>
      <c r="X190" s="236"/>
      <c r="Y190" s="236"/>
      <c r="Z190" s="236"/>
      <c r="AA190" s="236"/>
    </row>
    <row r="191" spans="21:27" hidden="1">
      <c r="U191" s="236"/>
      <c r="V191" s="236"/>
      <c r="W191" s="236"/>
      <c r="X191" s="236"/>
      <c r="Y191" s="236"/>
      <c r="Z191" s="236"/>
      <c r="AA191" s="236"/>
    </row>
    <row r="192" spans="21:27" hidden="1">
      <c r="U192" s="236"/>
      <c r="V192" s="236"/>
      <c r="W192" s="236"/>
      <c r="X192" s="236"/>
      <c r="Y192" s="236"/>
      <c r="Z192" s="236"/>
      <c r="AA192" s="236"/>
    </row>
    <row r="193" spans="21:27" hidden="1">
      <c r="U193" s="236"/>
      <c r="V193" s="236"/>
      <c r="W193" s="236"/>
      <c r="X193" s="236"/>
      <c r="Y193" s="236"/>
      <c r="Z193" s="236"/>
      <c r="AA193" s="236"/>
    </row>
    <row r="194" spans="21:27" hidden="1">
      <c r="U194" s="236"/>
      <c r="V194" s="236"/>
      <c r="W194" s="236"/>
      <c r="X194" s="236"/>
      <c r="Y194" s="236"/>
      <c r="Z194" s="236"/>
      <c r="AA194" s="236"/>
    </row>
    <row r="195" spans="21:27" hidden="1">
      <c r="U195" s="236"/>
      <c r="V195" s="236"/>
      <c r="W195" s="236"/>
      <c r="X195" s="236"/>
      <c r="Y195" s="236"/>
      <c r="Z195" s="236"/>
      <c r="AA195" s="236"/>
    </row>
    <row r="196" spans="21:27" hidden="1">
      <c r="U196" s="236"/>
      <c r="V196" s="236"/>
      <c r="W196" s="236"/>
      <c r="X196" s="236"/>
      <c r="Y196" s="236"/>
      <c r="Z196" s="236"/>
      <c r="AA196" s="236"/>
    </row>
    <row r="197" spans="21:27" hidden="1">
      <c r="U197" s="236"/>
      <c r="V197" s="236"/>
      <c r="W197" s="236"/>
      <c r="X197" s="236"/>
      <c r="Y197" s="236"/>
      <c r="Z197" s="236"/>
      <c r="AA197" s="236"/>
    </row>
    <row r="198" spans="21:27" hidden="1">
      <c r="U198" s="236"/>
      <c r="V198" s="236"/>
      <c r="W198" s="236"/>
      <c r="X198" s="236"/>
      <c r="Y198" s="236"/>
      <c r="Z198" s="236"/>
      <c r="AA198" s="236"/>
    </row>
    <row r="199" spans="21:27" hidden="1">
      <c r="U199" s="236"/>
      <c r="V199" s="236"/>
      <c r="W199" s="236"/>
      <c r="X199" s="236"/>
      <c r="Y199" s="236"/>
      <c r="Z199" s="236"/>
      <c r="AA199" s="236"/>
    </row>
    <row r="200" spans="21:27" hidden="1">
      <c r="U200" s="236"/>
      <c r="V200" s="236"/>
      <c r="W200" s="236"/>
      <c r="X200" s="236"/>
      <c r="Y200" s="236"/>
      <c r="Z200" s="236"/>
      <c r="AA200" s="236"/>
    </row>
    <row r="201" spans="21:27" hidden="1">
      <c r="U201" s="236"/>
      <c r="V201" s="236"/>
      <c r="W201" s="236"/>
      <c r="X201" s="236"/>
      <c r="Y201" s="236"/>
      <c r="Z201" s="236"/>
      <c r="AA201" s="236"/>
    </row>
    <row r="202" spans="21:27" hidden="1">
      <c r="U202" s="236"/>
      <c r="V202" s="236"/>
      <c r="W202" s="236"/>
      <c r="X202" s="236"/>
      <c r="Y202" s="236"/>
      <c r="Z202" s="236"/>
      <c r="AA202" s="236"/>
    </row>
    <row r="203" spans="21:27" hidden="1">
      <c r="U203" s="236"/>
      <c r="V203" s="236"/>
      <c r="W203" s="236"/>
      <c r="X203" s="236"/>
      <c r="Y203" s="236"/>
      <c r="Z203" s="236"/>
      <c r="AA203" s="236"/>
    </row>
    <row r="204" spans="21:27" hidden="1">
      <c r="U204" s="236"/>
      <c r="V204" s="236"/>
      <c r="W204" s="236"/>
      <c r="X204" s="236"/>
      <c r="Y204" s="236"/>
      <c r="Z204" s="236"/>
      <c r="AA204" s="236"/>
    </row>
    <row r="205" spans="21:27" hidden="1">
      <c r="U205" s="236"/>
      <c r="V205" s="236"/>
      <c r="W205" s="236"/>
      <c r="X205" s="236"/>
      <c r="Y205" s="236"/>
      <c r="Z205" s="236"/>
      <c r="AA205" s="236"/>
    </row>
    <row r="206" spans="21:27" hidden="1">
      <c r="U206" s="236"/>
      <c r="V206" s="236"/>
      <c r="W206" s="236"/>
      <c r="X206" s="236"/>
      <c r="Y206" s="236"/>
      <c r="Z206" s="236"/>
      <c r="AA206" s="236"/>
    </row>
    <row r="207" spans="21:27" hidden="1">
      <c r="U207" s="236"/>
      <c r="V207" s="236"/>
      <c r="W207" s="236"/>
      <c r="X207" s="236"/>
      <c r="Y207" s="236"/>
      <c r="Z207" s="236"/>
      <c r="AA207" s="236"/>
    </row>
    <row r="208" spans="21:27" hidden="1">
      <c r="U208" s="236"/>
      <c r="V208" s="236"/>
      <c r="W208" s="236"/>
      <c r="X208" s="236"/>
      <c r="Y208" s="236"/>
      <c r="Z208" s="236"/>
      <c r="AA208" s="236"/>
    </row>
    <row r="209" spans="21:27" hidden="1">
      <c r="U209" s="236"/>
      <c r="V209" s="236"/>
      <c r="W209" s="236"/>
      <c r="X209" s="236"/>
      <c r="Y209" s="236"/>
      <c r="Z209" s="236"/>
      <c r="AA209" s="236"/>
    </row>
    <row r="210" spans="21:27" hidden="1">
      <c r="U210" s="236"/>
      <c r="V210" s="236"/>
      <c r="W210" s="236"/>
      <c r="X210" s="236"/>
      <c r="Y210" s="236"/>
      <c r="Z210" s="236"/>
      <c r="AA210" s="236"/>
    </row>
    <row r="211" spans="21:27" hidden="1">
      <c r="U211" s="236"/>
      <c r="V211" s="236"/>
      <c r="W211" s="236"/>
      <c r="X211" s="236"/>
      <c r="Y211" s="236"/>
      <c r="Z211" s="236"/>
      <c r="AA211" s="236"/>
    </row>
    <row r="212" spans="21:27" hidden="1">
      <c r="U212" s="236"/>
      <c r="V212" s="236"/>
      <c r="W212" s="236"/>
      <c r="X212" s="236"/>
      <c r="Y212" s="236"/>
      <c r="Z212" s="236"/>
      <c r="AA212" s="236"/>
    </row>
    <row r="213" spans="21:27" hidden="1">
      <c r="U213" s="236"/>
      <c r="V213" s="236"/>
      <c r="W213" s="236"/>
      <c r="X213" s="236"/>
      <c r="Y213" s="236"/>
      <c r="Z213" s="236"/>
      <c r="AA213" s="236"/>
    </row>
    <row r="214" spans="21:27" hidden="1">
      <c r="U214" s="236"/>
      <c r="V214" s="236"/>
      <c r="W214" s="236"/>
      <c r="X214" s="236"/>
      <c r="Y214" s="236"/>
      <c r="Z214" s="236"/>
      <c r="AA214" s="236"/>
    </row>
    <row r="215" spans="21:27" hidden="1">
      <c r="U215" s="236"/>
      <c r="V215" s="236"/>
      <c r="W215" s="236"/>
      <c r="X215" s="236"/>
      <c r="Y215" s="236"/>
      <c r="Z215" s="236"/>
      <c r="AA215" s="236"/>
    </row>
    <row r="216" spans="21:27" hidden="1">
      <c r="U216" s="236"/>
      <c r="V216" s="236"/>
      <c r="W216" s="236"/>
      <c r="X216" s="236"/>
      <c r="Y216" s="236"/>
      <c r="Z216" s="236"/>
      <c r="AA216" s="236"/>
    </row>
    <row r="217" spans="21:27" hidden="1">
      <c r="U217" s="236"/>
      <c r="V217" s="236"/>
      <c r="W217" s="236"/>
      <c r="X217" s="236"/>
      <c r="Y217" s="236"/>
      <c r="Z217" s="236"/>
      <c r="AA217" s="236"/>
    </row>
    <row r="218" spans="21:27" hidden="1">
      <c r="U218" s="236"/>
      <c r="V218" s="236"/>
      <c r="W218" s="236"/>
      <c r="X218" s="236"/>
      <c r="Y218" s="236"/>
      <c r="Z218" s="236"/>
      <c r="AA218" s="236"/>
    </row>
    <row r="219" spans="21:27" hidden="1">
      <c r="U219" s="236"/>
      <c r="V219" s="236"/>
      <c r="W219" s="236"/>
      <c r="X219" s="236"/>
      <c r="Y219" s="236"/>
      <c r="Z219" s="236"/>
      <c r="AA219" s="236"/>
    </row>
    <row r="220" spans="21:27" hidden="1">
      <c r="U220" s="236"/>
      <c r="V220" s="236"/>
      <c r="W220" s="236"/>
      <c r="X220" s="236"/>
      <c r="Y220" s="236"/>
      <c r="Z220" s="236"/>
      <c r="AA220" s="236"/>
    </row>
    <row r="221" spans="21:27" hidden="1">
      <c r="U221" s="236"/>
      <c r="V221" s="236"/>
      <c r="W221" s="236"/>
      <c r="X221" s="236"/>
      <c r="Y221" s="236"/>
      <c r="Z221" s="236"/>
      <c r="AA221" s="236"/>
    </row>
    <row r="222" spans="21:27" hidden="1">
      <c r="U222" s="236"/>
      <c r="V222" s="236"/>
      <c r="W222" s="236"/>
      <c r="X222" s="236"/>
      <c r="Y222" s="236"/>
      <c r="Z222" s="236"/>
      <c r="AA222" s="236"/>
    </row>
    <row r="223" spans="21:27" hidden="1">
      <c r="U223" s="236"/>
      <c r="V223" s="236"/>
      <c r="W223" s="236"/>
      <c r="X223" s="236"/>
      <c r="Y223" s="236"/>
      <c r="Z223" s="236"/>
      <c r="AA223" s="236"/>
    </row>
    <row r="224" spans="21:27" hidden="1">
      <c r="U224" s="236"/>
      <c r="V224" s="236"/>
      <c r="W224" s="236"/>
      <c r="X224" s="236"/>
      <c r="Y224" s="236"/>
      <c r="Z224" s="236"/>
      <c r="AA224" s="236"/>
    </row>
    <row r="225" spans="21:27" hidden="1">
      <c r="U225" s="236"/>
      <c r="V225" s="236"/>
      <c r="W225" s="236"/>
      <c r="X225" s="236"/>
      <c r="Y225" s="236"/>
      <c r="Z225" s="236"/>
      <c r="AA225" s="236"/>
    </row>
    <row r="226" spans="21:27" hidden="1">
      <c r="U226" s="236"/>
      <c r="V226" s="236"/>
      <c r="W226" s="236"/>
      <c r="X226" s="236"/>
      <c r="Y226" s="236"/>
      <c r="Z226" s="236"/>
      <c r="AA226" s="236"/>
    </row>
    <row r="227" spans="21:27" hidden="1">
      <c r="U227" s="236"/>
      <c r="V227" s="236"/>
      <c r="W227" s="236"/>
      <c r="X227" s="236"/>
      <c r="Y227" s="236"/>
      <c r="Z227" s="236"/>
      <c r="AA227" s="236"/>
    </row>
    <row r="228" spans="21:27" hidden="1">
      <c r="U228" s="236"/>
      <c r="V228" s="236"/>
      <c r="W228" s="236"/>
      <c r="X228" s="236"/>
      <c r="Y228" s="236"/>
      <c r="Z228" s="236"/>
      <c r="AA228" s="236"/>
    </row>
    <row r="229" spans="21:27" hidden="1">
      <c r="U229" s="236"/>
      <c r="V229" s="236"/>
      <c r="W229" s="236"/>
      <c r="X229" s="236"/>
      <c r="Y229" s="236"/>
      <c r="Z229" s="236"/>
      <c r="AA229" s="236"/>
    </row>
    <row r="230" spans="21:27" hidden="1">
      <c r="U230" s="236"/>
      <c r="V230" s="236"/>
      <c r="W230" s="236"/>
      <c r="X230" s="236"/>
      <c r="Y230" s="236"/>
      <c r="Z230" s="236"/>
      <c r="AA230" s="236"/>
    </row>
    <row r="231" spans="21:27" hidden="1">
      <c r="U231" s="236"/>
      <c r="V231" s="236"/>
      <c r="W231" s="236"/>
      <c r="X231" s="236"/>
      <c r="Y231" s="236"/>
      <c r="Z231" s="236"/>
      <c r="AA231" s="236"/>
    </row>
    <row r="232" spans="21:27" hidden="1">
      <c r="U232" s="236"/>
      <c r="V232" s="236"/>
      <c r="W232" s="236"/>
      <c r="X232" s="236"/>
      <c r="Y232" s="236"/>
      <c r="Z232" s="236"/>
      <c r="AA232" s="236"/>
    </row>
    <row r="233" spans="21:27" hidden="1">
      <c r="U233" s="236"/>
      <c r="V233" s="236"/>
      <c r="W233" s="236"/>
      <c r="X233" s="236"/>
      <c r="Y233" s="236"/>
      <c r="Z233" s="236"/>
      <c r="AA233" s="236"/>
    </row>
    <row r="234" spans="21:27" hidden="1">
      <c r="U234" s="236"/>
      <c r="V234" s="236"/>
      <c r="W234" s="236"/>
      <c r="X234" s="236"/>
      <c r="Y234" s="236"/>
      <c r="Z234" s="236"/>
      <c r="AA234" s="236"/>
    </row>
    <row r="235" spans="21:27" hidden="1">
      <c r="U235" s="236"/>
      <c r="V235" s="236"/>
      <c r="W235" s="236"/>
      <c r="X235" s="236"/>
      <c r="Y235" s="236"/>
      <c r="Z235" s="236"/>
      <c r="AA235" s="236"/>
    </row>
    <row r="236" spans="21:27" hidden="1">
      <c r="U236" s="236"/>
      <c r="V236" s="236"/>
      <c r="W236" s="236"/>
      <c r="X236" s="236"/>
      <c r="Y236" s="236"/>
      <c r="Z236" s="236"/>
      <c r="AA236" s="236"/>
    </row>
    <row r="237" spans="21:27" hidden="1">
      <c r="U237" s="236"/>
      <c r="V237" s="236"/>
      <c r="W237" s="236"/>
      <c r="X237" s="236"/>
      <c r="Y237" s="236"/>
      <c r="Z237" s="236"/>
      <c r="AA237" s="236"/>
    </row>
    <row r="238" spans="21:27" hidden="1">
      <c r="U238" s="236"/>
      <c r="V238" s="236"/>
      <c r="W238" s="236"/>
      <c r="X238" s="236"/>
      <c r="Y238" s="236"/>
      <c r="Z238" s="236"/>
      <c r="AA238" s="236"/>
    </row>
    <row r="239" spans="21:27" hidden="1">
      <c r="U239" s="236"/>
      <c r="V239" s="236"/>
      <c r="W239" s="236"/>
      <c r="X239" s="236"/>
      <c r="Y239" s="236"/>
      <c r="Z239" s="236"/>
      <c r="AA239" s="236"/>
    </row>
    <row r="240" spans="21:27" hidden="1">
      <c r="U240" s="236"/>
      <c r="V240" s="236"/>
      <c r="W240" s="236"/>
      <c r="X240" s="236"/>
      <c r="Y240" s="236"/>
      <c r="Z240" s="236"/>
      <c r="AA240" s="236"/>
    </row>
    <row r="241" spans="21:27" hidden="1">
      <c r="U241" s="236"/>
      <c r="V241" s="236"/>
      <c r="W241" s="236"/>
      <c r="X241" s="236"/>
      <c r="Y241" s="236"/>
      <c r="Z241" s="236"/>
      <c r="AA241" s="236"/>
    </row>
    <row r="242" spans="21:27" hidden="1">
      <c r="U242" s="236"/>
      <c r="V242" s="236"/>
      <c r="W242" s="236"/>
      <c r="X242" s="236"/>
      <c r="Y242" s="236"/>
      <c r="Z242" s="236"/>
      <c r="AA242" s="236"/>
    </row>
    <row r="243" spans="21:27" hidden="1">
      <c r="U243" s="236"/>
      <c r="V243" s="236"/>
      <c r="W243" s="236"/>
      <c r="X243" s="236"/>
      <c r="Y243" s="236"/>
      <c r="Z243" s="236"/>
      <c r="AA243" s="236"/>
    </row>
    <row r="244" spans="21:27" hidden="1">
      <c r="U244" s="236"/>
      <c r="V244" s="236"/>
      <c r="W244" s="236"/>
      <c r="X244" s="236"/>
      <c r="Y244" s="236"/>
      <c r="Z244" s="236"/>
      <c r="AA244" s="236"/>
    </row>
    <row r="245" spans="21:27" hidden="1">
      <c r="U245" s="236"/>
      <c r="V245" s="236"/>
      <c r="W245" s="236"/>
      <c r="X245" s="236"/>
      <c r="Y245" s="236"/>
      <c r="Z245" s="236"/>
      <c r="AA245" s="236"/>
    </row>
    <row r="246" spans="21:27" hidden="1">
      <c r="U246" s="236"/>
      <c r="V246" s="236"/>
      <c r="W246" s="236"/>
      <c r="X246" s="236"/>
      <c r="Y246" s="236"/>
      <c r="Z246" s="236"/>
      <c r="AA246" s="236"/>
    </row>
    <row r="247" spans="21:27" hidden="1">
      <c r="U247" s="236"/>
      <c r="V247" s="236"/>
      <c r="W247" s="236"/>
      <c r="X247" s="236"/>
      <c r="Y247" s="236"/>
      <c r="Z247" s="236"/>
      <c r="AA247" s="236"/>
    </row>
    <row r="248" spans="21:27" hidden="1">
      <c r="U248" s="236"/>
      <c r="V248" s="236"/>
      <c r="W248" s="236"/>
      <c r="X248" s="236"/>
      <c r="Y248" s="236"/>
      <c r="Z248" s="236"/>
      <c r="AA248" s="236"/>
    </row>
    <row r="249" spans="21:27" hidden="1">
      <c r="U249" s="236"/>
      <c r="V249" s="236"/>
      <c r="W249" s="236"/>
      <c r="X249" s="236"/>
      <c r="Y249" s="236"/>
      <c r="Z249" s="236"/>
      <c r="AA249" s="236"/>
    </row>
    <row r="250" spans="21:27" hidden="1">
      <c r="U250" s="236"/>
      <c r="V250" s="236"/>
      <c r="W250" s="236"/>
      <c r="X250" s="236"/>
      <c r="Y250" s="236"/>
      <c r="Z250" s="236"/>
      <c r="AA250" s="236"/>
    </row>
    <row r="251" spans="21:27" hidden="1">
      <c r="U251" s="236"/>
      <c r="V251" s="236"/>
      <c r="W251" s="236"/>
      <c r="X251" s="236"/>
      <c r="Y251" s="236"/>
      <c r="Z251" s="236"/>
      <c r="AA251" s="236"/>
    </row>
    <row r="252" spans="21:27" hidden="1">
      <c r="U252" s="236"/>
      <c r="V252" s="236"/>
      <c r="W252" s="236"/>
      <c r="X252" s="236"/>
      <c r="Y252" s="236"/>
      <c r="Z252" s="236"/>
      <c r="AA252" s="236"/>
    </row>
    <row r="253" spans="21:27" hidden="1">
      <c r="U253" s="236"/>
      <c r="V253" s="236"/>
      <c r="W253" s="236"/>
      <c r="X253" s="236"/>
      <c r="Y253" s="236"/>
      <c r="Z253" s="236"/>
      <c r="AA253" s="236"/>
    </row>
    <row r="254" spans="21:27" hidden="1">
      <c r="U254" s="236"/>
      <c r="V254" s="236"/>
      <c r="W254" s="236"/>
      <c r="X254" s="236"/>
      <c r="Y254" s="236"/>
      <c r="Z254" s="236"/>
      <c r="AA254" s="236"/>
    </row>
    <row r="255" spans="21:27" hidden="1">
      <c r="U255" s="236"/>
      <c r="V255" s="236"/>
      <c r="W255" s="236"/>
      <c r="X255" s="236"/>
      <c r="Y255" s="236"/>
      <c r="Z255" s="236"/>
      <c r="AA255" s="236"/>
    </row>
    <row r="256" spans="21:27" hidden="1">
      <c r="U256" s="236"/>
      <c r="V256" s="236"/>
      <c r="W256" s="236"/>
      <c r="X256" s="236"/>
      <c r="Y256" s="236"/>
      <c r="Z256" s="236"/>
      <c r="AA256" s="236"/>
    </row>
    <row r="257" spans="21:27" hidden="1">
      <c r="U257" s="236"/>
      <c r="V257" s="236"/>
      <c r="W257" s="236"/>
      <c r="X257" s="236"/>
      <c r="Y257" s="236"/>
      <c r="Z257" s="236"/>
      <c r="AA257" s="236"/>
    </row>
    <row r="258" spans="21:27" hidden="1">
      <c r="U258" s="236"/>
      <c r="V258" s="236"/>
      <c r="W258" s="236"/>
      <c r="X258" s="236"/>
      <c r="Y258" s="236"/>
      <c r="Z258" s="236"/>
      <c r="AA258" s="236"/>
    </row>
    <row r="259" spans="21:27" hidden="1">
      <c r="U259" s="236"/>
      <c r="V259" s="236"/>
      <c r="W259" s="236"/>
      <c r="X259" s="236"/>
      <c r="Y259" s="236"/>
      <c r="Z259" s="236"/>
      <c r="AA259" s="236"/>
    </row>
    <row r="260" spans="21:27" hidden="1">
      <c r="U260" s="236"/>
      <c r="V260" s="236"/>
      <c r="W260" s="236"/>
      <c r="X260" s="236"/>
      <c r="Y260" s="236"/>
      <c r="Z260" s="236"/>
      <c r="AA260" s="236"/>
    </row>
    <row r="261" spans="21:27" hidden="1">
      <c r="U261" s="236"/>
      <c r="V261" s="236"/>
      <c r="W261" s="236"/>
      <c r="X261" s="236"/>
      <c r="Y261" s="236"/>
      <c r="Z261" s="236"/>
      <c r="AA261" s="236"/>
    </row>
    <row r="262" spans="21:27" hidden="1">
      <c r="U262" s="236"/>
      <c r="V262" s="236"/>
      <c r="W262" s="236"/>
      <c r="X262" s="236"/>
      <c r="Y262" s="236"/>
      <c r="Z262" s="236"/>
      <c r="AA262" s="236"/>
    </row>
    <row r="263" spans="21:27" hidden="1">
      <c r="U263" s="236"/>
      <c r="V263" s="236"/>
      <c r="W263" s="236"/>
      <c r="X263" s="236"/>
      <c r="Y263" s="236"/>
      <c r="Z263" s="236"/>
      <c r="AA263" s="236"/>
    </row>
    <row r="264" spans="21:27" hidden="1">
      <c r="U264" s="236"/>
      <c r="V264" s="236"/>
      <c r="W264" s="236"/>
      <c r="X264" s="236"/>
      <c r="Y264" s="236"/>
      <c r="Z264" s="236"/>
      <c r="AA264" s="236"/>
    </row>
    <row r="265" spans="21:27" hidden="1">
      <c r="U265" s="236"/>
      <c r="V265" s="236"/>
      <c r="W265" s="236"/>
      <c r="X265" s="236"/>
      <c r="Y265" s="236"/>
      <c r="Z265" s="236"/>
      <c r="AA265" s="236"/>
    </row>
    <row r="266" spans="21:27" hidden="1">
      <c r="U266" s="236"/>
      <c r="V266" s="236"/>
      <c r="W266" s="236"/>
      <c r="X266" s="236"/>
      <c r="Y266" s="236"/>
      <c r="Z266" s="236"/>
      <c r="AA266" s="236"/>
    </row>
    <row r="267" spans="21:27" hidden="1">
      <c r="U267" s="236"/>
      <c r="V267" s="236"/>
      <c r="W267" s="236"/>
      <c r="X267" s="236"/>
      <c r="Y267" s="236"/>
      <c r="Z267" s="236"/>
      <c r="AA267" s="236"/>
    </row>
    <row r="268" spans="21:27" hidden="1">
      <c r="U268" s="236"/>
      <c r="V268" s="236"/>
      <c r="W268" s="236"/>
      <c r="X268" s="236"/>
      <c r="Y268" s="236"/>
      <c r="Z268" s="236"/>
      <c r="AA268" s="236"/>
    </row>
    <row r="269" spans="21:27" hidden="1">
      <c r="U269" s="236"/>
      <c r="V269" s="236"/>
      <c r="W269" s="236"/>
      <c r="X269" s="236"/>
      <c r="Y269" s="236"/>
      <c r="Z269" s="236"/>
      <c r="AA269" s="236"/>
    </row>
    <row r="270" spans="21:27" hidden="1">
      <c r="U270" s="236"/>
      <c r="V270" s="236"/>
      <c r="W270" s="236"/>
      <c r="X270" s="236"/>
      <c r="Y270" s="236"/>
      <c r="Z270" s="236"/>
      <c r="AA270" s="236"/>
    </row>
    <row r="271" spans="21:27" hidden="1">
      <c r="U271" s="236"/>
      <c r="V271" s="236"/>
      <c r="W271" s="236"/>
      <c r="X271" s="236"/>
      <c r="Y271" s="236"/>
      <c r="Z271" s="236"/>
      <c r="AA271" s="236"/>
    </row>
    <row r="272" spans="21:27" hidden="1">
      <c r="U272" s="236"/>
      <c r="V272" s="236"/>
      <c r="W272" s="236"/>
      <c r="X272" s="236"/>
      <c r="Y272" s="236"/>
      <c r="Z272" s="236"/>
      <c r="AA272" s="236"/>
    </row>
    <row r="273" spans="21:27" hidden="1">
      <c r="U273" s="236"/>
      <c r="V273" s="236"/>
      <c r="W273" s="236"/>
      <c r="X273" s="236"/>
      <c r="Y273" s="236"/>
      <c r="Z273" s="236"/>
      <c r="AA273" s="236"/>
    </row>
    <row r="274" spans="21:27" hidden="1">
      <c r="U274" s="236"/>
      <c r="V274" s="236"/>
      <c r="W274" s="236"/>
      <c r="X274" s="236"/>
      <c r="Y274" s="236"/>
      <c r="Z274" s="236"/>
      <c r="AA274" s="236"/>
    </row>
    <row r="275" spans="21:27" hidden="1">
      <c r="U275" s="236"/>
      <c r="V275" s="236"/>
      <c r="W275" s="236"/>
      <c r="X275" s="236"/>
      <c r="Y275" s="236"/>
      <c r="Z275" s="236"/>
      <c r="AA275" s="236"/>
    </row>
    <row r="276" spans="21:27" hidden="1">
      <c r="U276" s="236"/>
      <c r="V276" s="236"/>
      <c r="W276" s="236"/>
      <c r="X276" s="236"/>
      <c r="Y276" s="236"/>
      <c r="Z276" s="236"/>
      <c r="AA276" s="236"/>
    </row>
    <row r="277" spans="21:27" hidden="1">
      <c r="U277" s="236"/>
      <c r="V277" s="236"/>
      <c r="W277" s="236"/>
      <c r="X277" s="236"/>
      <c r="Y277" s="236"/>
      <c r="Z277" s="236"/>
      <c r="AA277" s="236"/>
    </row>
    <row r="278" spans="21:27" hidden="1">
      <c r="U278" s="236"/>
      <c r="V278" s="236"/>
      <c r="W278" s="236"/>
      <c r="X278" s="236"/>
      <c r="Y278" s="236"/>
      <c r="Z278" s="236"/>
      <c r="AA278" s="236"/>
    </row>
    <row r="279" spans="21:27" hidden="1">
      <c r="U279" s="236"/>
      <c r="V279" s="236"/>
      <c r="W279" s="236"/>
      <c r="X279" s="236"/>
      <c r="Y279" s="236"/>
      <c r="Z279" s="236"/>
      <c r="AA279" s="236"/>
    </row>
    <row r="280" spans="21:27" hidden="1">
      <c r="U280" s="236"/>
      <c r="V280" s="236"/>
      <c r="W280" s="236"/>
      <c r="X280" s="236"/>
      <c r="Y280" s="236"/>
      <c r="Z280" s="236"/>
      <c r="AA280" s="236"/>
    </row>
    <row r="281" spans="21:27" hidden="1">
      <c r="U281" s="236"/>
      <c r="V281" s="236"/>
      <c r="W281" s="236"/>
      <c r="X281" s="236"/>
      <c r="Y281" s="236"/>
      <c r="Z281" s="236"/>
      <c r="AA281" s="236"/>
    </row>
    <row r="282" spans="21:27" hidden="1">
      <c r="U282" s="236"/>
      <c r="V282" s="236"/>
      <c r="W282" s="236"/>
      <c r="X282" s="236"/>
      <c r="Y282" s="236"/>
      <c r="Z282" s="236"/>
      <c r="AA282" s="236"/>
    </row>
    <row r="283" spans="21:27" hidden="1">
      <c r="U283" s="236"/>
      <c r="V283" s="236"/>
      <c r="W283" s="236"/>
      <c r="X283" s="236"/>
      <c r="Y283" s="236"/>
      <c r="Z283" s="236"/>
      <c r="AA283" s="236"/>
    </row>
    <row r="284" spans="21:27" hidden="1">
      <c r="U284" s="236"/>
      <c r="V284" s="236"/>
      <c r="W284" s="236"/>
      <c r="X284" s="236"/>
      <c r="Y284" s="236"/>
      <c r="Z284" s="236"/>
      <c r="AA284" s="236"/>
    </row>
    <row r="285" spans="21:27" hidden="1">
      <c r="U285" s="236"/>
      <c r="V285" s="236"/>
      <c r="W285" s="236"/>
      <c r="X285" s="236"/>
      <c r="Y285" s="236"/>
      <c r="Z285" s="236"/>
      <c r="AA285" s="236"/>
    </row>
    <row r="286" spans="21:27" hidden="1">
      <c r="U286" s="236"/>
      <c r="V286" s="236"/>
      <c r="W286" s="236"/>
      <c r="X286" s="236"/>
      <c r="Y286" s="236"/>
      <c r="Z286" s="236"/>
      <c r="AA286" s="236"/>
    </row>
    <row r="287" spans="21:27" hidden="1">
      <c r="U287" s="236"/>
      <c r="V287" s="236"/>
      <c r="W287" s="236"/>
      <c r="X287" s="236"/>
      <c r="Y287" s="236"/>
      <c r="Z287" s="236"/>
      <c r="AA287" s="236"/>
    </row>
    <row r="288" spans="21:27" hidden="1">
      <c r="U288" s="236"/>
      <c r="V288" s="236"/>
      <c r="W288" s="236"/>
      <c r="X288" s="236"/>
      <c r="Y288" s="236"/>
      <c r="Z288" s="236"/>
      <c r="AA288" s="236"/>
    </row>
    <row r="289" spans="21:27" hidden="1">
      <c r="U289" s="236"/>
      <c r="V289" s="236"/>
      <c r="W289" s="236"/>
      <c r="X289" s="236"/>
      <c r="Y289" s="236"/>
      <c r="Z289" s="236"/>
      <c r="AA289" s="236"/>
    </row>
    <row r="290" spans="21:27" hidden="1">
      <c r="U290" s="236"/>
      <c r="V290" s="236"/>
      <c r="W290" s="236"/>
      <c r="X290" s="236"/>
      <c r="Y290" s="236"/>
      <c r="Z290" s="236"/>
      <c r="AA290" s="236"/>
    </row>
    <row r="291" spans="21:27" hidden="1">
      <c r="U291" s="236"/>
      <c r="V291" s="236"/>
      <c r="W291" s="236"/>
      <c r="X291" s="236"/>
      <c r="Y291" s="236"/>
      <c r="Z291" s="236"/>
      <c r="AA291" s="236"/>
    </row>
    <row r="292" spans="21:27" hidden="1">
      <c r="U292" s="236"/>
      <c r="V292" s="236"/>
      <c r="W292" s="236"/>
      <c r="X292" s="236"/>
      <c r="Y292" s="236"/>
      <c r="Z292" s="236"/>
      <c r="AA292" s="236"/>
    </row>
    <row r="293" spans="21:27" hidden="1">
      <c r="U293" s="236"/>
      <c r="V293" s="236"/>
      <c r="W293" s="236"/>
      <c r="X293" s="236"/>
      <c r="Y293" s="236"/>
      <c r="Z293" s="236"/>
      <c r="AA293" s="236"/>
    </row>
    <row r="294" spans="21:27" hidden="1">
      <c r="U294" s="236"/>
      <c r="V294" s="236"/>
      <c r="W294" s="236"/>
      <c r="X294" s="236"/>
      <c r="Y294" s="236"/>
      <c r="Z294" s="236"/>
      <c r="AA294" s="236"/>
    </row>
    <row r="295" spans="21:27" hidden="1">
      <c r="U295" s="236"/>
      <c r="V295" s="236"/>
      <c r="W295" s="236"/>
      <c r="X295" s="236"/>
      <c r="Y295" s="236"/>
      <c r="Z295" s="236"/>
      <c r="AA295" s="236"/>
    </row>
    <row r="296" spans="21:27" hidden="1">
      <c r="U296" s="236"/>
      <c r="V296" s="236"/>
      <c r="W296" s="236"/>
      <c r="X296" s="236"/>
      <c r="Y296" s="236"/>
      <c r="Z296" s="236"/>
      <c r="AA296" s="236"/>
    </row>
    <row r="297" spans="21:27" hidden="1">
      <c r="U297" s="236"/>
      <c r="V297" s="236"/>
      <c r="W297" s="236"/>
      <c r="X297" s="236"/>
      <c r="Y297" s="236"/>
      <c r="Z297" s="236"/>
      <c r="AA297" s="236"/>
    </row>
    <row r="298" spans="21:27" hidden="1">
      <c r="U298" s="236"/>
      <c r="V298" s="236"/>
      <c r="W298" s="236"/>
      <c r="X298" s="236"/>
      <c r="Y298" s="236"/>
      <c r="Z298" s="236"/>
      <c r="AA298" s="236"/>
    </row>
    <row r="299" spans="21:27" hidden="1">
      <c r="U299" s="236"/>
      <c r="V299" s="236"/>
      <c r="W299" s="236"/>
      <c r="X299" s="236"/>
      <c r="Y299" s="236"/>
      <c r="Z299" s="236"/>
      <c r="AA299" s="236"/>
    </row>
    <row r="300" spans="21:27" hidden="1">
      <c r="U300" s="236"/>
      <c r="V300" s="236"/>
      <c r="W300" s="236"/>
      <c r="X300" s="236"/>
      <c r="Y300" s="236"/>
      <c r="Z300" s="236"/>
      <c r="AA300" s="236"/>
    </row>
    <row r="301" spans="21:27" hidden="1">
      <c r="U301" s="236"/>
      <c r="V301" s="236"/>
      <c r="W301" s="236"/>
      <c r="X301" s="236"/>
      <c r="Y301" s="236"/>
      <c r="Z301" s="236"/>
      <c r="AA301" s="236"/>
    </row>
    <row r="302" spans="21:27" hidden="1">
      <c r="U302" s="236"/>
      <c r="V302" s="236"/>
      <c r="W302" s="236"/>
      <c r="X302" s="236"/>
      <c r="Y302" s="236"/>
      <c r="Z302" s="236"/>
      <c r="AA302" s="236"/>
    </row>
    <row r="303" spans="21:27" hidden="1">
      <c r="U303" s="236"/>
      <c r="V303" s="236"/>
      <c r="W303" s="236"/>
      <c r="X303" s="236"/>
      <c r="Y303" s="236"/>
      <c r="Z303" s="236"/>
      <c r="AA303" s="236"/>
    </row>
    <row r="304" spans="21:27" hidden="1">
      <c r="U304" s="236"/>
      <c r="V304" s="236"/>
      <c r="W304" s="236"/>
      <c r="X304" s="236"/>
      <c r="Y304" s="236"/>
      <c r="Z304" s="236"/>
      <c r="AA304" s="236"/>
    </row>
    <row r="305" spans="21:27" hidden="1">
      <c r="U305" s="236"/>
      <c r="V305" s="236"/>
      <c r="W305" s="236"/>
      <c r="X305" s="236"/>
      <c r="Y305" s="236"/>
      <c r="Z305" s="236"/>
      <c r="AA305" s="236"/>
    </row>
    <row r="306" spans="21:27" hidden="1">
      <c r="U306" s="236"/>
      <c r="V306" s="236"/>
      <c r="W306" s="236"/>
      <c r="X306" s="236"/>
      <c r="Y306" s="236"/>
      <c r="Z306" s="236"/>
      <c r="AA306" s="236"/>
    </row>
    <row r="307" spans="21:27" hidden="1">
      <c r="U307" s="236"/>
      <c r="V307" s="236"/>
      <c r="W307" s="236"/>
      <c r="X307" s="236"/>
      <c r="Y307" s="236"/>
      <c r="Z307" s="236"/>
      <c r="AA307" s="236"/>
    </row>
    <row r="308" spans="21:27" hidden="1">
      <c r="U308" s="236"/>
      <c r="V308" s="236"/>
      <c r="W308" s="236"/>
      <c r="X308" s="236"/>
      <c r="Y308" s="236"/>
      <c r="Z308" s="236"/>
      <c r="AA308" s="236"/>
    </row>
    <row r="309" spans="21:27" hidden="1">
      <c r="U309" s="236"/>
      <c r="V309" s="236"/>
      <c r="W309" s="236"/>
      <c r="X309" s="236"/>
      <c r="Y309" s="236"/>
      <c r="Z309" s="236"/>
      <c r="AA309" s="236"/>
    </row>
    <row r="310" spans="21:27" hidden="1">
      <c r="U310" s="236"/>
      <c r="V310" s="236"/>
      <c r="W310" s="236"/>
      <c r="X310" s="236"/>
      <c r="Y310" s="236"/>
      <c r="Z310" s="236"/>
      <c r="AA310" s="236"/>
    </row>
    <row r="311" spans="21:27" hidden="1">
      <c r="U311" s="236"/>
      <c r="V311" s="236"/>
      <c r="W311" s="236"/>
      <c r="X311" s="236"/>
      <c r="Y311" s="236"/>
      <c r="Z311" s="236"/>
      <c r="AA311" s="236"/>
    </row>
    <row r="312" spans="21:27" hidden="1">
      <c r="U312" s="236"/>
      <c r="V312" s="236"/>
      <c r="W312" s="236"/>
      <c r="X312" s="236"/>
      <c r="Y312" s="236"/>
      <c r="Z312" s="236"/>
      <c r="AA312" s="236"/>
    </row>
    <row r="313" spans="21:27" hidden="1">
      <c r="U313" s="236"/>
      <c r="V313" s="236"/>
      <c r="W313" s="236"/>
      <c r="X313" s="236"/>
      <c r="Y313" s="236"/>
      <c r="Z313" s="236"/>
      <c r="AA313" s="236"/>
    </row>
    <row r="314" spans="21:27" hidden="1">
      <c r="U314" s="236"/>
      <c r="V314" s="236"/>
      <c r="W314" s="236"/>
      <c r="X314" s="236"/>
      <c r="Y314" s="236"/>
      <c r="Z314" s="236"/>
      <c r="AA314" s="236"/>
    </row>
    <row r="315" spans="21:27" hidden="1">
      <c r="U315" s="236"/>
      <c r="V315" s="236"/>
      <c r="W315" s="236"/>
      <c r="X315" s="236"/>
      <c r="Y315" s="236"/>
      <c r="Z315" s="236"/>
      <c r="AA315" s="236"/>
    </row>
    <row r="316" spans="21:27" hidden="1">
      <c r="U316" s="236"/>
      <c r="V316" s="236"/>
      <c r="W316" s="236"/>
      <c r="X316" s="236"/>
      <c r="Y316" s="236"/>
      <c r="Z316" s="236"/>
      <c r="AA316" s="236"/>
    </row>
    <row r="317" spans="21:27" hidden="1">
      <c r="U317" s="236"/>
      <c r="V317" s="236"/>
      <c r="W317" s="236"/>
      <c r="X317" s="236"/>
      <c r="Y317" s="236"/>
      <c r="Z317" s="236"/>
      <c r="AA317" s="236"/>
    </row>
    <row r="318" spans="21:27" hidden="1">
      <c r="U318" s="236"/>
      <c r="V318" s="236"/>
      <c r="W318" s="236"/>
      <c r="X318" s="236"/>
      <c r="Y318" s="236"/>
      <c r="Z318" s="236"/>
      <c r="AA318" s="236"/>
    </row>
    <row r="319" spans="21:27" hidden="1">
      <c r="U319" s="236"/>
      <c r="V319" s="236"/>
      <c r="W319" s="236"/>
      <c r="X319" s="236"/>
      <c r="Y319" s="236"/>
      <c r="Z319" s="236"/>
      <c r="AA319" s="236"/>
    </row>
    <row r="320" spans="21:27" hidden="1">
      <c r="U320" s="236"/>
      <c r="V320" s="236"/>
      <c r="W320" s="236"/>
      <c r="X320" s="236"/>
      <c r="Y320" s="236"/>
      <c r="Z320" s="236"/>
      <c r="AA320" s="236"/>
    </row>
    <row r="321" spans="21:27" hidden="1">
      <c r="U321" s="236"/>
      <c r="V321" s="236"/>
      <c r="W321" s="236"/>
      <c r="X321" s="236"/>
      <c r="Y321" s="236"/>
      <c r="Z321" s="236"/>
      <c r="AA321" s="236"/>
    </row>
    <row r="322" spans="21:27" hidden="1">
      <c r="U322" s="236"/>
      <c r="V322" s="236"/>
      <c r="W322" s="236"/>
      <c r="X322" s="236"/>
      <c r="Y322" s="236"/>
      <c r="Z322" s="236"/>
      <c r="AA322" s="236"/>
    </row>
    <row r="323" spans="21:27" hidden="1">
      <c r="U323" s="236"/>
      <c r="V323" s="236"/>
      <c r="W323" s="236"/>
      <c r="X323" s="236"/>
      <c r="Y323" s="236"/>
      <c r="Z323" s="236"/>
      <c r="AA323" s="236"/>
    </row>
    <row r="324" spans="21:27" hidden="1">
      <c r="U324" s="236"/>
      <c r="V324" s="236"/>
      <c r="W324" s="236"/>
      <c r="X324" s="236"/>
      <c r="Y324" s="236"/>
      <c r="Z324" s="236"/>
      <c r="AA324" s="236"/>
    </row>
    <row r="325" spans="21:27" hidden="1">
      <c r="U325" s="236"/>
      <c r="V325" s="236"/>
      <c r="W325" s="236"/>
      <c r="X325" s="236"/>
      <c r="Y325" s="236"/>
      <c r="Z325" s="236"/>
      <c r="AA325" s="236"/>
    </row>
    <row r="326" spans="21:27" hidden="1">
      <c r="U326" s="236"/>
      <c r="V326" s="236"/>
      <c r="W326" s="236"/>
      <c r="X326" s="236"/>
      <c r="Y326" s="236"/>
      <c r="Z326" s="236"/>
      <c r="AA326" s="236"/>
    </row>
    <row r="327" spans="21:27" hidden="1">
      <c r="U327" s="236"/>
      <c r="V327" s="236"/>
      <c r="W327" s="236"/>
      <c r="X327" s="236"/>
      <c r="Y327" s="236"/>
      <c r="Z327" s="236"/>
      <c r="AA327" s="236"/>
    </row>
    <row r="328" spans="21:27" hidden="1">
      <c r="U328" s="236"/>
      <c r="V328" s="236"/>
      <c r="W328" s="236"/>
      <c r="X328" s="236"/>
      <c r="Y328" s="236"/>
      <c r="Z328" s="236"/>
      <c r="AA328" s="236"/>
    </row>
    <row r="329" spans="21:27" hidden="1">
      <c r="U329" s="236"/>
      <c r="V329" s="236"/>
      <c r="W329" s="236"/>
      <c r="X329" s="236"/>
      <c r="Y329" s="236"/>
      <c r="Z329" s="236"/>
      <c r="AA329" s="236"/>
    </row>
    <row r="330" spans="21:27" hidden="1">
      <c r="U330" s="236"/>
      <c r="V330" s="236"/>
      <c r="W330" s="236"/>
      <c r="X330" s="236"/>
      <c r="Y330" s="236"/>
      <c r="Z330" s="236"/>
      <c r="AA330" s="236"/>
    </row>
    <row r="331" spans="21:27" hidden="1">
      <c r="U331" s="236"/>
      <c r="V331" s="236"/>
      <c r="W331" s="236"/>
      <c r="X331" s="236"/>
      <c r="Y331" s="236"/>
      <c r="Z331" s="236"/>
      <c r="AA331" s="236"/>
    </row>
    <row r="332" spans="21:27" hidden="1">
      <c r="U332" s="236"/>
      <c r="V332" s="236"/>
      <c r="W332" s="236"/>
      <c r="X332" s="236"/>
      <c r="Y332" s="236"/>
      <c r="Z332" s="236"/>
      <c r="AA332" s="236"/>
    </row>
    <row r="333" spans="21:27" hidden="1">
      <c r="U333" s="236"/>
      <c r="V333" s="236"/>
      <c r="W333" s="236"/>
      <c r="X333" s="236"/>
      <c r="Y333" s="236"/>
      <c r="Z333" s="236"/>
      <c r="AA333" s="236"/>
    </row>
    <row r="334" spans="21:27" hidden="1">
      <c r="U334" s="236"/>
      <c r="V334" s="236"/>
      <c r="W334" s="236"/>
      <c r="X334" s="236"/>
      <c r="Y334" s="236"/>
      <c r="Z334" s="236"/>
      <c r="AA334" s="236"/>
    </row>
    <row r="335" spans="21:27" hidden="1">
      <c r="U335" s="236"/>
      <c r="V335" s="236"/>
      <c r="W335" s="236"/>
      <c r="X335" s="236"/>
      <c r="Y335" s="236"/>
      <c r="Z335" s="236"/>
      <c r="AA335" s="236"/>
    </row>
    <row r="336" spans="21:27" hidden="1">
      <c r="U336" s="236"/>
      <c r="V336" s="236"/>
      <c r="W336" s="236"/>
      <c r="X336" s="236"/>
      <c r="Y336" s="236"/>
      <c r="Z336" s="236"/>
      <c r="AA336" s="236"/>
    </row>
    <row r="337" spans="21:27" hidden="1">
      <c r="U337" s="236"/>
      <c r="V337" s="236"/>
      <c r="W337" s="236"/>
      <c r="X337" s="236"/>
      <c r="Y337" s="236"/>
      <c r="Z337" s="236"/>
      <c r="AA337" s="236"/>
    </row>
    <row r="338" spans="21:27" hidden="1">
      <c r="U338" s="236"/>
      <c r="V338" s="236"/>
      <c r="W338" s="236"/>
      <c r="X338" s="236"/>
      <c r="Y338" s="236"/>
      <c r="Z338" s="236"/>
      <c r="AA338" s="236"/>
    </row>
    <row r="339" spans="21:27" hidden="1">
      <c r="U339" s="236"/>
      <c r="V339" s="236"/>
      <c r="W339" s="236"/>
      <c r="X339" s="236"/>
      <c r="Y339" s="236"/>
      <c r="Z339" s="236"/>
      <c r="AA339" s="236"/>
    </row>
    <row r="340" spans="21:27" hidden="1">
      <c r="U340" s="236"/>
      <c r="V340" s="236"/>
      <c r="W340" s="236"/>
      <c r="X340" s="236"/>
      <c r="Y340" s="236"/>
      <c r="Z340" s="236"/>
      <c r="AA340" s="236"/>
    </row>
    <row r="341" spans="21:27" hidden="1">
      <c r="U341" s="236"/>
      <c r="V341" s="236"/>
      <c r="W341" s="236"/>
      <c r="X341" s="236"/>
      <c r="Y341" s="236"/>
      <c r="Z341" s="236"/>
      <c r="AA341" s="236"/>
    </row>
    <row r="342" spans="21:27" hidden="1">
      <c r="U342" s="236"/>
      <c r="V342" s="236"/>
      <c r="W342" s="236"/>
      <c r="X342" s="236"/>
      <c r="Y342" s="236"/>
      <c r="Z342" s="236"/>
      <c r="AA342" s="236"/>
    </row>
    <row r="343" spans="21:27" hidden="1">
      <c r="U343" s="236"/>
      <c r="V343" s="236"/>
      <c r="W343" s="236"/>
      <c r="X343" s="236"/>
      <c r="Y343" s="236"/>
      <c r="Z343" s="236"/>
      <c r="AA343" s="236"/>
    </row>
    <row r="344" spans="21:27" hidden="1">
      <c r="U344" s="236"/>
      <c r="V344" s="236"/>
      <c r="W344" s="236"/>
      <c r="X344" s="236"/>
      <c r="Y344" s="236"/>
      <c r="Z344" s="236"/>
      <c r="AA344" s="236"/>
    </row>
    <row r="345" spans="21:27" hidden="1">
      <c r="U345" s="236"/>
      <c r="V345" s="236"/>
      <c r="W345" s="236"/>
      <c r="X345" s="236"/>
      <c r="Y345" s="236"/>
      <c r="Z345" s="236"/>
      <c r="AA345" s="236"/>
    </row>
    <row r="346" spans="21:27" hidden="1">
      <c r="U346" s="236"/>
      <c r="V346" s="236"/>
      <c r="W346" s="236"/>
      <c r="X346" s="236"/>
      <c r="Y346" s="236"/>
      <c r="Z346" s="236"/>
      <c r="AA346" s="236"/>
    </row>
    <row r="347" spans="21:27" hidden="1">
      <c r="U347" s="236"/>
      <c r="V347" s="236"/>
      <c r="W347" s="236"/>
      <c r="X347" s="236"/>
      <c r="Y347" s="236"/>
      <c r="Z347" s="236"/>
      <c r="AA347" s="236"/>
    </row>
    <row r="348" spans="21:27" hidden="1">
      <c r="U348" s="236"/>
      <c r="V348" s="236"/>
      <c r="W348" s="236"/>
      <c r="X348" s="236"/>
      <c r="Y348" s="236"/>
      <c r="Z348" s="236"/>
      <c r="AA348" s="236"/>
    </row>
    <row r="349" spans="21:27" hidden="1">
      <c r="U349" s="236"/>
      <c r="V349" s="236"/>
      <c r="W349" s="236"/>
      <c r="X349" s="236"/>
      <c r="Y349" s="236"/>
      <c r="Z349" s="236"/>
      <c r="AA349" s="236"/>
    </row>
    <row r="350" spans="21:27" hidden="1">
      <c r="U350" s="236"/>
      <c r="V350" s="236"/>
      <c r="W350" s="236"/>
      <c r="X350" s="236"/>
      <c r="Y350" s="236"/>
      <c r="Z350" s="236"/>
      <c r="AA350" s="236"/>
    </row>
    <row r="351" spans="21:27" hidden="1">
      <c r="U351" s="236"/>
      <c r="V351" s="236"/>
      <c r="W351" s="236"/>
      <c r="X351" s="236"/>
      <c r="Y351" s="236"/>
      <c r="Z351" s="236"/>
      <c r="AA351" s="236"/>
    </row>
    <row r="352" spans="21:27" hidden="1">
      <c r="U352" s="236"/>
      <c r="V352" s="236"/>
      <c r="W352" s="236"/>
      <c r="X352" s="236"/>
      <c r="Y352" s="236"/>
      <c r="Z352" s="236"/>
      <c r="AA352" s="236"/>
    </row>
    <row r="353" spans="21:27" hidden="1">
      <c r="U353" s="236"/>
      <c r="V353" s="236"/>
      <c r="W353" s="236"/>
      <c r="X353" s="236"/>
      <c r="Y353" s="236"/>
      <c r="Z353" s="236"/>
      <c r="AA353" s="236"/>
    </row>
    <row r="354" spans="21:27" hidden="1">
      <c r="U354" s="236"/>
      <c r="V354" s="236"/>
      <c r="W354" s="236"/>
      <c r="X354" s="236"/>
      <c r="Y354" s="236"/>
      <c r="Z354" s="236"/>
      <c r="AA354" s="236"/>
    </row>
    <row r="355" spans="21:27" hidden="1">
      <c r="U355" s="236"/>
      <c r="V355" s="236"/>
      <c r="W355" s="236"/>
      <c r="X355" s="236"/>
      <c r="Y355" s="236"/>
      <c r="Z355" s="236"/>
      <c r="AA355" s="236"/>
    </row>
    <row r="356" spans="21:27" hidden="1">
      <c r="U356" s="236"/>
      <c r="V356" s="236"/>
      <c r="W356" s="236"/>
      <c r="X356" s="236"/>
      <c r="Y356" s="236"/>
      <c r="Z356" s="236"/>
      <c r="AA356" s="236"/>
    </row>
    <row r="357" spans="21:27" hidden="1">
      <c r="U357" s="236"/>
      <c r="V357" s="236"/>
      <c r="W357" s="236"/>
      <c r="X357" s="236"/>
      <c r="Y357" s="236"/>
      <c r="Z357" s="236"/>
      <c r="AA357" s="236"/>
    </row>
    <row r="358" spans="21:27" hidden="1">
      <c r="U358" s="236"/>
      <c r="V358" s="236"/>
      <c r="W358" s="236"/>
      <c r="X358" s="236"/>
      <c r="Y358" s="236"/>
      <c r="Z358" s="236"/>
      <c r="AA358" s="236"/>
    </row>
    <row r="359" spans="21:27" hidden="1">
      <c r="U359" s="236"/>
      <c r="V359" s="236"/>
      <c r="W359" s="236"/>
      <c r="X359" s="236"/>
      <c r="Y359" s="236"/>
      <c r="Z359" s="236"/>
      <c r="AA359" s="236"/>
    </row>
    <row r="360" spans="21:27" hidden="1">
      <c r="U360" s="236"/>
      <c r="V360" s="236"/>
      <c r="W360" s="236"/>
      <c r="X360" s="236"/>
      <c r="Y360" s="236"/>
      <c r="Z360" s="236"/>
      <c r="AA360" s="236"/>
    </row>
    <row r="361" spans="21:27" hidden="1">
      <c r="U361" s="236"/>
      <c r="V361" s="236"/>
      <c r="W361" s="236"/>
      <c r="X361" s="236"/>
      <c r="Y361" s="236"/>
      <c r="Z361" s="236"/>
      <c r="AA361" s="236"/>
    </row>
    <row r="362" spans="21:27" hidden="1">
      <c r="U362" s="236"/>
      <c r="V362" s="236"/>
      <c r="W362" s="236"/>
      <c r="X362" s="236"/>
      <c r="Y362" s="236"/>
      <c r="Z362" s="236"/>
      <c r="AA362" s="236"/>
    </row>
    <row r="363" spans="21:27" hidden="1">
      <c r="U363" s="236"/>
      <c r="V363" s="236"/>
      <c r="W363" s="236"/>
      <c r="X363" s="236"/>
      <c r="Y363" s="236"/>
      <c r="Z363" s="236"/>
      <c r="AA363" s="236"/>
    </row>
    <row r="364" spans="21:27" hidden="1">
      <c r="U364" s="236"/>
      <c r="V364" s="236"/>
      <c r="W364" s="236"/>
      <c r="X364" s="236"/>
      <c r="Y364" s="236"/>
      <c r="Z364" s="236"/>
      <c r="AA364" s="236"/>
    </row>
    <row r="365" spans="21:27" hidden="1">
      <c r="U365" s="236"/>
      <c r="V365" s="236"/>
      <c r="W365" s="236"/>
      <c r="X365" s="236"/>
      <c r="Y365" s="236"/>
      <c r="Z365" s="236"/>
      <c r="AA365" s="236"/>
    </row>
    <row r="366" spans="21:27" hidden="1">
      <c r="U366" s="236"/>
      <c r="V366" s="236"/>
      <c r="W366" s="236"/>
      <c r="X366" s="236"/>
      <c r="Y366" s="236"/>
      <c r="Z366" s="236"/>
      <c r="AA366" s="236"/>
    </row>
    <row r="367" spans="21:27" hidden="1">
      <c r="U367" s="236"/>
      <c r="V367" s="236"/>
      <c r="W367" s="236"/>
      <c r="X367" s="236"/>
      <c r="Y367" s="236"/>
      <c r="Z367" s="236"/>
      <c r="AA367" s="236"/>
    </row>
    <row r="368" spans="21:27" hidden="1">
      <c r="U368" s="236"/>
      <c r="V368" s="236"/>
      <c r="W368" s="236"/>
      <c r="X368" s="236"/>
      <c r="Y368" s="236"/>
      <c r="Z368" s="236"/>
      <c r="AA368" s="236"/>
    </row>
    <row r="369" spans="21:27" hidden="1">
      <c r="U369" s="236"/>
      <c r="V369" s="236"/>
      <c r="W369" s="236"/>
      <c r="X369" s="236"/>
      <c r="Y369" s="236"/>
      <c r="Z369" s="236"/>
      <c r="AA369" s="236"/>
    </row>
    <row r="370" spans="21:27" hidden="1">
      <c r="U370" s="236"/>
      <c r="V370" s="236"/>
      <c r="W370" s="236"/>
      <c r="X370" s="236"/>
      <c r="Y370" s="236"/>
      <c r="Z370" s="236"/>
      <c r="AA370" s="236"/>
    </row>
    <row r="371" spans="21:27" hidden="1">
      <c r="U371" s="236"/>
      <c r="V371" s="236"/>
      <c r="W371" s="236"/>
      <c r="X371" s="236"/>
      <c r="Y371" s="236"/>
      <c r="Z371" s="236"/>
      <c r="AA371" s="236"/>
    </row>
    <row r="372" spans="21:27" hidden="1">
      <c r="U372" s="236"/>
      <c r="V372" s="236"/>
      <c r="W372" s="236"/>
      <c r="X372" s="236"/>
      <c r="Y372" s="236"/>
      <c r="Z372" s="236"/>
      <c r="AA372" s="236"/>
    </row>
    <row r="373" spans="21:27" hidden="1">
      <c r="U373" s="236"/>
      <c r="V373" s="236"/>
      <c r="W373" s="236"/>
      <c r="X373" s="236"/>
      <c r="Y373" s="236"/>
      <c r="Z373" s="236"/>
      <c r="AA373" s="236"/>
    </row>
    <row r="374" spans="21:27" hidden="1">
      <c r="U374" s="236"/>
      <c r="V374" s="236"/>
      <c r="W374" s="236"/>
      <c r="X374" s="236"/>
      <c r="Y374" s="236"/>
      <c r="Z374" s="236"/>
      <c r="AA374" s="236"/>
    </row>
    <row r="375" spans="21:27" hidden="1">
      <c r="U375" s="236"/>
      <c r="V375" s="236"/>
      <c r="W375" s="236"/>
      <c r="X375" s="236"/>
      <c r="Y375" s="236"/>
      <c r="Z375" s="236"/>
      <c r="AA375" s="236"/>
    </row>
    <row r="376" spans="21:27" hidden="1">
      <c r="U376" s="236"/>
      <c r="V376" s="236"/>
      <c r="W376" s="236"/>
      <c r="X376" s="236"/>
      <c r="Y376" s="236"/>
      <c r="Z376" s="236"/>
      <c r="AA376" s="236"/>
    </row>
    <row r="377" spans="21:27" hidden="1">
      <c r="U377" s="236"/>
      <c r="V377" s="236"/>
      <c r="W377" s="236"/>
      <c r="X377" s="236"/>
      <c r="Y377" s="236"/>
      <c r="Z377" s="236"/>
      <c r="AA377" s="236"/>
    </row>
    <row r="378" spans="21:27" hidden="1">
      <c r="U378" s="236"/>
      <c r="V378" s="236"/>
      <c r="W378" s="236"/>
      <c r="X378" s="236"/>
      <c r="Y378" s="236"/>
      <c r="Z378" s="236"/>
      <c r="AA378" s="236"/>
    </row>
    <row r="379" spans="21:27" hidden="1">
      <c r="U379" s="236"/>
      <c r="V379" s="236"/>
      <c r="W379" s="236"/>
      <c r="X379" s="236"/>
      <c r="Y379" s="236"/>
      <c r="Z379" s="236"/>
      <c r="AA379" s="236"/>
    </row>
    <row r="380" spans="21:27" hidden="1">
      <c r="U380" s="236"/>
      <c r="V380" s="236"/>
      <c r="W380" s="236"/>
      <c r="X380" s="236"/>
      <c r="Y380" s="236"/>
      <c r="Z380" s="236"/>
      <c r="AA380" s="236"/>
    </row>
    <row r="381" spans="21:27" hidden="1">
      <c r="U381" s="236"/>
      <c r="V381" s="236"/>
      <c r="W381" s="236"/>
      <c r="X381" s="236"/>
      <c r="Y381" s="236"/>
      <c r="Z381" s="236"/>
      <c r="AA381" s="236"/>
    </row>
    <row r="382" spans="21:27" hidden="1">
      <c r="U382" s="236"/>
      <c r="V382" s="236"/>
      <c r="W382" s="236"/>
      <c r="X382" s="236"/>
      <c r="Y382" s="236"/>
      <c r="Z382" s="236"/>
      <c r="AA382" s="236"/>
    </row>
    <row r="383" spans="21:27" hidden="1">
      <c r="U383" s="236"/>
      <c r="V383" s="236"/>
      <c r="W383" s="236"/>
      <c r="X383" s="236"/>
      <c r="Y383" s="236"/>
      <c r="Z383" s="236"/>
      <c r="AA383" s="236"/>
    </row>
    <row r="384" spans="21:27" hidden="1">
      <c r="U384" s="236"/>
      <c r="V384" s="236"/>
      <c r="W384" s="236"/>
      <c r="X384" s="236"/>
      <c r="Y384" s="236"/>
      <c r="Z384" s="236"/>
      <c r="AA384" s="236"/>
    </row>
    <row r="385" spans="21:27" hidden="1">
      <c r="U385" s="236"/>
      <c r="V385" s="236"/>
      <c r="W385" s="236"/>
      <c r="X385" s="236"/>
      <c r="Y385" s="236"/>
      <c r="Z385" s="236"/>
      <c r="AA385" s="236"/>
    </row>
    <row r="386" spans="21:27" hidden="1">
      <c r="U386" s="236"/>
      <c r="V386" s="236"/>
      <c r="W386" s="236"/>
      <c r="X386" s="236"/>
      <c r="Y386" s="236"/>
      <c r="Z386" s="236"/>
      <c r="AA386" s="236"/>
    </row>
    <row r="387" spans="21:27" hidden="1">
      <c r="U387" s="236"/>
      <c r="V387" s="236"/>
      <c r="W387" s="236"/>
      <c r="X387" s="236"/>
      <c r="Y387" s="236"/>
      <c r="Z387" s="236"/>
      <c r="AA387" s="236"/>
    </row>
    <row r="388" spans="21:27" hidden="1">
      <c r="U388" s="236"/>
      <c r="V388" s="236"/>
      <c r="W388" s="236"/>
      <c r="X388" s="236"/>
      <c r="Y388" s="236"/>
      <c r="Z388" s="236"/>
      <c r="AA388" s="236"/>
    </row>
    <row r="389" spans="21:27" hidden="1">
      <c r="U389" s="236"/>
      <c r="V389" s="236"/>
      <c r="W389" s="236"/>
      <c r="X389" s="236"/>
      <c r="Y389" s="236"/>
      <c r="Z389" s="236"/>
      <c r="AA389" s="236"/>
    </row>
    <row r="390" spans="21:27" hidden="1">
      <c r="U390" s="236"/>
      <c r="V390" s="236"/>
      <c r="W390" s="236"/>
      <c r="X390" s="236"/>
      <c r="Y390" s="236"/>
      <c r="Z390" s="236"/>
      <c r="AA390" s="236"/>
    </row>
    <row r="391" spans="21:27" hidden="1">
      <c r="U391" s="236"/>
      <c r="V391" s="236"/>
      <c r="W391" s="236"/>
      <c r="X391" s="236"/>
      <c r="Y391" s="236"/>
      <c r="Z391" s="236"/>
      <c r="AA391" s="236"/>
    </row>
    <row r="392" spans="21:27" hidden="1">
      <c r="U392" s="236"/>
      <c r="V392" s="236"/>
      <c r="W392" s="236"/>
      <c r="X392" s="236"/>
      <c r="Y392" s="236"/>
      <c r="Z392" s="236"/>
      <c r="AA392" s="236"/>
    </row>
    <row r="393" spans="21:27" hidden="1">
      <c r="U393" s="236"/>
      <c r="V393" s="236"/>
      <c r="W393" s="236"/>
      <c r="X393" s="236"/>
      <c r="Y393" s="236"/>
      <c r="Z393" s="236"/>
      <c r="AA393" s="236"/>
    </row>
    <row r="394" spans="21:27" hidden="1">
      <c r="U394" s="236"/>
      <c r="V394" s="236"/>
      <c r="W394" s="236"/>
      <c r="X394" s="236"/>
      <c r="Y394" s="236"/>
      <c r="Z394" s="236"/>
      <c r="AA394" s="236"/>
    </row>
    <row r="395" spans="21:27" hidden="1">
      <c r="U395" s="236"/>
      <c r="V395" s="236"/>
      <c r="W395" s="236"/>
      <c r="X395" s="236"/>
      <c r="Y395" s="236"/>
      <c r="Z395" s="236"/>
      <c r="AA395" s="236"/>
    </row>
    <row r="396" spans="21:27" hidden="1">
      <c r="U396" s="236"/>
      <c r="V396" s="236"/>
      <c r="W396" s="236"/>
      <c r="X396" s="236"/>
      <c r="Y396" s="236"/>
      <c r="Z396" s="236"/>
      <c r="AA396" s="236"/>
    </row>
    <row r="397" spans="21:27" hidden="1">
      <c r="U397" s="236"/>
      <c r="V397" s="236"/>
      <c r="W397" s="236"/>
      <c r="X397" s="236"/>
      <c r="Y397" s="236"/>
      <c r="Z397" s="236"/>
      <c r="AA397" s="236"/>
    </row>
    <row r="398" spans="21:27" hidden="1">
      <c r="U398" s="236"/>
      <c r="V398" s="236"/>
      <c r="W398" s="236"/>
      <c r="X398" s="236"/>
      <c r="Y398" s="236"/>
      <c r="Z398" s="236"/>
      <c r="AA398" s="236"/>
    </row>
    <row r="399" spans="21:27" hidden="1">
      <c r="U399" s="236"/>
      <c r="V399" s="236"/>
      <c r="W399" s="236"/>
      <c r="X399" s="236"/>
      <c r="Y399" s="236"/>
      <c r="Z399" s="236"/>
      <c r="AA399" s="236"/>
    </row>
    <row r="400" spans="21:27" hidden="1">
      <c r="U400" s="236"/>
      <c r="V400" s="236"/>
      <c r="W400" s="236"/>
      <c r="X400" s="236"/>
      <c r="Y400" s="236"/>
      <c r="Z400" s="236"/>
      <c r="AA400" s="236"/>
    </row>
    <row r="401" spans="21:27" hidden="1">
      <c r="U401" s="236"/>
      <c r="V401" s="236"/>
      <c r="W401" s="236"/>
      <c r="X401" s="236"/>
      <c r="Y401" s="236"/>
      <c r="Z401" s="236"/>
      <c r="AA401" s="236"/>
    </row>
    <row r="402" spans="21:27" hidden="1">
      <c r="U402" s="236"/>
      <c r="V402" s="236"/>
      <c r="W402" s="236"/>
      <c r="X402" s="236"/>
      <c r="Y402" s="236"/>
      <c r="Z402" s="236"/>
      <c r="AA402" s="236"/>
    </row>
    <row r="403" spans="21:27" hidden="1">
      <c r="U403" s="236"/>
      <c r="V403" s="236"/>
      <c r="W403" s="236"/>
      <c r="X403" s="236"/>
      <c r="Y403" s="236"/>
      <c r="Z403" s="236"/>
      <c r="AA403" s="236"/>
    </row>
    <row r="404" spans="21:27" hidden="1">
      <c r="U404" s="236"/>
      <c r="V404" s="236"/>
      <c r="W404" s="236"/>
      <c r="X404" s="236"/>
      <c r="Y404" s="236"/>
      <c r="Z404" s="236"/>
      <c r="AA404" s="236"/>
    </row>
    <row r="405" spans="21:27" hidden="1">
      <c r="U405" s="236"/>
      <c r="V405" s="236"/>
      <c r="W405" s="236"/>
      <c r="X405" s="236"/>
      <c r="Y405" s="236"/>
      <c r="Z405" s="236"/>
      <c r="AA405" s="236"/>
    </row>
    <row r="406" spans="21:27" hidden="1">
      <c r="U406" s="236"/>
      <c r="V406" s="236"/>
      <c r="W406" s="236"/>
      <c r="X406" s="236"/>
      <c r="Y406" s="236"/>
      <c r="Z406" s="236"/>
      <c r="AA406" s="236"/>
    </row>
    <row r="407" spans="21:27" hidden="1">
      <c r="U407" s="236"/>
      <c r="V407" s="236"/>
      <c r="W407" s="236"/>
      <c r="X407" s="236"/>
      <c r="Y407" s="236"/>
      <c r="Z407" s="236"/>
      <c r="AA407" s="236"/>
    </row>
    <row r="408" spans="21:27" hidden="1">
      <c r="U408" s="236"/>
      <c r="V408" s="236"/>
      <c r="W408" s="236"/>
      <c r="X408" s="236"/>
      <c r="Y408" s="236"/>
      <c r="Z408" s="236"/>
      <c r="AA408" s="236"/>
    </row>
    <row r="409" spans="21:27" hidden="1">
      <c r="U409" s="236"/>
      <c r="V409" s="236"/>
      <c r="W409" s="236"/>
      <c r="X409" s="236"/>
      <c r="Y409" s="236"/>
      <c r="Z409" s="236"/>
      <c r="AA409" s="236"/>
    </row>
    <row r="410" spans="21:27" hidden="1">
      <c r="U410" s="236"/>
      <c r="V410" s="236"/>
      <c r="W410" s="236"/>
      <c r="X410" s="236"/>
      <c r="Y410" s="236"/>
      <c r="Z410" s="236"/>
      <c r="AA410" s="236"/>
    </row>
    <row r="411" spans="21:27" hidden="1">
      <c r="U411" s="236"/>
      <c r="V411" s="236"/>
      <c r="W411" s="236"/>
      <c r="X411" s="236"/>
      <c r="Y411" s="236"/>
      <c r="Z411" s="236"/>
      <c r="AA411" s="236"/>
    </row>
    <row r="412" spans="21:27" hidden="1">
      <c r="U412" s="236"/>
      <c r="V412" s="236"/>
      <c r="W412" s="236"/>
      <c r="X412" s="236"/>
      <c r="Y412" s="236"/>
      <c r="Z412" s="236"/>
      <c r="AA412" s="236"/>
    </row>
    <row r="413" spans="21:27" hidden="1">
      <c r="U413" s="236"/>
      <c r="V413" s="236"/>
      <c r="W413" s="236"/>
      <c r="X413" s="236"/>
      <c r="Y413" s="236"/>
      <c r="Z413" s="236"/>
      <c r="AA413" s="236"/>
    </row>
    <row r="414" spans="21:27" hidden="1">
      <c r="U414" s="236"/>
      <c r="V414" s="236"/>
      <c r="W414" s="236"/>
      <c r="X414" s="236"/>
      <c r="Y414" s="236"/>
      <c r="Z414" s="236"/>
      <c r="AA414" s="236"/>
    </row>
    <row r="415" spans="21:27" hidden="1">
      <c r="U415" s="236"/>
      <c r="V415" s="236"/>
      <c r="W415" s="236"/>
      <c r="X415" s="236"/>
      <c r="Y415" s="236"/>
      <c r="Z415" s="236"/>
      <c r="AA415" s="236"/>
    </row>
    <row r="416" spans="21:27" hidden="1">
      <c r="U416" s="236"/>
      <c r="V416" s="236"/>
      <c r="W416" s="236"/>
      <c r="X416" s="236"/>
      <c r="Y416" s="236"/>
      <c r="Z416" s="236"/>
      <c r="AA416" s="236"/>
    </row>
    <row r="417" spans="21:27" hidden="1">
      <c r="U417" s="236"/>
      <c r="V417" s="236"/>
      <c r="W417" s="236"/>
      <c r="X417" s="236"/>
      <c r="Y417" s="236"/>
      <c r="Z417" s="236"/>
      <c r="AA417" s="236"/>
    </row>
    <row r="418" spans="21:27" hidden="1">
      <c r="U418" s="236"/>
      <c r="V418" s="236"/>
      <c r="W418" s="236"/>
      <c r="X418" s="236"/>
      <c r="Y418" s="236"/>
      <c r="Z418" s="236"/>
      <c r="AA418" s="236"/>
    </row>
    <row r="419" spans="21:27" hidden="1">
      <c r="U419" s="236"/>
      <c r="V419" s="236"/>
      <c r="W419" s="236"/>
      <c r="X419" s="236"/>
      <c r="Y419" s="236"/>
      <c r="Z419" s="236"/>
      <c r="AA419" s="236"/>
    </row>
    <row r="420" spans="21:27" hidden="1">
      <c r="U420" s="236"/>
      <c r="V420" s="236"/>
      <c r="W420" s="236"/>
      <c r="X420" s="236"/>
      <c r="Y420" s="236"/>
      <c r="Z420" s="236"/>
      <c r="AA420" s="236"/>
    </row>
    <row r="421" spans="21:27" hidden="1">
      <c r="U421" s="236"/>
      <c r="V421" s="236"/>
      <c r="W421" s="236"/>
      <c r="X421" s="236"/>
      <c r="Y421" s="236"/>
      <c r="Z421" s="236"/>
      <c r="AA421" s="236"/>
    </row>
    <row r="422" spans="21:27" hidden="1">
      <c r="U422" s="236"/>
      <c r="V422" s="236"/>
      <c r="W422" s="236"/>
      <c r="X422" s="236"/>
      <c r="Y422" s="236"/>
      <c r="Z422" s="236"/>
      <c r="AA422" s="236"/>
    </row>
    <row r="423" spans="21:27" hidden="1">
      <c r="U423" s="236"/>
      <c r="V423" s="236"/>
      <c r="W423" s="236"/>
      <c r="X423" s="236"/>
      <c r="Y423" s="236"/>
      <c r="Z423" s="236"/>
      <c r="AA423" s="236"/>
    </row>
    <row r="424" spans="21:27" hidden="1">
      <c r="U424" s="236"/>
      <c r="V424" s="236"/>
      <c r="W424" s="236"/>
      <c r="X424" s="236"/>
      <c r="Y424" s="236"/>
      <c r="Z424" s="236"/>
      <c r="AA424" s="236"/>
    </row>
    <row r="425" spans="21:27" hidden="1">
      <c r="U425" s="236"/>
      <c r="V425" s="236"/>
      <c r="W425" s="236"/>
      <c r="X425" s="236"/>
      <c r="Y425" s="236"/>
      <c r="Z425" s="236"/>
      <c r="AA425" s="236"/>
    </row>
    <row r="426" spans="21:27" hidden="1">
      <c r="U426" s="236"/>
      <c r="V426" s="236"/>
      <c r="W426" s="236"/>
      <c r="X426" s="236"/>
      <c r="Y426" s="236"/>
      <c r="Z426" s="236"/>
      <c r="AA426" s="236"/>
    </row>
    <row r="427" spans="21:27" hidden="1">
      <c r="U427" s="236"/>
      <c r="V427" s="236"/>
      <c r="W427" s="236"/>
      <c r="X427" s="236"/>
      <c r="Y427" s="236"/>
      <c r="Z427" s="236"/>
      <c r="AA427" s="236"/>
    </row>
    <row r="428" spans="21:27" hidden="1">
      <c r="U428" s="236"/>
      <c r="V428" s="236"/>
      <c r="W428" s="236"/>
      <c r="X428" s="236"/>
      <c r="Y428" s="236"/>
      <c r="Z428" s="236"/>
      <c r="AA428" s="236"/>
    </row>
    <row r="429" spans="21:27" hidden="1">
      <c r="U429" s="236"/>
      <c r="V429" s="236"/>
      <c r="W429" s="236"/>
      <c r="X429" s="236"/>
      <c r="Y429" s="236"/>
      <c r="Z429" s="236"/>
      <c r="AA429" s="236"/>
    </row>
    <row r="430" spans="21:27" hidden="1">
      <c r="U430" s="236"/>
      <c r="V430" s="236"/>
      <c r="W430" s="236"/>
      <c r="X430" s="236"/>
      <c r="Y430" s="236"/>
      <c r="Z430" s="236"/>
      <c r="AA430" s="236"/>
    </row>
    <row r="431" spans="21:27" hidden="1">
      <c r="U431" s="236"/>
      <c r="V431" s="236"/>
      <c r="W431" s="236"/>
      <c r="X431" s="236"/>
      <c r="Y431" s="236"/>
      <c r="Z431" s="236"/>
      <c r="AA431" s="236"/>
    </row>
    <row r="432" spans="21:27" hidden="1">
      <c r="U432" s="236"/>
      <c r="V432" s="236"/>
      <c r="W432" s="236"/>
      <c r="X432" s="236"/>
      <c r="Y432" s="236"/>
      <c r="Z432" s="236"/>
      <c r="AA432" s="236"/>
    </row>
    <row r="433" spans="21:27" hidden="1">
      <c r="U433" s="236"/>
      <c r="V433" s="236"/>
      <c r="W433" s="236"/>
      <c r="X433" s="236"/>
      <c r="Y433" s="236"/>
      <c r="Z433" s="236"/>
      <c r="AA433" s="236"/>
    </row>
    <row r="434" spans="21:27" hidden="1">
      <c r="U434" s="236"/>
      <c r="V434" s="236"/>
      <c r="W434" s="236"/>
      <c r="X434" s="236"/>
      <c r="Y434" s="236"/>
      <c r="Z434" s="236"/>
      <c r="AA434" s="236"/>
    </row>
    <row r="435" spans="21:27" hidden="1">
      <c r="U435" s="236"/>
      <c r="V435" s="236"/>
      <c r="W435" s="236"/>
      <c r="X435" s="236"/>
      <c r="Y435" s="236"/>
      <c r="Z435" s="236"/>
      <c r="AA435" s="236"/>
    </row>
    <row r="436" spans="21:27" hidden="1">
      <c r="U436" s="236"/>
      <c r="V436" s="236"/>
      <c r="W436" s="236"/>
      <c r="X436" s="236"/>
      <c r="Y436" s="236"/>
      <c r="Z436" s="236"/>
      <c r="AA436" s="236"/>
    </row>
    <row r="437" spans="21:27" hidden="1">
      <c r="U437" s="236"/>
      <c r="V437" s="236"/>
      <c r="W437" s="236"/>
      <c r="X437" s="236"/>
      <c r="Y437" s="236"/>
      <c r="Z437" s="236"/>
      <c r="AA437" s="236"/>
    </row>
    <row r="438" spans="21:27" hidden="1">
      <c r="U438" s="236"/>
      <c r="V438" s="236"/>
      <c r="W438" s="236"/>
      <c r="X438" s="236"/>
      <c r="Y438" s="236"/>
      <c r="Z438" s="236"/>
      <c r="AA438" s="236"/>
    </row>
    <row r="439" spans="21:27" hidden="1">
      <c r="U439" s="236"/>
      <c r="V439" s="236"/>
      <c r="W439" s="236"/>
      <c r="X439" s="236"/>
      <c r="Y439" s="236"/>
      <c r="Z439" s="236"/>
      <c r="AA439" s="236"/>
    </row>
    <row r="440" spans="21:27" hidden="1">
      <c r="U440" s="236"/>
      <c r="V440" s="236"/>
      <c r="W440" s="236"/>
      <c r="X440" s="236"/>
      <c r="Y440" s="236"/>
      <c r="Z440" s="236"/>
      <c r="AA440" s="236"/>
    </row>
    <row r="441" spans="21:27" hidden="1">
      <c r="U441" s="236"/>
      <c r="V441" s="236"/>
      <c r="W441" s="236"/>
      <c r="X441" s="236"/>
      <c r="Y441" s="236"/>
      <c r="Z441" s="236"/>
      <c r="AA441" s="236"/>
    </row>
    <row r="442" spans="21:27" hidden="1">
      <c r="U442" s="236"/>
      <c r="V442" s="236"/>
      <c r="W442" s="236"/>
      <c r="X442" s="236"/>
      <c r="Y442" s="236"/>
      <c r="Z442" s="236"/>
      <c r="AA442" s="236"/>
    </row>
    <row r="443" spans="21:27" hidden="1">
      <c r="U443" s="236"/>
      <c r="V443" s="236"/>
      <c r="W443" s="236"/>
      <c r="X443" s="236"/>
      <c r="Y443" s="236"/>
      <c r="Z443" s="236"/>
      <c r="AA443" s="236"/>
    </row>
    <row r="444" spans="21:27" hidden="1">
      <c r="U444" s="236"/>
      <c r="V444" s="236"/>
      <c r="W444" s="236"/>
      <c r="X444" s="236"/>
      <c r="Y444" s="236"/>
      <c r="Z444" s="236"/>
      <c r="AA444" s="236"/>
    </row>
    <row r="445" spans="21:27" hidden="1">
      <c r="U445" s="236"/>
      <c r="V445" s="236"/>
      <c r="W445" s="236"/>
      <c r="X445" s="236"/>
      <c r="Y445" s="236"/>
      <c r="Z445" s="236"/>
      <c r="AA445" s="236"/>
    </row>
    <row r="446" spans="21:27" hidden="1">
      <c r="U446" s="236"/>
      <c r="V446" s="236"/>
      <c r="W446" s="236"/>
      <c r="X446" s="236"/>
      <c r="Y446" s="236"/>
      <c r="Z446" s="236"/>
      <c r="AA446" s="236"/>
    </row>
    <row r="447" spans="21:27" hidden="1">
      <c r="U447" s="236"/>
      <c r="V447" s="236"/>
      <c r="W447" s="236"/>
      <c r="X447" s="236"/>
      <c r="Y447" s="236"/>
      <c r="Z447" s="236"/>
      <c r="AA447" s="236"/>
    </row>
    <row r="448" spans="21:27" hidden="1">
      <c r="U448" s="236"/>
      <c r="V448" s="236"/>
      <c r="W448" s="236"/>
      <c r="X448" s="236"/>
      <c r="Y448" s="236"/>
      <c r="Z448" s="236"/>
      <c r="AA448" s="236"/>
    </row>
    <row r="449" spans="21:27" hidden="1">
      <c r="U449" s="236"/>
      <c r="V449" s="236"/>
      <c r="W449" s="236"/>
      <c r="X449" s="236"/>
      <c r="Y449" s="236"/>
      <c r="Z449" s="236"/>
      <c r="AA449" s="236"/>
    </row>
    <row r="450" spans="21:27" hidden="1">
      <c r="U450" s="236"/>
      <c r="V450" s="236"/>
      <c r="W450" s="236"/>
      <c r="X450" s="236"/>
      <c r="Y450" s="236"/>
      <c r="Z450" s="236"/>
      <c r="AA450" s="236"/>
    </row>
    <row r="451" spans="21:27" hidden="1">
      <c r="U451" s="236"/>
      <c r="V451" s="236"/>
      <c r="W451" s="236"/>
      <c r="X451" s="236"/>
      <c r="Y451" s="236"/>
      <c r="Z451" s="236"/>
      <c r="AA451" s="236"/>
    </row>
    <row r="452" spans="21:27" hidden="1">
      <c r="U452" s="236"/>
      <c r="V452" s="236"/>
      <c r="W452" s="236"/>
      <c r="X452" s="236"/>
      <c r="Y452" s="236"/>
      <c r="Z452" s="236"/>
      <c r="AA452" s="236"/>
    </row>
    <row r="453" spans="21:27" hidden="1">
      <c r="U453" s="236"/>
      <c r="V453" s="236"/>
      <c r="W453" s="236"/>
      <c r="X453" s="236"/>
      <c r="Y453" s="236"/>
      <c r="Z453" s="236"/>
      <c r="AA453" s="236"/>
    </row>
    <row r="454" spans="21:27" hidden="1">
      <c r="U454" s="236"/>
      <c r="V454" s="236"/>
      <c r="W454" s="236"/>
      <c r="X454" s="236"/>
      <c r="Y454" s="236"/>
      <c r="Z454" s="236"/>
      <c r="AA454" s="236"/>
    </row>
    <row r="455" spans="21:27" hidden="1">
      <c r="U455" s="236"/>
      <c r="V455" s="236"/>
      <c r="W455" s="236"/>
      <c r="X455" s="236"/>
      <c r="Y455" s="236"/>
      <c r="Z455" s="236"/>
      <c r="AA455" s="236"/>
    </row>
    <row r="456" spans="21:27" hidden="1">
      <c r="U456" s="236"/>
      <c r="V456" s="236"/>
      <c r="W456" s="236"/>
      <c r="X456" s="236"/>
      <c r="Y456" s="236"/>
      <c r="Z456" s="236"/>
      <c r="AA456" s="236"/>
    </row>
    <row r="457" spans="21:27" hidden="1">
      <c r="U457" s="236"/>
      <c r="V457" s="236"/>
      <c r="W457" s="236"/>
      <c r="X457" s="236"/>
      <c r="Y457" s="236"/>
      <c r="Z457" s="236"/>
      <c r="AA457" s="236"/>
    </row>
    <row r="458" spans="21:27" hidden="1">
      <c r="U458" s="236"/>
      <c r="V458" s="236"/>
      <c r="W458" s="236"/>
      <c r="X458" s="236"/>
      <c r="Y458" s="236"/>
      <c r="Z458" s="236"/>
      <c r="AA458" s="236"/>
    </row>
    <row r="459" spans="21:27" hidden="1">
      <c r="U459" s="236"/>
      <c r="V459" s="236"/>
      <c r="W459" s="236"/>
      <c r="X459" s="236"/>
      <c r="Y459" s="236"/>
      <c r="Z459" s="236"/>
      <c r="AA459" s="236"/>
    </row>
    <row r="460" spans="21:27" hidden="1">
      <c r="U460" s="236"/>
      <c r="V460" s="236"/>
      <c r="W460" s="236"/>
      <c r="X460" s="236"/>
      <c r="Y460" s="236"/>
      <c r="Z460" s="236"/>
      <c r="AA460" s="236"/>
    </row>
    <row r="461" spans="21:27" hidden="1">
      <c r="U461" s="236"/>
      <c r="V461" s="236"/>
      <c r="W461" s="236"/>
      <c r="X461" s="236"/>
      <c r="Y461" s="236"/>
      <c r="Z461" s="236"/>
      <c r="AA461" s="236"/>
    </row>
    <row r="462" spans="21:27" hidden="1">
      <c r="U462" s="236"/>
      <c r="V462" s="236"/>
      <c r="W462" s="236"/>
      <c r="X462" s="236"/>
      <c r="Y462" s="236"/>
      <c r="Z462" s="236"/>
      <c r="AA462" s="236"/>
    </row>
    <row r="463" spans="21:27" hidden="1">
      <c r="U463" s="236"/>
      <c r="V463" s="236"/>
      <c r="W463" s="236"/>
      <c r="X463" s="236"/>
      <c r="Y463" s="236"/>
      <c r="Z463" s="236"/>
      <c r="AA463" s="236"/>
    </row>
    <row r="464" spans="21:27" hidden="1">
      <c r="U464" s="236"/>
      <c r="V464" s="236"/>
      <c r="W464" s="236"/>
      <c r="X464" s="236"/>
      <c r="Y464" s="236"/>
      <c r="Z464" s="236"/>
      <c r="AA464" s="236"/>
    </row>
    <row r="465" spans="21:27" hidden="1">
      <c r="U465" s="236"/>
      <c r="V465" s="236"/>
      <c r="W465" s="236"/>
      <c r="X465" s="236"/>
      <c r="Y465" s="236"/>
      <c r="Z465" s="236"/>
      <c r="AA465" s="236"/>
    </row>
    <row r="466" spans="21:27" hidden="1">
      <c r="U466" s="236"/>
      <c r="V466" s="236"/>
      <c r="W466" s="236"/>
      <c r="X466" s="236"/>
      <c r="Y466" s="236"/>
      <c r="Z466" s="236"/>
      <c r="AA466" s="236"/>
    </row>
    <row r="467" spans="21:27" hidden="1">
      <c r="U467" s="236"/>
      <c r="V467" s="236"/>
      <c r="W467" s="236"/>
      <c r="X467" s="236"/>
      <c r="Y467" s="236"/>
      <c r="Z467" s="236"/>
      <c r="AA467" s="236"/>
    </row>
    <row r="468" spans="21:27" hidden="1">
      <c r="U468" s="236"/>
      <c r="V468" s="236"/>
      <c r="W468" s="236"/>
      <c r="X468" s="236"/>
      <c r="Y468" s="236"/>
      <c r="Z468" s="236"/>
      <c r="AA468" s="236"/>
    </row>
  </sheetData>
  <mergeCells count="54">
    <mergeCell ref="J47:K47"/>
    <mergeCell ref="AG47:AH47"/>
    <mergeCell ref="R47:T47"/>
    <mergeCell ref="R49:Y53"/>
    <mergeCell ref="I43:J43"/>
    <mergeCell ref="AC48:AE48"/>
    <mergeCell ref="AC49:AG52"/>
    <mergeCell ref="R29:T29"/>
    <mergeCell ref="R31:Y35"/>
    <mergeCell ref="AD53:AE53"/>
    <mergeCell ref="AF53:AG53"/>
    <mergeCell ref="F48:H48"/>
    <mergeCell ref="I25:J25"/>
    <mergeCell ref="J20:K20"/>
    <mergeCell ref="J29:K29"/>
    <mergeCell ref="F30:H30"/>
    <mergeCell ref="G33:H33"/>
    <mergeCell ref="G34:H34"/>
    <mergeCell ref="I34:J34"/>
    <mergeCell ref="F21:H21"/>
    <mergeCell ref="G23:H23"/>
    <mergeCell ref="G24:H24"/>
    <mergeCell ref="G25:H25"/>
    <mergeCell ref="I24:J24"/>
    <mergeCell ref="I33:J33"/>
    <mergeCell ref="I42:J42"/>
    <mergeCell ref="J38:K38"/>
    <mergeCell ref="R38:T38"/>
    <mergeCell ref="R40:Y44"/>
    <mergeCell ref="G26:H26"/>
    <mergeCell ref="I26:J26"/>
    <mergeCell ref="R20:T20"/>
    <mergeCell ref="R22:Y26"/>
    <mergeCell ref="G42:H42"/>
    <mergeCell ref="G35:H35"/>
    <mergeCell ref="I35:J35"/>
    <mergeCell ref="G44:H44"/>
    <mergeCell ref="I44:J44"/>
    <mergeCell ref="J16:M16"/>
    <mergeCell ref="R56:T56"/>
    <mergeCell ref="R58:Y62"/>
    <mergeCell ref="G61:H61"/>
    <mergeCell ref="I61:J61"/>
    <mergeCell ref="G62:H62"/>
    <mergeCell ref="I62:J62"/>
    <mergeCell ref="J56:K56"/>
    <mergeCell ref="F57:H57"/>
    <mergeCell ref="G59:H59"/>
    <mergeCell ref="G60:H60"/>
    <mergeCell ref="I60:J60"/>
    <mergeCell ref="G32:H32"/>
    <mergeCell ref="G43:H43"/>
    <mergeCell ref="F39:H39"/>
    <mergeCell ref="G41:H41"/>
  </mergeCells>
  <conditionalFormatting sqref="G22">
    <cfRule type="iconSet" priority="16">
      <iconSet iconSet="3Arrows">
        <cfvo type="percent" val="0"/>
        <cfvo type="num" val="0"/>
        <cfvo type="num" val="9.9999999999999995E-8" gte="0"/>
      </iconSet>
    </cfRule>
  </conditionalFormatting>
  <conditionalFormatting sqref="I22:J22">
    <cfRule type="iconSet" priority="34">
      <iconSet iconSet="3Arrows">
        <cfvo type="percent" val="0"/>
        <cfvo type="num" val="0"/>
        <cfvo type="num" val="9.9999999999999995E-8" gte="0"/>
      </iconSet>
    </cfRule>
  </conditionalFormatting>
  <conditionalFormatting sqref="I24:J24">
    <cfRule type="iconSet" priority="19">
      <iconSet iconSet="3Arrows">
        <cfvo type="percent" val="0"/>
        <cfvo type="num" val="0"/>
        <cfvo type="num" val="1E-25" gte="0"/>
      </iconSet>
    </cfRule>
  </conditionalFormatting>
  <conditionalFormatting sqref="I25:J26">
    <cfRule type="iconSet" priority="33">
      <iconSet iconSet="3Arrows">
        <cfvo type="percent" val="0"/>
        <cfvo type="num" val="0"/>
        <cfvo type="num" val="1E-25" gte="0"/>
      </iconSet>
    </cfRule>
  </conditionalFormatting>
  <conditionalFormatting sqref="I31:J31">
    <cfRule type="iconSet" priority="30">
      <iconSet iconSet="3Arrows">
        <cfvo type="percent" val="0"/>
        <cfvo type="num" val="0"/>
        <cfvo type="num" val="9.9999999999999995E-8" gte="0"/>
      </iconSet>
    </cfRule>
  </conditionalFormatting>
  <conditionalFormatting sqref="I33:J33">
    <cfRule type="iconSet" priority="18">
      <iconSet iconSet="3Arrows">
        <cfvo type="percent" val="0"/>
        <cfvo type="num" val="0"/>
        <cfvo type="num" val="1E-25" gte="0"/>
      </iconSet>
    </cfRule>
  </conditionalFormatting>
  <conditionalFormatting sqref="I34:J34">
    <cfRule type="iconSet" priority="29">
      <iconSet iconSet="3Arrows">
        <cfvo type="percent" val="0"/>
        <cfvo type="num" val="0"/>
        <cfvo type="num" val="1E-25" gte="0"/>
      </iconSet>
    </cfRule>
  </conditionalFormatting>
  <conditionalFormatting sqref="I35:J35">
    <cfRule type="iconSet" priority="14">
      <iconSet iconSet="3Arrows">
        <cfvo type="percent" val="0"/>
        <cfvo type="num" val="0"/>
        <cfvo type="num" val="1E-25" gte="0"/>
      </iconSet>
    </cfRule>
  </conditionalFormatting>
  <conditionalFormatting sqref="I40:J40">
    <cfRule type="iconSet" priority="22">
      <iconSet iconSet="3Arrows">
        <cfvo type="percent" val="0"/>
        <cfvo type="num" val="0"/>
        <cfvo type="num" val="9.9999999999999995E-8" gte="0"/>
      </iconSet>
    </cfRule>
  </conditionalFormatting>
  <conditionalFormatting sqref="I42:J42">
    <cfRule type="iconSet" priority="17">
      <iconSet iconSet="3Arrows">
        <cfvo type="percent" val="0"/>
        <cfvo type="num" val="0"/>
        <cfvo type="num" val="1E-25" gte="0"/>
      </iconSet>
    </cfRule>
  </conditionalFormatting>
  <conditionalFormatting sqref="I43:J43">
    <cfRule type="iconSet" priority="21">
      <iconSet iconSet="3Arrows">
        <cfvo type="percent" val="0"/>
        <cfvo type="num" val="0"/>
        <cfvo type="num" val="1E-25" gte="0"/>
      </iconSet>
    </cfRule>
  </conditionalFormatting>
  <conditionalFormatting sqref="I44:J44">
    <cfRule type="iconSet" priority="13">
      <iconSet iconSet="3Arrows">
        <cfvo type="percent" val="0"/>
        <cfvo type="num" val="0"/>
        <cfvo type="num" val="1E-25" gte="0"/>
      </iconSet>
    </cfRule>
  </conditionalFormatting>
  <conditionalFormatting sqref="I49:J50">
    <cfRule type="iconSet" priority="27">
      <iconSet iconSet="3Arrows">
        <cfvo type="percent" val="0"/>
        <cfvo type="num" val="0"/>
        <cfvo type="num" val="9.9999999999999995E-8" gte="0"/>
      </iconSet>
    </cfRule>
  </conditionalFormatting>
  <conditionalFormatting sqref="I58:J58">
    <cfRule type="iconSet" priority="5">
      <iconSet iconSet="3Arrows">
        <cfvo type="percent" val="0"/>
        <cfvo type="num" val="0"/>
        <cfvo type="num" val="9.9999999999999995E-8" gte="0"/>
      </iconSet>
    </cfRule>
  </conditionalFormatting>
  <conditionalFormatting sqref="I60:J60">
    <cfRule type="iconSet" priority="3">
      <iconSet iconSet="3Arrows">
        <cfvo type="percent" val="0"/>
        <cfvo type="num" val="0"/>
        <cfvo type="num" val="1E-25" gte="0"/>
      </iconSet>
    </cfRule>
  </conditionalFormatting>
  <conditionalFormatting sqref="I61:J61">
    <cfRule type="iconSet" priority="4">
      <iconSet iconSet="3Arrows">
        <cfvo type="percent" val="0"/>
        <cfvo type="num" val="0"/>
        <cfvo type="num" val="1E-25" gte="0"/>
      </iconSet>
    </cfRule>
  </conditionalFormatting>
  <conditionalFormatting sqref="I62:J62">
    <cfRule type="iconSet" priority="2">
      <iconSet iconSet="3Arrows">
        <cfvo type="percent" val="0"/>
        <cfvo type="num" val="0"/>
        <cfvo type="num" val="1E-25" gte="0"/>
      </iconSet>
    </cfRule>
  </conditionalFormatting>
  <conditionalFormatting sqref="J53">
    <cfRule type="iconSet" priority="23">
      <iconSet iconSet="3Flags">
        <cfvo type="percent" val="0"/>
        <cfvo type="num" val="0"/>
        <cfvo type="num" val="1.0000000000000001E-17" gte="0"/>
      </iconSet>
    </cfRule>
  </conditionalFormatting>
  <conditionalFormatting sqref="Q25:Q26">
    <cfRule type="iconSet" priority="31">
      <iconSet iconSet="3Arrows">
        <cfvo type="percent" val="0"/>
        <cfvo type="num" val="0"/>
        <cfvo type="num" val="1E-25" gte="0"/>
      </iconSet>
    </cfRule>
  </conditionalFormatting>
  <conditionalFormatting sqref="Q34:Q35">
    <cfRule type="iconSet" priority="15">
      <iconSet iconSet="3Arrows">
        <cfvo type="percent" val="0"/>
        <cfvo type="num" val="0"/>
        <cfvo type="num" val="1E-25" gte="0"/>
      </iconSet>
    </cfRule>
  </conditionalFormatting>
  <conditionalFormatting sqref="Q43:Q44">
    <cfRule type="iconSet" priority="12">
      <iconSet iconSet="3Arrows">
        <cfvo type="percent" val="0"/>
        <cfvo type="num" val="0"/>
        <cfvo type="num" val="1E-25" gte="0"/>
      </iconSet>
    </cfRule>
  </conditionalFormatting>
  <conditionalFormatting sqref="Q52:Q53">
    <cfRule type="iconSet" priority="11">
      <iconSet iconSet="3Arrows">
        <cfvo type="percent" val="0"/>
        <cfvo type="num" val="0"/>
        <cfvo type="num" val="1E-25" gte="0"/>
      </iconSet>
    </cfRule>
  </conditionalFormatting>
  <conditionalFormatting sqref="Q61:Q62">
    <cfRule type="iconSet" priority="1">
      <iconSet iconSet="3Arrows">
        <cfvo type="percent" val="0"/>
        <cfvo type="num" val="0"/>
        <cfvo type="num" val="1E-25" gte="0"/>
      </iconSet>
    </cfRule>
  </conditionalFormatting>
  <conditionalFormatting sqref="AF53:AG53">
    <cfRule type="iconSet" priority="25">
      <iconSet iconSet="3Arrows">
        <cfvo type="percent" val="0"/>
        <cfvo type="num" val="0"/>
        <cfvo type="num" val="1E-25" gte="0"/>
      </iconSet>
    </cfRule>
  </conditionalFormatting>
  <hyperlinks>
    <hyperlink ref="J47:K47" location="'Working capital evolution'!A1" display="Details" xr:uid="{9892E217-78E0-48A9-886A-7DD78D27920F}"/>
    <hyperlink ref="J20:K20" location="'Revenue analysis'!A1" display="Details" xr:uid="{D2871A91-EFE4-45ED-87FB-6BE57AEAC2C8}"/>
  </hyperlinks>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24" id="{C7133E0E-31D9-4493-B72E-5F5E299D1483}">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J51:J52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170A2FD5-6ED8-4F7C-B09C-845A930278AC}">
          <x14:formula1>
            <xm:f>Reference!$A$2:$A$13</xm:f>
          </x14:formula1>
          <xm:sqref>G16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A378F-041D-447C-86C3-6103A196C779}">
  <sheetPr codeName="Sheet7">
    <tabColor theme="4" tint="0.79998168889431442"/>
  </sheetPr>
  <dimension ref="A1:AH481"/>
  <sheetViews>
    <sheetView showGridLines="0" topLeftCell="D1" zoomScale="80" zoomScaleNormal="80" workbookViewId="0"/>
  </sheetViews>
  <sheetFormatPr baseColWidth="10" defaultColWidth="8.83203125" defaultRowHeight="15" zeroHeight="1"/>
  <cols>
    <col min="1" max="1" width="2.1640625" style="7" hidden="1" customWidth="1"/>
    <col min="2" max="2" width="33.1640625" style="7" hidden="1" customWidth="1"/>
    <col min="3" max="3" width="2.83203125" style="7" hidden="1" customWidth="1"/>
    <col min="4" max="5" width="2.1640625" style="236" customWidth="1"/>
    <col min="6" max="6" width="26.83203125" style="243" bestFit="1" customWidth="1"/>
    <col min="7" max="8" width="21.1640625" style="236" customWidth="1"/>
    <col min="9" max="9" width="12.5" style="265" customWidth="1"/>
    <col min="10" max="10" width="21.1640625" style="236" customWidth="1"/>
    <col min="11" max="11" width="12.5" style="265" customWidth="1"/>
    <col min="12" max="12" width="21.1640625" style="236" customWidth="1"/>
    <col min="13" max="13" width="2.1640625" style="236" customWidth="1"/>
    <col min="14" max="14" width="2.6640625" style="236" customWidth="1"/>
    <col min="15" max="15" width="12" style="236" customWidth="1"/>
    <col min="16" max="16" width="9.5" style="236" bestFit="1" customWidth="1"/>
    <col min="17" max="17" width="13.1640625" style="236" bestFit="1" customWidth="1"/>
    <col min="18" max="18" width="4.5" style="236" customWidth="1"/>
    <col min="19" max="19" width="3.1640625" style="236" customWidth="1"/>
    <col min="20" max="20" width="26.1640625" style="236" customWidth="1"/>
    <col min="21" max="21" width="14.83203125" style="114" bestFit="1" customWidth="1"/>
    <col min="22" max="22" width="4.33203125" style="114" customWidth="1"/>
    <col min="23" max="23" width="13.6640625" style="114" bestFit="1" customWidth="1"/>
    <col min="24" max="24" width="8.83203125" style="114" customWidth="1"/>
    <col min="25" max="25" width="5.83203125" style="114" customWidth="1"/>
    <col min="26" max="26" width="3.1640625" style="114" customWidth="1"/>
    <col min="27" max="27" width="9.1640625" style="114" customWidth="1"/>
    <col min="28" max="28" width="8.83203125" style="114"/>
    <col min="29" max="29" width="0" style="114" hidden="1" customWidth="1"/>
    <col min="30" max="16384" width="8.83203125" style="114"/>
  </cols>
  <sheetData>
    <row r="1" spans="1:30">
      <c r="A1" s="114"/>
      <c r="B1" s="114"/>
      <c r="C1" s="114"/>
      <c r="D1" s="114"/>
      <c r="E1" s="114"/>
      <c r="F1" s="118"/>
      <c r="G1" s="114"/>
      <c r="H1" s="114"/>
      <c r="I1" s="114"/>
      <c r="J1" s="114"/>
      <c r="K1" s="114"/>
      <c r="L1" s="114"/>
      <c r="M1" s="114"/>
      <c r="N1" s="114"/>
      <c r="O1" s="114"/>
      <c r="P1" s="114"/>
      <c r="Q1" s="114"/>
      <c r="R1" s="114"/>
      <c r="S1" s="114"/>
      <c r="T1" s="114"/>
    </row>
    <row r="2" spans="1:30">
      <c r="A2" s="114"/>
      <c r="B2" s="114"/>
      <c r="C2" s="114"/>
      <c r="D2" s="114"/>
      <c r="E2" s="114"/>
      <c r="F2" s="118"/>
      <c r="G2" s="114"/>
      <c r="H2" s="114"/>
      <c r="I2" s="114"/>
      <c r="J2" s="114"/>
      <c r="K2" s="114"/>
      <c r="L2" s="114"/>
      <c r="M2" s="114"/>
      <c r="N2" s="114"/>
      <c r="O2" s="114"/>
      <c r="P2" s="114"/>
      <c r="Q2" s="114"/>
      <c r="R2" s="114"/>
      <c r="S2" s="114"/>
      <c r="T2" s="114"/>
    </row>
    <row r="3" spans="1:30">
      <c r="A3" s="114"/>
      <c r="B3" s="114"/>
      <c r="C3" s="114"/>
      <c r="D3" s="114"/>
      <c r="E3" s="114"/>
      <c r="F3" s="118"/>
      <c r="G3" s="114"/>
      <c r="H3" s="114"/>
      <c r="I3" s="114"/>
      <c r="J3" s="114"/>
      <c r="K3" s="114"/>
      <c r="L3" s="114"/>
      <c r="M3" s="114"/>
      <c r="N3" s="114"/>
      <c r="O3" s="114"/>
      <c r="P3" s="114"/>
      <c r="Q3" s="114"/>
      <c r="R3" s="114"/>
      <c r="S3" s="114"/>
      <c r="T3" s="114"/>
    </row>
    <row r="4" spans="1:30">
      <c r="A4" s="114"/>
      <c r="B4" s="114"/>
      <c r="C4" s="114"/>
      <c r="D4" s="114"/>
      <c r="E4" s="114"/>
      <c r="F4" s="118"/>
      <c r="G4" s="114"/>
      <c r="H4" s="114"/>
      <c r="I4" s="114"/>
      <c r="J4" s="114"/>
      <c r="K4" s="114"/>
      <c r="L4" s="114"/>
      <c r="M4" s="114"/>
      <c r="N4" s="114"/>
      <c r="O4" s="114"/>
      <c r="P4" s="114"/>
      <c r="Q4" s="114"/>
      <c r="R4" s="114"/>
      <c r="S4" s="114"/>
      <c r="T4" s="114"/>
      <c r="AD4" s="236"/>
    </row>
    <row r="5" spans="1:30">
      <c r="A5" s="114"/>
      <c r="B5" s="114"/>
      <c r="C5" s="114"/>
      <c r="D5" s="114"/>
      <c r="E5" s="114"/>
      <c r="F5" s="118"/>
      <c r="G5" s="114"/>
      <c r="H5" s="114"/>
      <c r="I5" s="114"/>
      <c r="J5" s="114"/>
      <c r="K5" s="114"/>
      <c r="L5" s="114"/>
      <c r="M5" s="114"/>
      <c r="N5" s="114"/>
      <c r="O5" s="114"/>
      <c r="P5" s="114"/>
      <c r="Q5" s="114"/>
      <c r="R5" s="114"/>
      <c r="S5" s="114"/>
      <c r="T5" s="114"/>
      <c r="AD5" s="236"/>
    </row>
    <row r="6" spans="1:30" s="234" customFormat="1">
      <c r="F6" s="251"/>
      <c r="AD6" s="293"/>
    </row>
    <row r="7" spans="1:30" s="234" customFormat="1">
      <c r="A7" s="645"/>
      <c r="B7" s="645"/>
      <c r="C7" s="645"/>
      <c r="D7" s="293"/>
      <c r="E7" s="293"/>
      <c r="F7" s="294"/>
      <c r="G7" s="293"/>
      <c r="H7" s="293"/>
      <c r="I7" s="293"/>
      <c r="J7" s="293"/>
      <c r="K7" s="293"/>
      <c r="L7" s="293"/>
      <c r="M7" s="293"/>
      <c r="N7" s="293"/>
      <c r="O7" s="293"/>
      <c r="P7" s="293"/>
      <c r="Q7" s="293"/>
      <c r="R7" s="293"/>
      <c r="S7" s="293"/>
      <c r="T7" s="293"/>
      <c r="AD7" s="293"/>
    </row>
    <row r="8" spans="1:30" s="234" customFormat="1">
      <c r="A8" s="645"/>
      <c r="B8" s="645"/>
      <c r="C8" s="645"/>
      <c r="D8" s="293"/>
      <c r="E8" s="293"/>
      <c r="F8" s="294"/>
      <c r="G8" s="293"/>
      <c r="H8" s="293"/>
      <c r="I8" s="293"/>
      <c r="J8" s="293"/>
      <c r="K8" s="293"/>
      <c r="L8" s="293"/>
      <c r="M8" s="293"/>
      <c r="N8" s="293"/>
      <c r="O8" s="293"/>
      <c r="P8" s="293"/>
      <c r="Q8" s="293"/>
      <c r="R8" s="293"/>
      <c r="S8" s="293"/>
      <c r="T8" s="293"/>
      <c r="AD8" s="293"/>
    </row>
    <row r="9" spans="1:30" s="234" customFormat="1">
      <c r="A9" s="645"/>
      <c r="B9" s="645"/>
      <c r="C9" s="645"/>
      <c r="D9" s="293"/>
      <c r="E9" s="293"/>
      <c r="F9" s="294"/>
      <c r="G9" s="293"/>
      <c r="H9" s="293"/>
      <c r="I9" s="293"/>
      <c r="J9" s="293"/>
      <c r="K9" s="293"/>
      <c r="L9" s="293"/>
      <c r="M9" s="293"/>
      <c r="N9" s="293"/>
      <c r="O9" s="293"/>
      <c r="P9" s="293"/>
      <c r="Q9" s="293"/>
      <c r="R9" s="293"/>
      <c r="S9" s="293"/>
      <c r="T9" s="293"/>
      <c r="AD9" s="293"/>
    </row>
    <row r="10" spans="1:30" s="234" customFormat="1">
      <c r="A10" s="645"/>
      <c r="B10" s="645"/>
      <c r="C10" s="645"/>
      <c r="D10" s="293"/>
      <c r="E10" s="293"/>
      <c r="F10" s="294"/>
      <c r="G10" s="293"/>
      <c r="H10" s="293"/>
      <c r="I10" s="293"/>
      <c r="J10" s="293"/>
      <c r="K10" s="293"/>
      <c r="L10" s="293"/>
      <c r="M10" s="293"/>
      <c r="N10" s="293"/>
      <c r="O10" s="293"/>
      <c r="P10" s="293"/>
      <c r="Q10" s="293"/>
      <c r="R10" s="293"/>
      <c r="S10" s="293"/>
      <c r="T10" s="293"/>
      <c r="AD10" s="293"/>
    </row>
    <row r="11" spans="1:30" s="234" customFormat="1">
      <c r="A11" s="645"/>
      <c r="B11" s="645"/>
      <c r="C11" s="645"/>
      <c r="D11" s="293"/>
      <c r="E11" s="293"/>
      <c r="F11" s="294"/>
      <c r="G11" s="293"/>
      <c r="H11" s="293"/>
      <c r="I11" s="293"/>
      <c r="J11" s="293"/>
      <c r="K11" s="293"/>
      <c r="L11" s="293"/>
      <c r="M11" s="293"/>
      <c r="N11" s="293"/>
      <c r="O11" s="293"/>
      <c r="P11" s="293"/>
      <c r="Q11" s="293"/>
      <c r="R11" s="293"/>
      <c r="S11" s="293"/>
      <c r="T11" s="293"/>
      <c r="AD11" s="293"/>
    </row>
    <row r="12" spans="1:30" s="234" customFormat="1">
      <c r="A12" s="645"/>
      <c r="B12" s="645"/>
      <c r="C12" s="645"/>
      <c r="D12" s="293"/>
      <c r="E12" s="293"/>
      <c r="F12" s="294"/>
      <c r="G12" s="293"/>
      <c r="H12" s="293"/>
      <c r="I12" s="293"/>
      <c r="J12" s="293"/>
      <c r="K12" s="293"/>
      <c r="L12" s="293"/>
      <c r="M12" s="293"/>
      <c r="N12" s="293"/>
      <c r="O12" s="293"/>
      <c r="P12" s="293"/>
      <c r="Q12" s="293"/>
      <c r="R12" s="293"/>
      <c r="S12" s="293"/>
      <c r="T12" s="293"/>
      <c r="AD12" s="293"/>
    </row>
    <row r="13" spans="1:30" s="234" customFormat="1">
      <c r="A13" s="645"/>
      <c r="B13" s="645"/>
      <c r="C13" s="645"/>
      <c r="D13" s="293"/>
      <c r="E13" s="293"/>
      <c r="F13" s="294"/>
      <c r="G13" s="293"/>
      <c r="H13" s="293"/>
      <c r="I13" s="293"/>
      <c r="J13" s="293"/>
      <c r="K13" s="293"/>
      <c r="L13" s="293"/>
      <c r="M13" s="293"/>
      <c r="N13" s="293"/>
      <c r="O13" s="293"/>
      <c r="P13" s="293"/>
      <c r="Q13" s="293"/>
      <c r="R13" s="293"/>
      <c r="S13" s="293"/>
      <c r="T13" s="293"/>
      <c r="AD13" s="293"/>
    </row>
    <row r="14" spans="1:30" ht="19">
      <c r="D14" s="114"/>
      <c r="E14" s="114"/>
      <c r="F14" s="118"/>
      <c r="G14" s="147"/>
      <c r="H14" s="147"/>
      <c r="I14" s="147"/>
      <c r="J14" s="114"/>
      <c r="K14" s="114"/>
      <c r="L14" s="114"/>
      <c r="M14" s="114"/>
      <c r="N14" s="114"/>
      <c r="O14" s="114"/>
      <c r="P14" s="114"/>
      <c r="Q14" s="114"/>
      <c r="R14" s="114"/>
      <c r="S14" s="114"/>
      <c r="T14" s="114"/>
      <c r="W14" s="280" t="s">
        <v>258</v>
      </c>
      <c r="X14" s="280" t="s">
        <v>256</v>
      </c>
      <c r="Y14" s="337" t="s">
        <v>259</v>
      </c>
      <c r="Z14" s="337" t="s">
        <v>257</v>
      </c>
      <c r="AD14" s="236"/>
    </row>
    <row r="15" spans="1:30">
      <c r="A15" s="114"/>
      <c r="B15" s="114"/>
      <c r="C15" s="114"/>
      <c r="D15" s="114"/>
      <c r="E15" s="114"/>
      <c r="F15" s="114"/>
      <c r="G15" s="114"/>
      <c r="H15" s="114"/>
      <c r="I15" s="114"/>
      <c r="J15" s="114"/>
      <c r="K15" s="114"/>
      <c r="L15" s="114"/>
      <c r="M15" s="114"/>
      <c r="N15" s="114"/>
      <c r="O15" s="114"/>
      <c r="P15" s="114"/>
      <c r="Q15" s="114"/>
      <c r="R15" s="114"/>
      <c r="S15" s="114"/>
      <c r="T15" s="114"/>
    </row>
    <row r="16" spans="1:30" s="287" customFormat="1" ht="26.5" hidden="1" customHeight="1" thickBot="1">
      <c r="A16" s="286"/>
      <c r="B16" s="286"/>
      <c r="C16" s="286"/>
      <c r="E16" s="701">
        <v>1</v>
      </c>
      <c r="F16" s="646" t="s">
        <v>174</v>
      </c>
      <c r="G16" s="646" t="str">
        <f>'Dashboard Aifina'!G16</f>
        <v>October</v>
      </c>
      <c r="H16" s="646">
        <f>+VLOOKUP(G16,Reference!A2:B13,2,0)</f>
        <v>10</v>
      </c>
      <c r="I16" s="660">
        <v>2022</v>
      </c>
      <c r="J16" s="646">
        <v>2023</v>
      </c>
      <c r="AD16" s="563"/>
    </row>
    <row r="17" spans="1:27">
      <c r="D17" s="114"/>
      <c r="E17" s="114"/>
      <c r="F17" s="118"/>
      <c r="G17" s="114"/>
      <c r="H17" s="114"/>
      <c r="I17" s="264"/>
      <c r="J17" s="114"/>
      <c r="K17" s="264"/>
      <c r="L17" s="114"/>
      <c r="M17" s="114"/>
      <c r="N17" s="114"/>
      <c r="O17" s="114"/>
      <c r="P17" s="114"/>
      <c r="Q17" s="114"/>
      <c r="R17" s="114"/>
      <c r="S17" s="114"/>
      <c r="T17" s="114"/>
    </row>
    <row r="18" spans="1:27">
      <c r="A18" s="236"/>
      <c r="B18" s="236"/>
      <c r="C18" s="236"/>
      <c r="U18" s="236"/>
      <c r="V18" s="236"/>
      <c r="W18" s="236"/>
      <c r="X18" s="236"/>
      <c r="Y18" s="236"/>
      <c r="Z18" s="236"/>
      <c r="AA18" s="236"/>
    </row>
    <row r="19" spans="1:27" ht="18">
      <c r="E19" s="114"/>
      <c r="F19" s="118"/>
      <c r="G19" s="114"/>
      <c r="H19" s="114"/>
      <c r="I19" s="264"/>
      <c r="J19" s="114"/>
      <c r="K19" s="264"/>
      <c r="L19" s="114"/>
      <c r="M19" s="114"/>
      <c r="O19" s="335"/>
      <c r="P19" s="335"/>
      <c r="Q19" s="335"/>
      <c r="R19" s="114"/>
      <c r="T19" s="114"/>
      <c r="W19" s="236"/>
      <c r="X19" s="236"/>
      <c r="Y19" s="236"/>
      <c r="Z19" s="236"/>
      <c r="AA19" s="236"/>
    </row>
    <row r="20" spans="1:27" s="204" customFormat="1" ht="21" customHeight="1">
      <c r="A20" s="241"/>
      <c r="B20" s="241"/>
      <c r="C20" s="241"/>
      <c r="D20" s="244"/>
      <c r="E20" s="252"/>
      <c r="G20" s="409" t="s">
        <v>348</v>
      </c>
      <c r="H20" s="409" t="s">
        <v>347</v>
      </c>
      <c r="I20" s="472" t="s">
        <v>349</v>
      </c>
      <c r="J20" s="409" t="s">
        <v>178</v>
      </c>
      <c r="K20" s="472" t="s">
        <v>349</v>
      </c>
      <c r="L20" s="409" t="s">
        <v>297</v>
      </c>
      <c r="M20" s="258"/>
      <c r="N20" s="289"/>
      <c r="O20" s="471"/>
      <c r="P20" s="277" t="s">
        <v>254</v>
      </c>
      <c r="Q20" s="277" t="s">
        <v>255</v>
      </c>
      <c r="R20" s="114"/>
      <c r="S20" s="236"/>
      <c r="T20" s="486"/>
      <c r="W20" s="244"/>
      <c r="X20" s="244"/>
      <c r="Y20" s="244"/>
      <c r="Z20" s="244"/>
      <c r="AA20" s="244"/>
    </row>
    <row r="21" spans="1:27" ht="24.5" customHeight="1" thickBot="1">
      <c r="B21" s="420" t="s">
        <v>163</v>
      </c>
      <c r="E21" s="234"/>
      <c r="F21" s="391" t="s">
        <v>98</v>
      </c>
      <c r="G21" s="481">
        <f>-SUMIFS('Jounal entries final'!$H:$H,'Jounal entries final'!$E:$E,F21,'Jounal entries final'!$B:$B,H16,'Jounal entries final'!$C:$C,'Executive summary'!$I$16)</f>
        <v>11353191</v>
      </c>
      <c r="H21" s="481">
        <f>-SUMIFS('Jounal entries final'!$H:$H,'Jounal entries final'!$E:$E,F21,'Jounal entries final'!$B:$B,H16-1,'Jounal entries final'!$C:$C,'Financial statement 1 P&amp;L'!$G$3)</f>
        <v>11487586</v>
      </c>
      <c r="I21" s="482">
        <f>(G21-H21)/H21</f>
        <v>-1.1699150718001153E-2</v>
      </c>
      <c r="J21" s="481">
        <f>INDEX('P&amp;L Budget'!D23:O23,MATCH('Executive summary'!H16,'P&amp;L Budget'!D16:O16,0))</f>
        <v>11224834</v>
      </c>
      <c r="K21" s="482">
        <f>(G21-J21)/J21</f>
        <v>1.1435091155913754E-2</v>
      </c>
      <c r="L21" s="481">
        <f ca="1">SUM(Selected_revenue)</f>
        <v>121227538</v>
      </c>
      <c r="M21" s="253"/>
      <c r="N21" s="248"/>
      <c r="O21" s="409" t="s">
        <v>160</v>
      </c>
      <c r="P21" s="475">
        <f>INDEX('Working Capital'!$G$11:$R$11,MATCH('Executive summary'!$H$16,'Working Capital'!$G$1:$R$1,0))</f>
        <v>68.614582982194293</v>
      </c>
      <c r="Q21" s="475">
        <f>INDEX('Working Capital'!$G$11:$R$11,MATCH('Executive summary'!$H$16-1,'Working Capital'!$G$1:$R$1,0))</f>
        <v>80.270290522238199</v>
      </c>
      <c r="R21" s="474"/>
      <c r="S21" s="473"/>
      <c r="T21" s="409" t="s">
        <v>313</v>
      </c>
      <c r="U21" s="481">
        <f>'Fomulas ExecSum'!B94</f>
        <v>13359562.732000001</v>
      </c>
      <c r="V21" s="474"/>
      <c r="W21" s="473"/>
      <c r="X21" s="473"/>
      <c r="Y21" s="473"/>
      <c r="Z21" s="236"/>
      <c r="AA21" s="236"/>
    </row>
    <row r="22" spans="1:27" ht="24.5" customHeight="1" thickBot="1">
      <c r="B22" s="240"/>
      <c r="E22" s="234"/>
      <c r="F22" s="391" t="s">
        <v>241</v>
      </c>
      <c r="G22" s="483">
        <f>INDEX('Last 12M'!$G$12:$R$12,MATCH('Executive summary'!$H$16,'Last 12M'!$G$1:$R$1,0))</f>
        <v>0.26388525234887711</v>
      </c>
      <c r="H22" s="483">
        <f>INDEX('Last 12M'!$G$12:$R$12,MATCH('Executive summary'!$H$16-1,'Last 12M'!$G$1:$R$1,0))</f>
        <v>0.28638821785534407</v>
      </c>
      <c r="I22" s="482">
        <f t="shared" ref="I22:I24" si="0">(G22-H22)/H22</f>
        <v>-7.8575039416716896E-2</v>
      </c>
      <c r="J22" s="483">
        <f>INDEX('P&amp;L Budget'!D27:O27,MATCH('Executive summary'!$H$16,'P&amp;L Budget'!$D$16:$O$16,0))</f>
        <v>0.25194296859980292</v>
      </c>
      <c r="K22" s="482">
        <f t="shared" ref="K22:K23" si="1">(G22-J22)/J22</f>
        <v>4.7400742380089317E-2</v>
      </c>
      <c r="L22" s="483">
        <f ca="1">SUM(Margin)/SUM(Selected_revenue)</f>
        <v>0.25696186584272623</v>
      </c>
      <c r="M22" s="253"/>
      <c r="O22" s="409" t="s">
        <v>161</v>
      </c>
      <c r="P22" s="476">
        <f>INDEX('Working Capital'!$G$16:$R$16,MATCH('Executive summary'!$H$16,'Working Capital'!$G$1:$R$1,0))</f>
        <v>22.538998297104317</v>
      </c>
      <c r="Q22" s="476">
        <f>INDEX('Working Capital'!$G$16:$R$16,MATCH('Executive summary'!$H$16-1,'Working Capital'!$G$1:$R$1,0))</f>
        <v>19.663390809157995</v>
      </c>
      <c r="R22" s="474"/>
      <c r="S22" s="473"/>
      <c r="T22" s="409" t="s">
        <v>354</v>
      </c>
      <c r="U22" s="481">
        <f>'Fomulas ExecSum'!B96</f>
        <v>10000000</v>
      </c>
      <c r="V22" s="474"/>
      <c r="W22" s="473"/>
      <c r="X22" s="473"/>
      <c r="Y22" s="473"/>
      <c r="Z22" s="236"/>
      <c r="AA22" s="236"/>
    </row>
    <row r="23" spans="1:27" ht="24.5" customHeight="1" thickBot="1">
      <c r="E23" s="234"/>
      <c r="F23" s="391" t="s">
        <v>182</v>
      </c>
      <c r="G23" s="481">
        <f>INDEX('Last 12M'!$G$17:$R$17,MATCH('Executive summary'!$H$16,'Last 12M'!$G$1:$R$1,0))</f>
        <v>338850.67200000025</v>
      </c>
      <c r="H23" s="481">
        <f>INDEX('Last 12M'!$G$17:$R$17,MATCH('Executive summary'!$H$16-1,'Last 12M'!$G$1:$R$1,0))</f>
        <v>796945.28200000059</v>
      </c>
      <c r="I23" s="482">
        <f t="shared" si="0"/>
        <v>-0.57481312750904767</v>
      </c>
      <c r="J23" s="481">
        <f>INDEX('P&amp;L Budget'!D33:O33,MATCH('Executive summary'!$H$16,'P&amp;L Budget'!$D$16:$O$16,0))</f>
        <v>170929</v>
      </c>
      <c r="K23" s="482">
        <f t="shared" si="1"/>
        <v>0.98240598143088798</v>
      </c>
      <c r="L23" s="481">
        <f ca="1">SUM(EBITDA)</f>
        <v>5336081.3559999997</v>
      </c>
      <c r="M23" s="253"/>
      <c r="O23" s="409" t="s">
        <v>162</v>
      </c>
      <c r="P23" s="476">
        <f>INDEX('Working Capital'!$G$22:$R$22,MATCH('Executive summary'!$H$16,'Working Capital'!$G$1:$R$1,0))</f>
        <v>108.68206382480858</v>
      </c>
      <c r="Q23" s="476">
        <f>INDEX('Working Capital'!$G$22:$R$22,MATCH('Executive summary'!$H$16-1,'Working Capital'!$G$1:$R$1,0))</f>
        <v>79.692931179505024</v>
      </c>
      <c r="R23" s="474"/>
      <c r="S23" s="473"/>
      <c r="T23" s="409" t="s">
        <v>355</v>
      </c>
      <c r="U23" s="574">
        <v>5.7000000000000002E-2</v>
      </c>
      <c r="V23" s="474"/>
      <c r="W23" s="473"/>
      <c r="X23" s="473"/>
      <c r="Y23" s="473"/>
      <c r="Z23" s="236"/>
      <c r="AA23" s="236"/>
    </row>
    <row r="24" spans="1:27" ht="24.5" customHeight="1" thickBot="1">
      <c r="B24" s="240"/>
      <c r="E24" s="234"/>
      <c r="F24" s="391" t="s">
        <v>320</v>
      </c>
      <c r="G24" s="481">
        <f>HLOOKUP(H16,'LTM P&amp;L'!$D$17:$P$39,23,0)</f>
        <v>328481.67200000025</v>
      </c>
      <c r="H24" s="481">
        <f>INDEX('LTM P&amp;L'!D39:O39,MATCH('Executive summary'!$H$16-1,'Last 12M'!$G$1:$R$1,0))</f>
        <v>806631.28200000059</v>
      </c>
      <c r="I24" s="482">
        <f t="shared" si="0"/>
        <v>-0.5927734525921845</v>
      </c>
      <c r="J24" s="481">
        <f>INDEX('P&amp;L Budget'!D38:O38,MATCH('Executive summary'!$H$16,'P&amp;L Budget'!$D$16:$O$16,0))</f>
        <v>160560</v>
      </c>
      <c r="K24" s="482">
        <f>(G24-J24)/J24</f>
        <v>1.0458499750871963</v>
      </c>
      <c r="L24" s="481">
        <f ca="1">SUM(Net_result)</f>
        <v>5354600.3559999997</v>
      </c>
      <c r="M24" s="253"/>
      <c r="O24" s="409" t="s">
        <v>350</v>
      </c>
      <c r="P24" s="477">
        <f>SUM(P21:P22)-P23</f>
        <v>-17.528482545509974</v>
      </c>
      <c r="Q24" s="477">
        <f>SUM(Q21:Q22)-Q23</f>
        <v>20.240750151891177</v>
      </c>
      <c r="R24" s="474"/>
      <c r="S24" s="473"/>
      <c r="T24" s="409" t="s">
        <v>356</v>
      </c>
      <c r="U24" s="481">
        <v>10000000</v>
      </c>
      <c r="V24" s="474"/>
      <c r="W24" s="473"/>
      <c r="X24" s="473"/>
      <c r="Y24" s="473"/>
      <c r="Z24" s="236"/>
      <c r="AA24" s="236"/>
    </row>
    <row r="25" spans="1:27" ht="19">
      <c r="B25" s="240"/>
      <c r="E25" s="234"/>
      <c r="F25" s="118"/>
      <c r="G25" s="114"/>
      <c r="H25" s="114"/>
      <c r="I25" s="264"/>
      <c r="J25" s="114"/>
      <c r="K25" s="479"/>
      <c r="L25" s="114"/>
      <c r="M25" s="114"/>
      <c r="N25" s="249"/>
      <c r="O25" s="114"/>
      <c r="P25" s="114"/>
      <c r="Q25" s="114"/>
      <c r="R25" s="474"/>
      <c r="S25" s="473"/>
      <c r="T25" s="114"/>
      <c r="V25" s="474"/>
      <c r="W25" s="473"/>
      <c r="X25" s="473"/>
      <c r="Y25" s="473"/>
      <c r="Z25" s="236"/>
      <c r="AA25" s="236"/>
    </row>
    <row r="26" spans="1:27" ht="19">
      <c r="E26" s="293"/>
      <c r="F26" s="246"/>
      <c r="G26" s="247"/>
      <c r="H26" s="248"/>
      <c r="I26" s="480"/>
      <c r="J26" s="293"/>
      <c r="K26" s="480"/>
      <c r="U26" s="236"/>
      <c r="V26" s="236"/>
      <c r="W26" s="236"/>
      <c r="X26" s="236"/>
      <c r="Y26" s="236"/>
      <c r="Z26" s="236"/>
      <c r="AA26" s="236"/>
    </row>
    <row r="27" spans="1:27" ht="19.25" customHeight="1">
      <c r="B27" s="240"/>
      <c r="E27" s="114"/>
      <c r="F27" s="487" t="s">
        <v>357</v>
      </c>
      <c r="G27" s="124"/>
      <c r="H27" s="114"/>
      <c r="I27" s="264"/>
      <c r="J27" s="114"/>
      <c r="K27" s="264"/>
      <c r="L27" s="114"/>
      <c r="M27" s="114"/>
      <c r="O27" s="487" t="s">
        <v>358</v>
      </c>
      <c r="P27" s="114"/>
      <c r="Q27" s="114"/>
      <c r="R27" s="114"/>
      <c r="S27" s="114"/>
      <c r="T27" s="114"/>
      <c r="Z27" s="236"/>
      <c r="AA27" s="236"/>
    </row>
    <row r="28" spans="1:27" ht="18" customHeight="1">
      <c r="A28" s="236"/>
      <c r="B28" s="469"/>
      <c r="C28" s="236"/>
      <c r="E28" s="234"/>
      <c r="F28" s="764" t="str">
        <f>+HLOOKUP(H16,'Executive Summary comments'!$B$9:$M$19,9,0)</f>
        <v>Revenue declined slightly by 1.17%, with a 450K$ loss from Client 4 partially offset by recovery in Client 10. Margins dropped by 4%, with cost efficiencies contributing +26% to mitigate further losses. DSO dropped to 69 days, showing improvement in collections, but DIO worsened to 13.9, indicating even more capital tied up in inventory. DPO remained extended to manage cash flow.</v>
      </c>
      <c r="G28" s="764"/>
      <c r="H28" s="764"/>
      <c r="I28" s="764"/>
      <c r="J28" s="764"/>
      <c r="K28" s="764"/>
      <c r="L28" s="764"/>
      <c r="M28" s="114"/>
      <c r="O28" s="763" t="str">
        <f>CONCATENATE(HLOOKUP(H16,'Executive Summary comments'!$B$9:$M$19,11,0),CHAR(10),HLOOKUP(H16,'Executive Summary comments'!$B$9:$M$19,10,0))</f>
        <v>October’s rolling trends show a slight improvement in collections (DSO), but DIO continues to worsen, tying up even more cash. The company’s inability to efficiently manage inventory turnover is becoming a major barrier to liquidity. The rolling pattern indicates that improvements in revenue are being overshadowed by working capital challenges.
The slight revenue decline reflects the ongoing volatility in key clients like Client 4. Focus on stabilizing smaller clients while continuing to scale new clients. The drop in DSO is positive—ensure consistent collections efforts to maintain this improvement. DIO’s rise to 13.9 is now a severe concern. Accelerate inventory reduction efforts and align production more closely with demand to prevent future liquidity issues.</v>
      </c>
      <c r="P28" s="763"/>
      <c r="Q28" s="763"/>
      <c r="R28" s="763"/>
      <c r="S28" s="763"/>
      <c r="T28" s="763"/>
      <c r="U28" s="763"/>
      <c r="V28" s="763"/>
      <c r="W28" s="763"/>
      <c r="X28" s="763"/>
      <c r="Y28" s="763"/>
      <c r="Z28" s="236"/>
      <c r="AA28" s="236"/>
    </row>
    <row r="29" spans="1:27" ht="22">
      <c r="A29" s="236"/>
      <c r="B29" s="236"/>
      <c r="C29" s="236"/>
      <c r="E29" s="252"/>
      <c r="F29" s="764"/>
      <c r="G29" s="764"/>
      <c r="H29" s="764"/>
      <c r="I29" s="764"/>
      <c r="J29" s="764"/>
      <c r="K29" s="764"/>
      <c r="L29" s="764"/>
      <c r="M29" s="114"/>
      <c r="O29" s="763"/>
      <c r="P29" s="763"/>
      <c r="Q29" s="763"/>
      <c r="R29" s="763"/>
      <c r="S29" s="763"/>
      <c r="T29" s="763"/>
      <c r="U29" s="763"/>
      <c r="V29" s="763"/>
      <c r="W29" s="763"/>
      <c r="X29" s="763"/>
      <c r="Y29" s="763"/>
      <c r="Z29" s="244"/>
      <c r="AA29" s="236"/>
    </row>
    <row r="30" spans="1:27" ht="33.5" customHeight="1">
      <c r="A30" s="236"/>
      <c r="B30" s="469"/>
      <c r="C30" s="236"/>
      <c r="E30" s="234"/>
      <c r="F30" s="764"/>
      <c r="G30" s="764"/>
      <c r="H30" s="764"/>
      <c r="I30" s="764"/>
      <c r="J30" s="764"/>
      <c r="K30" s="764"/>
      <c r="L30" s="764"/>
      <c r="M30" s="114"/>
      <c r="O30" s="763"/>
      <c r="P30" s="763"/>
      <c r="Q30" s="763"/>
      <c r="R30" s="763"/>
      <c r="S30" s="763"/>
      <c r="T30" s="763"/>
      <c r="U30" s="763"/>
      <c r="V30" s="763"/>
      <c r="W30" s="763"/>
      <c r="X30" s="763"/>
      <c r="Y30" s="763"/>
      <c r="Z30" s="236"/>
      <c r="AA30" s="236"/>
    </row>
    <row r="31" spans="1:27" ht="18" customHeight="1">
      <c r="A31" s="236"/>
      <c r="B31" s="236"/>
      <c r="C31" s="236"/>
      <c r="E31" s="234"/>
      <c r="F31" s="764"/>
      <c r="G31" s="764"/>
      <c r="H31" s="764"/>
      <c r="I31" s="764"/>
      <c r="J31" s="764"/>
      <c r="K31" s="764"/>
      <c r="L31" s="764"/>
      <c r="M31" s="114"/>
      <c r="O31" s="763"/>
      <c r="P31" s="763"/>
      <c r="Q31" s="763"/>
      <c r="R31" s="763"/>
      <c r="S31" s="763"/>
      <c r="T31" s="763"/>
      <c r="U31" s="763"/>
      <c r="V31" s="763"/>
      <c r="W31" s="763"/>
      <c r="X31" s="763"/>
      <c r="Y31" s="763"/>
      <c r="Z31" s="236"/>
      <c r="AA31" s="236"/>
    </row>
    <row r="32" spans="1:27" ht="19">
      <c r="A32" s="236"/>
      <c r="B32" s="469"/>
      <c r="C32" s="236"/>
      <c r="E32" s="234"/>
      <c r="F32" s="764"/>
      <c r="G32" s="764"/>
      <c r="H32" s="764"/>
      <c r="I32" s="764"/>
      <c r="J32" s="764"/>
      <c r="K32" s="764"/>
      <c r="L32" s="764"/>
      <c r="M32" s="114"/>
      <c r="O32" s="763"/>
      <c r="P32" s="763"/>
      <c r="Q32" s="763"/>
      <c r="R32" s="763"/>
      <c r="S32" s="763"/>
      <c r="T32" s="763"/>
      <c r="U32" s="763"/>
      <c r="V32" s="763"/>
      <c r="W32" s="763"/>
      <c r="X32" s="763"/>
      <c r="Y32" s="763"/>
      <c r="Z32" s="236"/>
      <c r="AA32" s="236"/>
    </row>
    <row r="33" spans="1:27" ht="18" customHeight="1">
      <c r="A33" s="236"/>
      <c r="B33" s="236"/>
      <c r="C33" s="236"/>
      <c r="E33" s="234"/>
      <c r="F33" s="764"/>
      <c r="G33" s="764"/>
      <c r="H33" s="764"/>
      <c r="I33" s="764"/>
      <c r="J33" s="764"/>
      <c r="K33" s="764"/>
      <c r="L33" s="764"/>
      <c r="M33" s="114"/>
      <c r="O33" s="763"/>
      <c r="P33" s="763"/>
      <c r="Q33" s="763"/>
      <c r="R33" s="763"/>
      <c r="S33" s="763"/>
      <c r="T33" s="763"/>
      <c r="U33" s="763"/>
      <c r="V33" s="763"/>
      <c r="W33" s="763"/>
      <c r="X33" s="763"/>
      <c r="Y33" s="763"/>
      <c r="Z33" s="236"/>
      <c r="AA33" s="236"/>
    </row>
    <row r="34" spans="1:27" ht="19">
      <c r="A34" s="236"/>
      <c r="B34" s="469"/>
      <c r="C34" s="236"/>
      <c r="E34" s="293"/>
      <c r="F34" s="249"/>
      <c r="H34" s="422"/>
      <c r="I34" s="750"/>
      <c r="J34" s="750"/>
      <c r="K34" s="480"/>
      <c r="R34" s="473"/>
      <c r="S34" s="473"/>
      <c r="T34" s="473"/>
      <c r="U34" s="473"/>
      <c r="V34" s="473"/>
      <c r="W34" s="473"/>
      <c r="X34" s="473"/>
      <c r="Y34" s="473"/>
      <c r="Z34" s="236"/>
      <c r="AA34" s="236"/>
    </row>
    <row r="35" spans="1:27" ht="19">
      <c r="A35" s="236"/>
      <c r="B35" s="469"/>
      <c r="C35" s="236"/>
      <c r="F35" s="245"/>
      <c r="G35" s="250"/>
      <c r="U35" s="236"/>
      <c r="V35" s="236"/>
      <c r="W35" s="236"/>
      <c r="X35" s="236"/>
      <c r="Y35" s="236"/>
      <c r="Z35" s="236"/>
      <c r="AA35" s="236"/>
    </row>
    <row r="36" spans="1:27" ht="19.25" customHeight="1">
      <c r="A36" s="236"/>
      <c r="B36" s="236"/>
      <c r="C36" s="236"/>
      <c r="F36" s="245"/>
      <c r="G36" s="250"/>
      <c r="U36" s="236"/>
      <c r="V36" s="236"/>
      <c r="W36" s="236"/>
      <c r="X36" s="236"/>
      <c r="Y36" s="236"/>
      <c r="Z36" s="236"/>
      <c r="AA36" s="236"/>
    </row>
    <row r="37" spans="1:27" ht="19">
      <c r="A37" s="236"/>
      <c r="B37" s="469"/>
      <c r="C37" s="236"/>
      <c r="E37" s="293"/>
      <c r="F37" s="294"/>
      <c r="G37" s="293"/>
      <c r="H37" s="293"/>
      <c r="I37" s="480"/>
      <c r="J37" s="752"/>
      <c r="K37" s="752"/>
      <c r="U37" s="236"/>
      <c r="V37" s="236"/>
      <c r="W37" s="236"/>
      <c r="X37" s="236"/>
      <c r="Y37" s="236"/>
      <c r="Z37" s="236"/>
      <c r="AA37" s="236"/>
    </row>
    <row r="38" spans="1:27" ht="22">
      <c r="A38" s="236"/>
      <c r="B38" s="469"/>
      <c r="C38" s="236"/>
      <c r="E38" s="295"/>
      <c r="I38" s="480"/>
      <c r="J38" s="293"/>
      <c r="K38" s="480"/>
      <c r="U38" s="236"/>
      <c r="V38" s="236"/>
      <c r="W38" s="236"/>
      <c r="X38" s="236"/>
      <c r="Y38" s="236"/>
      <c r="Z38" s="236"/>
      <c r="AA38" s="236"/>
    </row>
    <row r="39" spans="1:27" ht="19">
      <c r="A39" s="236"/>
      <c r="B39" s="469"/>
      <c r="C39" s="236"/>
      <c r="E39" s="293"/>
      <c r="K39" s="480"/>
      <c r="U39" s="236"/>
      <c r="V39" s="236"/>
      <c r="W39" s="236"/>
      <c r="X39" s="236"/>
      <c r="Y39" s="236"/>
      <c r="Z39" s="236"/>
      <c r="AA39" s="236"/>
    </row>
    <row r="40" spans="1:27" ht="19">
      <c r="A40" s="236"/>
      <c r="B40" s="469"/>
      <c r="C40" s="236"/>
      <c r="E40" s="293"/>
      <c r="K40" s="480"/>
      <c r="U40" s="236"/>
      <c r="V40" s="236"/>
      <c r="W40" s="236"/>
      <c r="X40" s="236"/>
      <c r="Y40" s="236"/>
      <c r="Z40" s="236"/>
      <c r="AA40" s="236"/>
    </row>
    <row r="41" spans="1:27" ht="19">
      <c r="A41" s="236"/>
      <c r="B41" s="469"/>
      <c r="C41" s="236"/>
      <c r="E41" s="293"/>
      <c r="K41" s="480"/>
      <c r="U41" s="236"/>
      <c r="V41" s="236"/>
      <c r="W41" s="236"/>
      <c r="X41" s="236"/>
      <c r="Y41" s="236"/>
      <c r="Z41" s="236"/>
      <c r="AA41" s="236"/>
    </row>
    <row r="42" spans="1:27" ht="19">
      <c r="A42" s="236"/>
      <c r="B42" s="469"/>
      <c r="C42" s="236"/>
      <c r="E42" s="293"/>
      <c r="K42" s="480"/>
      <c r="U42" s="236"/>
      <c r="V42" s="236"/>
      <c r="W42" s="236"/>
      <c r="X42" s="236"/>
      <c r="Y42" s="236"/>
      <c r="Z42" s="236"/>
      <c r="AA42" s="236"/>
    </row>
    <row r="43" spans="1:27" ht="19">
      <c r="A43" s="236"/>
      <c r="B43" s="469"/>
      <c r="C43" s="236"/>
      <c r="E43" s="293"/>
      <c r="K43" s="480"/>
      <c r="U43" s="236"/>
      <c r="V43" s="236"/>
      <c r="W43" s="236"/>
      <c r="X43" s="236"/>
      <c r="Y43" s="236"/>
      <c r="Z43" s="236"/>
      <c r="AA43" s="236"/>
    </row>
    <row r="44" spans="1:27" ht="19">
      <c r="A44" s="236"/>
      <c r="B44" s="469"/>
      <c r="C44" s="236"/>
      <c r="F44" s="245"/>
      <c r="G44" s="250"/>
      <c r="U44" s="236"/>
      <c r="V44" s="236"/>
      <c r="W44" s="236"/>
      <c r="X44" s="236"/>
      <c r="Y44" s="236"/>
      <c r="Z44" s="236"/>
      <c r="AA44" s="236"/>
    </row>
    <row r="45" spans="1:27" ht="19.25" customHeight="1">
      <c r="A45" s="236"/>
      <c r="B45" s="236"/>
      <c r="C45" s="236"/>
      <c r="F45" s="245"/>
      <c r="G45" s="250"/>
      <c r="U45" s="236"/>
      <c r="V45" s="236"/>
      <c r="W45" s="236"/>
      <c r="X45" s="236"/>
      <c r="Y45" s="236"/>
      <c r="Z45" s="236"/>
      <c r="AA45" s="236"/>
    </row>
    <row r="46" spans="1:27" ht="18" customHeight="1">
      <c r="A46" s="236"/>
      <c r="B46" s="469"/>
      <c r="C46" s="236"/>
      <c r="E46" s="293"/>
      <c r="F46" s="294"/>
      <c r="G46" s="293"/>
      <c r="H46" s="293"/>
      <c r="I46" s="480"/>
      <c r="J46" s="752"/>
      <c r="K46" s="752"/>
      <c r="R46" s="765"/>
      <c r="S46" s="765"/>
      <c r="T46" s="765"/>
      <c r="U46" s="236"/>
      <c r="V46" s="236"/>
      <c r="W46" s="236"/>
      <c r="X46" s="236"/>
      <c r="Y46" s="236"/>
      <c r="Z46" s="236"/>
      <c r="AA46" s="236"/>
    </row>
    <row r="47" spans="1:27" ht="22">
      <c r="A47" s="236"/>
      <c r="B47" s="236"/>
      <c r="C47" s="236"/>
      <c r="E47" s="295"/>
      <c r="G47" s="470"/>
      <c r="H47" s="470"/>
      <c r="I47" s="480"/>
      <c r="J47" s="293"/>
      <c r="K47" s="480"/>
      <c r="T47" s="244"/>
      <c r="U47" s="244"/>
      <c r="V47" s="244"/>
      <c r="W47" s="244"/>
      <c r="X47" s="244"/>
      <c r="Y47" s="244"/>
      <c r="Z47" s="244"/>
      <c r="AA47" s="236"/>
    </row>
    <row r="48" spans="1:27" ht="33.5" customHeight="1">
      <c r="A48" s="236"/>
      <c r="B48" s="469"/>
      <c r="C48" s="236"/>
      <c r="E48" s="293"/>
      <c r="G48" s="289"/>
      <c r="H48" s="289"/>
      <c r="I48" s="480"/>
      <c r="J48" s="296"/>
      <c r="K48" s="480"/>
      <c r="R48" s="768"/>
      <c r="S48" s="768"/>
      <c r="T48" s="768"/>
      <c r="U48" s="768"/>
      <c r="V48" s="768"/>
      <c r="W48" s="768"/>
      <c r="X48" s="768"/>
      <c r="Y48" s="768"/>
      <c r="Z48" s="236"/>
      <c r="AA48" s="236"/>
    </row>
    <row r="49" spans="1:34" ht="19">
      <c r="A49" s="236"/>
      <c r="B49" s="236"/>
      <c r="C49" s="236"/>
      <c r="E49" s="293"/>
      <c r="F49" s="249"/>
      <c r="G49" s="769"/>
      <c r="H49" s="769"/>
      <c r="I49" s="480"/>
      <c r="J49" s="293"/>
      <c r="K49" s="480"/>
      <c r="R49" s="768"/>
      <c r="S49" s="768"/>
      <c r="T49" s="768"/>
      <c r="U49" s="768"/>
      <c r="V49" s="768"/>
      <c r="W49" s="768"/>
      <c r="X49" s="768"/>
      <c r="Y49" s="768"/>
      <c r="Z49" s="236"/>
      <c r="AA49" s="236"/>
    </row>
    <row r="50" spans="1:34" ht="19">
      <c r="A50" s="236"/>
      <c r="B50" s="469"/>
      <c r="C50" s="236"/>
      <c r="E50" s="293"/>
      <c r="I50" s="750"/>
      <c r="J50" s="750"/>
      <c r="K50" s="480"/>
      <c r="R50" s="768"/>
      <c r="S50" s="768"/>
      <c r="T50" s="768"/>
      <c r="U50" s="768"/>
      <c r="V50" s="768"/>
      <c r="W50" s="768"/>
      <c r="X50" s="768"/>
      <c r="Y50" s="768"/>
      <c r="Z50" s="236"/>
      <c r="AA50" s="236"/>
    </row>
    <row r="51" spans="1:34" ht="19">
      <c r="A51" s="236"/>
      <c r="B51" s="236"/>
      <c r="C51" s="236"/>
      <c r="E51" s="293"/>
      <c r="I51" s="750"/>
      <c r="J51" s="750"/>
      <c r="K51" s="480"/>
      <c r="R51" s="768"/>
      <c r="S51" s="768"/>
      <c r="T51" s="768"/>
      <c r="U51" s="768"/>
      <c r="V51" s="768"/>
      <c r="W51" s="768"/>
      <c r="X51" s="768"/>
      <c r="Y51" s="768"/>
      <c r="Z51" s="236"/>
      <c r="AA51" s="236"/>
    </row>
    <row r="52" spans="1:34" ht="19">
      <c r="A52" s="236"/>
      <c r="B52" s="469"/>
      <c r="C52" s="236"/>
      <c r="E52" s="293"/>
      <c r="I52" s="750"/>
      <c r="J52" s="750"/>
      <c r="K52" s="480"/>
      <c r="R52" s="768"/>
      <c r="S52" s="768"/>
      <c r="T52" s="768"/>
      <c r="U52" s="768"/>
      <c r="V52" s="768"/>
      <c r="W52" s="768"/>
      <c r="X52" s="768"/>
      <c r="Y52" s="768"/>
      <c r="Z52" s="236"/>
      <c r="AA52" s="236"/>
    </row>
    <row r="53" spans="1:34">
      <c r="A53" s="236"/>
      <c r="B53" s="236"/>
      <c r="C53" s="236"/>
      <c r="F53" s="245"/>
      <c r="G53" s="250"/>
      <c r="U53" s="236"/>
      <c r="V53" s="236"/>
      <c r="W53" s="236"/>
      <c r="X53" s="236"/>
      <c r="Y53" s="236"/>
      <c r="Z53" s="236"/>
      <c r="AA53" s="236"/>
    </row>
    <row r="54" spans="1:34" ht="19">
      <c r="B54" s="240"/>
      <c r="U54" s="236"/>
      <c r="V54" s="236"/>
      <c r="W54" s="236"/>
      <c r="X54" s="236"/>
      <c r="Y54" s="236"/>
      <c r="Z54" s="236"/>
      <c r="AA54" s="236"/>
    </row>
    <row r="55" spans="1:34" ht="18" customHeight="1">
      <c r="E55" s="293"/>
      <c r="F55" s="294"/>
      <c r="G55" s="293"/>
      <c r="H55" s="293"/>
      <c r="I55" s="480"/>
      <c r="J55" s="767"/>
      <c r="K55" s="767"/>
      <c r="R55" s="765"/>
      <c r="S55" s="765"/>
      <c r="T55" s="765"/>
      <c r="U55" s="236"/>
      <c r="V55" s="236"/>
      <c r="W55" s="236"/>
      <c r="X55" s="236"/>
      <c r="Y55" s="236"/>
      <c r="Z55" s="236"/>
      <c r="AA55" s="236"/>
      <c r="AB55" s="234"/>
      <c r="AC55" s="251"/>
      <c r="AD55" s="234"/>
      <c r="AE55" s="234"/>
      <c r="AF55" s="234"/>
      <c r="AG55" s="762"/>
      <c r="AH55" s="762"/>
    </row>
    <row r="56" spans="1:34" ht="22">
      <c r="E56" s="295"/>
      <c r="F56" s="765"/>
      <c r="G56" s="765"/>
      <c r="H56" s="765"/>
      <c r="I56" s="480"/>
      <c r="J56" s="293"/>
      <c r="K56" s="480"/>
      <c r="T56" s="244"/>
      <c r="U56" s="244"/>
      <c r="V56" s="244"/>
      <c r="W56" s="244"/>
      <c r="X56" s="244"/>
      <c r="Y56" s="244"/>
      <c r="Z56" s="244"/>
      <c r="AA56" s="236"/>
      <c r="AB56" s="252"/>
      <c r="AC56" s="766"/>
      <c r="AD56" s="766"/>
      <c r="AE56" s="766"/>
      <c r="AF56" s="234"/>
      <c r="AG56" s="234"/>
      <c r="AH56" s="234"/>
    </row>
    <row r="57" spans="1:34" ht="34">
      <c r="E57" s="293"/>
      <c r="F57" s="290"/>
      <c r="G57" s="291"/>
      <c r="H57" s="289"/>
      <c r="I57" s="480"/>
      <c r="J57" s="296"/>
      <c r="K57" s="480"/>
      <c r="R57" s="473"/>
      <c r="S57" s="473"/>
      <c r="T57" s="473"/>
      <c r="U57" s="473"/>
      <c r="V57" s="473"/>
      <c r="W57" s="473"/>
      <c r="X57" s="473"/>
      <c r="Y57" s="473"/>
      <c r="Z57" s="236"/>
      <c r="AA57" s="236"/>
      <c r="AB57" s="234"/>
      <c r="AC57" s="603"/>
      <c r="AD57" s="604"/>
      <c r="AE57" s="604"/>
      <c r="AF57" s="604"/>
      <c r="AG57" s="604"/>
      <c r="AH57" s="234"/>
    </row>
    <row r="58" spans="1:34" ht="13.25" hidden="1" customHeight="1">
      <c r="E58" s="293"/>
      <c r="F58" s="288"/>
      <c r="G58" s="292"/>
      <c r="H58" s="292"/>
      <c r="I58" s="480"/>
      <c r="J58" s="296"/>
      <c r="K58" s="480"/>
      <c r="R58" s="473"/>
      <c r="S58" s="473"/>
      <c r="T58" s="473"/>
      <c r="U58" s="473"/>
      <c r="V58" s="473"/>
      <c r="W58" s="473"/>
      <c r="X58" s="473"/>
      <c r="Y58" s="473"/>
      <c r="Z58" s="236"/>
      <c r="AA58" s="236"/>
      <c r="AB58" s="234"/>
      <c r="AC58" s="603"/>
      <c r="AD58" s="604"/>
      <c r="AE58" s="604"/>
      <c r="AF58" s="604"/>
      <c r="AG58" s="604"/>
      <c r="AH58" s="234"/>
    </row>
    <row r="59" spans="1:34" ht="18" hidden="1">
      <c r="E59" s="293"/>
      <c r="F59" s="249"/>
      <c r="G59" s="297"/>
      <c r="H59" s="297"/>
      <c r="I59" s="489"/>
      <c r="J59" s="298"/>
      <c r="K59" s="480"/>
      <c r="R59" s="473"/>
      <c r="S59" s="473"/>
      <c r="T59" s="473"/>
      <c r="U59" s="473"/>
      <c r="V59" s="473"/>
      <c r="W59" s="473"/>
      <c r="X59" s="473"/>
      <c r="Y59" s="473"/>
      <c r="Z59" s="236"/>
      <c r="AA59" s="236"/>
      <c r="AB59" s="234"/>
      <c r="AC59" s="604"/>
      <c r="AD59" s="604"/>
      <c r="AE59" s="604"/>
      <c r="AF59" s="604"/>
      <c r="AG59" s="604"/>
      <c r="AH59" s="234"/>
    </row>
    <row r="60" spans="1:34" ht="18" hidden="1">
      <c r="E60" s="293"/>
      <c r="F60" s="249"/>
      <c r="G60" s="297"/>
      <c r="H60" s="297"/>
      <c r="I60" s="489"/>
      <c r="J60" s="298"/>
      <c r="K60" s="480"/>
      <c r="R60" s="473"/>
      <c r="S60" s="473"/>
      <c r="T60" s="473"/>
      <c r="U60" s="473"/>
      <c r="V60" s="473"/>
      <c r="W60" s="473"/>
      <c r="X60" s="473"/>
      <c r="Y60" s="473"/>
      <c r="Z60" s="236"/>
      <c r="AA60" s="236"/>
      <c r="AB60" s="234"/>
      <c r="AC60" s="604"/>
      <c r="AD60" s="604"/>
      <c r="AE60" s="604"/>
      <c r="AF60" s="604"/>
      <c r="AG60" s="604"/>
      <c r="AH60" s="234"/>
    </row>
    <row r="61" spans="1:34" ht="19" hidden="1">
      <c r="E61" s="293"/>
      <c r="F61" s="249"/>
      <c r="G61" s="297"/>
      <c r="H61" s="297"/>
      <c r="I61" s="489"/>
      <c r="J61" s="298"/>
      <c r="K61" s="480"/>
      <c r="R61" s="473"/>
      <c r="S61" s="473"/>
      <c r="T61" s="473"/>
      <c r="U61" s="473"/>
      <c r="V61" s="473"/>
      <c r="W61" s="473"/>
      <c r="X61" s="473"/>
      <c r="Y61" s="473"/>
      <c r="Z61" s="236"/>
      <c r="AA61" s="236"/>
      <c r="AB61" s="234"/>
      <c r="AC61" s="253"/>
      <c r="AD61" s="313"/>
      <c r="AE61" s="313"/>
      <c r="AF61" s="314"/>
      <c r="AG61" s="314"/>
      <c r="AH61" s="234"/>
    </row>
    <row r="62" spans="1:34" ht="19" hidden="1">
      <c r="E62" s="293"/>
      <c r="F62" s="246"/>
      <c r="G62" s="247"/>
      <c r="H62" s="248"/>
      <c r="I62" s="480"/>
      <c r="J62" s="293"/>
      <c r="K62" s="480"/>
      <c r="U62" s="236"/>
      <c r="V62" s="236"/>
      <c r="W62" s="236"/>
      <c r="X62" s="236"/>
      <c r="Y62" s="236"/>
      <c r="Z62" s="236"/>
      <c r="AA62" s="236"/>
      <c r="AB62" s="234"/>
      <c r="AC62" s="255"/>
      <c r="AD62" s="256"/>
      <c r="AE62" s="257"/>
      <c r="AF62" s="234"/>
      <c r="AG62" s="234"/>
      <c r="AH62" s="234"/>
    </row>
    <row r="63" spans="1:34" hidden="1">
      <c r="U63" s="236"/>
      <c r="V63" s="236"/>
      <c r="W63" s="236"/>
      <c r="X63" s="236"/>
      <c r="Y63" s="236"/>
      <c r="Z63" s="236"/>
      <c r="AA63" s="236"/>
    </row>
    <row r="64" spans="1:34" ht="18" hidden="1" customHeight="1">
      <c r="B64" s="240"/>
      <c r="E64" s="293"/>
      <c r="F64" s="294"/>
      <c r="G64" s="293"/>
      <c r="H64" s="293"/>
      <c r="I64" s="480"/>
      <c r="J64" s="299"/>
      <c r="K64" s="299"/>
      <c r="R64" s="470"/>
      <c r="S64" s="470"/>
      <c r="T64" s="470"/>
      <c r="U64" s="236"/>
      <c r="V64" s="236"/>
      <c r="W64" s="236"/>
      <c r="X64" s="236"/>
      <c r="Y64" s="236"/>
      <c r="Z64" s="236"/>
      <c r="AA64" s="236"/>
    </row>
    <row r="65" spans="2:27" ht="22" hidden="1">
      <c r="E65" s="295"/>
      <c r="F65" s="470"/>
      <c r="G65" s="470"/>
      <c r="H65" s="470"/>
      <c r="I65" s="480"/>
      <c r="J65" s="293"/>
      <c r="K65" s="480"/>
      <c r="T65" s="244"/>
      <c r="U65" s="244"/>
      <c r="V65" s="244"/>
      <c r="W65" s="244"/>
      <c r="X65" s="244"/>
      <c r="Y65" s="244"/>
      <c r="Z65" s="244"/>
      <c r="AA65" s="236"/>
    </row>
    <row r="66" spans="2:27" ht="33.5" hidden="1" customHeight="1">
      <c r="B66" s="240"/>
      <c r="E66" s="293"/>
      <c r="F66" s="289"/>
      <c r="G66" s="289"/>
      <c r="H66" s="289"/>
      <c r="I66" s="480"/>
      <c r="J66" s="296"/>
      <c r="K66" s="480"/>
      <c r="R66" s="473"/>
      <c r="S66" s="473"/>
      <c r="T66" s="473"/>
      <c r="U66" s="473"/>
      <c r="V66" s="473"/>
      <c r="W66" s="473"/>
      <c r="X66" s="473"/>
      <c r="Y66" s="473"/>
      <c r="Z66" s="236"/>
      <c r="AA66" s="236"/>
    </row>
    <row r="67" spans="2:27" ht="19" hidden="1">
      <c r="E67" s="293"/>
      <c r="F67" s="249"/>
      <c r="G67" s="248"/>
      <c r="H67" s="248"/>
      <c r="I67" s="480"/>
      <c r="J67" s="293"/>
      <c r="K67" s="480"/>
      <c r="R67" s="473"/>
      <c r="S67" s="473"/>
      <c r="T67" s="473"/>
      <c r="U67" s="473"/>
      <c r="V67" s="473"/>
      <c r="W67" s="473"/>
      <c r="X67" s="473"/>
      <c r="Y67" s="473"/>
      <c r="Z67" s="236"/>
      <c r="AA67" s="236"/>
    </row>
    <row r="68" spans="2:27" ht="19" hidden="1">
      <c r="B68" s="240"/>
      <c r="E68" s="293"/>
      <c r="F68" s="249"/>
      <c r="G68" s="605"/>
      <c r="H68" s="605"/>
      <c r="I68" s="422"/>
      <c r="J68" s="422"/>
      <c r="K68" s="480"/>
      <c r="R68" s="473"/>
      <c r="S68" s="473"/>
      <c r="T68" s="473"/>
      <c r="U68" s="473"/>
      <c r="V68" s="473"/>
      <c r="W68" s="473"/>
      <c r="X68" s="473"/>
      <c r="Y68" s="473"/>
      <c r="Z68" s="236"/>
      <c r="AA68" s="236"/>
    </row>
    <row r="69" spans="2:27" ht="19" hidden="1">
      <c r="E69" s="293"/>
      <c r="F69" s="249"/>
      <c r="G69" s="605"/>
      <c r="H69" s="605"/>
      <c r="I69" s="422"/>
      <c r="J69" s="422"/>
      <c r="K69" s="480"/>
      <c r="R69" s="473"/>
      <c r="S69" s="473"/>
      <c r="T69" s="473"/>
      <c r="U69" s="473"/>
      <c r="V69" s="473"/>
      <c r="W69" s="473"/>
      <c r="X69" s="473"/>
      <c r="Y69" s="473"/>
      <c r="Z69" s="236"/>
      <c r="AA69" s="236"/>
    </row>
    <row r="70" spans="2:27" ht="19" hidden="1">
      <c r="B70" s="240"/>
      <c r="E70" s="293"/>
      <c r="F70" s="249"/>
      <c r="G70" s="605"/>
      <c r="H70" s="605"/>
      <c r="I70" s="422"/>
      <c r="J70" s="422"/>
      <c r="K70" s="480"/>
      <c r="R70" s="473"/>
      <c r="S70" s="473"/>
      <c r="T70" s="473"/>
      <c r="U70" s="473"/>
      <c r="V70" s="473"/>
      <c r="W70" s="473"/>
      <c r="X70" s="473"/>
      <c r="Y70" s="473"/>
      <c r="Z70" s="236"/>
      <c r="AA70" s="236"/>
    </row>
    <row r="71" spans="2:27" hidden="1">
      <c r="F71" s="245"/>
      <c r="G71" s="250"/>
      <c r="U71" s="236"/>
      <c r="V71" s="236"/>
      <c r="W71" s="236"/>
      <c r="X71" s="236"/>
      <c r="Y71" s="236"/>
      <c r="Z71" s="236"/>
      <c r="AA71" s="236"/>
    </row>
    <row r="72" spans="2:27" hidden="1">
      <c r="U72" s="236"/>
      <c r="V72" s="236"/>
      <c r="W72" s="236"/>
      <c r="X72" s="236"/>
      <c r="Y72" s="236"/>
      <c r="Z72" s="236"/>
      <c r="AA72" s="236"/>
    </row>
    <row r="73" spans="2:27" hidden="1">
      <c r="F73" s="236"/>
      <c r="U73" s="236"/>
      <c r="V73" s="236"/>
      <c r="W73" s="236"/>
      <c r="X73" s="236"/>
      <c r="Y73" s="236"/>
      <c r="Z73" s="236"/>
      <c r="AA73" s="236"/>
    </row>
    <row r="74" spans="2:27" hidden="1">
      <c r="F74" s="236"/>
      <c r="U74" s="236"/>
      <c r="V74" s="236"/>
      <c r="W74" s="236"/>
      <c r="X74" s="236"/>
      <c r="Y74" s="236"/>
      <c r="Z74" s="236"/>
      <c r="AA74" s="236"/>
    </row>
    <row r="75" spans="2:27" hidden="1">
      <c r="F75" s="236"/>
      <c r="U75" s="236"/>
      <c r="V75" s="236"/>
      <c r="W75" s="236"/>
      <c r="X75" s="236"/>
      <c r="Y75" s="236"/>
      <c r="Z75" s="236"/>
      <c r="AA75" s="236"/>
    </row>
    <row r="76" spans="2:27" hidden="1">
      <c r="F76" s="236"/>
      <c r="U76" s="236"/>
      <c r="V76" s="236"/>
      <c r="W76" s="236"/>
      <c r="X76" s="236"/>
      <c r="Y76" s="236"/>
      <c r="Z76" s="236"/>
      <c r="AA76" s="236"/>
    </row>
    <row r="77" spans="2:27" hidden="1">
      <c r="F77" s="236"/>
      <c r="U77" s="236"/>
      <c r="V77" s="236"/>
      <c r="W77" s="236"/>
      <c r="X77" s="236"/>
      <c r="Y77" s="236"/>
      <c r="Z77" s="236"/>
      <c r="AA77" s="236"/>
    </row>
    <row r="78" spans="2:27" hidden="1">
      <c r="F78" s="236"/>
      <c r="N78" s="459"/>
      <c r="O78" s="459"/>
      <c r="P78" s="459"/>
      <c r="Q78" s="459"/>
      <c r="R78" s="459"/>
      <c r="S78" s="459"/>
      <c r="T78" s="459"/>
      <c r="U78" s="459"/>
      <c r="V78" s="459"/>
      <c r="W78" s="459"/>
      <c r="X78" s="236"/>
      <c r="Y78" s="236"/>
      <c r="Z78" s="236"/>
      <c r="AA78" s="236"/>
    </row>
    <row r="79" spans="2:27" hidden="1">
      <c r="F79" s="236"/>
      <c r="O79" s="459"/>
      <c r="U79" s="236"/>
      <c r="V79" s="236"/>
      <c r="W79" s="236"/>
      <c r="X79" s="236"/>
      <c r="Y79" s="236"/>
      <c r="Z79" s="236"/>
      <c r="AA79" s="236"/>
    </row>
    <row r="80" spans="2:27" hidden="1">
      <c r="F80" s="236"/>
      <c r="U80" s="236"/>
      <c r="V80" s="236"/>
      <c r="W80" s="236"/>
      <c r="X80" s="236"/>
      <c r="Y80" s="236"/>
      <c r="Z80" s="236"/>
      <c r="AA80" s="236"/>
    </row>
    <row r="81" spans="5:27" hidden="1">
      <c r="F81" s="236"/>
      <c r="U81" s="236"/>
      <c r="V81" s="236"/>
      <c r="W81" s="236"/>
      <c r="X81" s="236"/>
      <c r="Y81" s="236"/>
      <c r="Z81" s="236"/>
      <c r="AA81" s="236"/>
    </row>
    <row r="82" spans="5:27" hidden="1">
      <c r="F82" s="236"/>
      <c r="U82" s="236"/>
      <c r="V82" s="236"/>
      <c r="W82" s="236"/>
      <c r="X82" s="236"/>
      <c r="Y82" s="236"/>
      <c r="Z82" s="236"/>
      <c r="AA82" s="236"/>
    </row>
    <row r="83" spans="5:27" hidden="1">
      <c r="F83" s="236"/>
      <c r="U83" s="236"/>
      <c r="V83" s="236"/>
      <c r="W83" s="236"/>
      <c r="X83" s="236"/>
      <c r="Y83" s="236"/>
      <c r="Z83" s="236"/>
      <c r="AA83" s="236"/>
    </row>
    <row r="84" spans="5:27" hidden="1">
      <c r="F84" s="236"/>
      <c r="U84" s="236"/>
      <c r="V84" s="236"/>
      <c r="W84" s="236"/>
      <c r="X84" s="236"/>
      <c r="Y84" s="236"/>
      <c r="Z84" s="236"/>
      <c r="AA84" s="236"/>
    </row>
    <row r="85" spans="5:27" hidden="1">
      <c r="F85" s="236"/>
      <c r="U85" s="236"/>
      <c r="V85" s="236"/>
      <c r="W85" s="236"/>
      <c r="X85" s="236"/>
      <c r="Y85" s="236"/>
      <c r="Z85" s="236"/>
      <c r="AA85" s="236"/>
    </row>
    <row r="86" spans="5:27" hidden="1">
      <c r="F86" s="236"/>
      <c r="U86" s="236"/>
      <c r="V86" s="236"/>
      <c r="W86" s="236"/>
      <c r="X86" s="236"/>
      <c r="Y86" s="236"/>
      <c r="Z86" s="236"/>
      <c r="AA86" s="236"/>
    </row>
    <row r="87" spans="5:27" hidden="1">
      <c r="F87" s="236"/>
      <c r="U87" s="236"/>
      <c r="V87" s="236"/>
      <c r="W87" s="236"/>
      <c r="X87" s="236"/>
      <c r="Y87" s="236"/>
      <c r="Z87" s="236"/>
      <c r="AA87" s="236"/>
    </row>
    <row r="88" spans="5:27" hidden="1">
      <c r="F88" s="236"/>
      <c r="U88" s="236"/>
      <c r="V88" s="236"/>
      <c r="W88" s="236"/>
      <c r="X88" s="236"/>
      <c r="Y88" s="236"/>
      <c r="Z88" s="236"/>
      <c r="AA88" s="236"/>
    </row>
    <row r="89" spans="5:27" hidden="1">
      <c r="F89" s="236"/>
      <c r="U89" s="236"/>
      <c r="V89" s="236"/>
      <c r="W89" s="236"/>
      <c r="X89" s="236"/>
      <c r="Y89" s="236"/>
      <c r="Z89" s="236"/>
      <c r="AA89" s="236"/>
    </row>
    <row r="90" spans="5:27" hidden="1">
      <c r="U90" s="236"/>
      <c r="V90" s="236"/>
      <c r="W90" s="236"/>
      <c r="X90" s="236"/>
      <c r="Y90" s="236"/>
      <c r="Z90" s="236"/>
      <c r="AA90" s="236"/>
    </row>
    <row r="91" spans="5:27" hidden="1">
      <c r="U91" s="236"/>
      <c r="V91" s="236"/>
      <c r="W91" s="236"/>
      <c r="X91" s="236"/>
      <c r="Y91" s="236"/>
      <c r="Z91" s="236"/>
      <c r="AA91" s="236"/>
    </row>
    <row r="92" spans="5:27" hidden="1">
      <c r="E92" s="114"/>
      <c r="F92" s="236"/>
      <c r="U92" s="236"/>
      <c r="V92" s="236"/>
      <c r="W92" s="236"/>
      <c r="X92" s="236"/>
      <c r="Y92" s="236"/>
      <c r="Z92" s="236"/>
      <c r="AA92" s="236"/>
    </row>
    <row r="93" spans="5:27" hidden="1">
      <c r="E93" s="114"/>
      <c r="F93" s="236"/>
      <c r="U93" s="236"/>
      <c r="V93" s="236"/>
      <c r="W93" s="236"/>
      <c r="X93" s="236"/>
      <c r="Y93" s="236"/>
      <c r="Z93" s="236"/>
      <c r="AA93" s="236"/>
    </row>
    <row r="94" spans="5:27" hidden="1">
      <c r="E94" s="114"/>
      <c r="F94" s="236"/>
      <c r="N94" s="236" t="s">
        <v>330</v>
      </c>
      <c r="U94" s="236"/>
      <c r="V94" s="236"/>
      <c r="W94" s="236"/>
      <c r="X94" s="236"/>
      <c r="Y94" s="236"/>
      <c r="Z94" s="236"/>
      <c r="AA94" s="236"/>
    </row>
    <row r="95" spans="5:27" hidden="1">
      <c r="E95" s="114"/>
      <c r="F95" s="236"/>
      <c r="U95" s="236"/>
      <c r="V95" s="236"/>
      <c r="W95" s="236"/>
      <c r="X95" s="236"/>
      <c r="Y95" s="236"/>
      <c r="Z95" s="236"/>
      <c r="AA95" s="236"/>
    </row>
    <row r="96" spans="5:27" hidden="1">
      <c r="E96" s="114"/>
      <c r="F96" s="236"/>
      <c r="U96" s="236"/>
      <c r="V96" s="236"/>
      <c r="W96" s="236"/>
      <c r="X96" s="236"/>
      <c r="Y96" s="236"/>
      <c r="Z96" s="236"/>
      <c r="AA96" s="236"/>
    </row>
    <row r="97" spans="5:27" hidden="1">
      <c r="E97" s="114"/>
      <c r="F97" s="236"/>
      <c r="U97" s="236"/>
      <c r="V97" s="236"/>
      <c r="W97" s="236"/>
      <c r="X97" s="236"/>
      <c r="Y97" s="236"/>
      <c r="Z97" s="236"/>
      <c r="AA97" s="236"/>
    </row>
    <row r="98" spans="5:27" hidden="1">
      <c r="E98" s="114"/>
      <c r="F98" s="236"/>
      <c r="U98" s="236"/>
      <c r="V98" s="236"/>
      <c r="W98" s="236"/>
      <c r="X98" s="236"/>
      <c r="Y98" s="236"/>
      <c r="Z98" s="236"/>
      <c r="AA98" s="236"/>
    </row>
    <row r="99" spans="5:27" hidden="1">
      <c r="E99" s="114"/>
      <c r="F99" s="236"/>
      <c r="U99" s="236"/>
      <c r="V99" s="236"/>
      <c r="W99" s="236"/>
      <c r="X99" s="236"/>
      <c r="Y99" s="236"/>
      <c r="Z99" s="236"/>
      <c r="AA99" s="236"/>
    </row>
    <row r="100" spans="5:27" hidden="1">
      <c r="E100" s="114"/>
      <c r="F100" s="236"/>
      <c r="U100" s="236"/>
      <c r="V100" s="236"/>
      <c r="W100" s="236"/>
      <c r="X100" s="236"/>
      <c r="Y100" s="236"/>
      <c r="Z100" s="236"/>
      <c r="AA100" s="236"/>
    </row>
    <row r="101" spans="5:27" hidden="1">
      <c r="E101" s="114"/>
      <c r="F101" s="236"/>
      <c r="U101" s="236"/>
      <c r="V101" s="236"/>
      <c r="W101" s="236"/>
      <c r="X101" s="236"/>
      <c r="Y101" s="236"/>
      <c r="Z101" s="236"/>
      <c r="AA101" s="236"/>
    </row>
    <row r="102" spans="5:27" hidden="1">
      <c r="E102" s="114"/>
      <c r="F102" s="236"/>
      <c r="U102" s="236"/>
      <c r="V102" s="236"/>
      <c r="W102" s="236"/>
      <c r="X102" s="236"/>
      <c r="Y102" s="236"/>
      <c r="Z102" s="236"/>
      <c r="AA102" s="236"/>
    </row>
    <row r="103" spans="5:27" hidden="1">
      <c r="F103" s="236"/>
      <c r="U103" s="236"/>
      <c r="V103" s="236"/>
      <c r="W103" s="236"/>
      <c r="X103" s="236"/>
      <c r="Y103" s="236"/>
      <c r="Z103" s="236"/>
      <c r="AA103" s="236"/>
    </row>
    <row r="104" spans="5:27" hidden="1">
      <c r="U104" s="236"/>
      <c r="V104" s="236"/>
      <c r="W104" s="236"/>
      <c r="X104" s="236"/>
      <c r="Y104" s="236"/>
      <c r="Z104" s="236"/>
      <c r="AA104" s="236"/>
    </row>
    <row r="105" spans="5:27" hidden="1">
      <c r="U105" s="236"/>
      <c r="V105" s="236"/>
      <c r="W105" s="236"/>
      <c r="X105" s="236"/>
      <c r="Y105" s="236"/>
      <c r="Z105" s="236"/>
      <c r="AA105" s="236"/>
    </row>
    <row r="106" spans="5:27" hidden="1">
      <c r="U106" s="236"/>
      <c r="V106" s="236"/>
      <c r="W106" s="236"/>
      <c r="X106" s="236"/>
      <c r="Y106" s="236"/>
      <c r="Z106" s="236"/>
      <c r="AA106" s="236"/>
    </row>
    <row r="107" spans="5:27" hidden="1">
      <c r="U107" s="236"/>
      <c r="V107" s="236"/>
      <c r="W107" s="236"/>
      <c r="X107" s="236"/>
      <c r="Y107" s="236"/>
      <c r="Z107" s="236"/>
      <c r="AA107" s="236"/>
    </row>
    <row r="108" spans="5:27" hidden="1">
      <c r="U108" s="236"/>
      <c r="V108" s="236"/>
      <c r="W108" s="236"/>
      <c r="X108" s="236"/>
      <c r="Y108" s="236"/>
      <c r="Z108" s="236"/>
      <c r="AA108" s="236"/>
    </row>
    <row r="109" spans="5:27" hidden="1">
      <c r="U109" s="236"/>
      <c r="V109" s="236"/>
      <c r="W109" s="236"/>
      <c r="X109" s="236"/>
      <c r="Y109" s="236"/>
      <c r="Z109" s="236"/>
      <c r="AA109" s="236"/>
    </row>
    <row r="110" spans="5:27" hidden="1">
      <c r="U110" s="236"/>
      <c r="V110" s="236"/>
      <c r="W110" s="236"/>
      <c r="X110" s="236"/>
      <c r="Y110" s="236"/>
      <c r="Z110" s="236"/>
      <c r="AA110" s="236"/>
    </row>
    <row r="111" spans="5:27" hidden="1">
      <c r="U111" s="236"/>
      <c r="V111" s="236"/>
      <c r="W111" s="236"/>
      <c r="X111" s="236"/>
      <c r="Y111" s="236"/>
      <c r="Z111" s="236"/>
      <c r="AA111" s="236"/>
    </row>
    <row r="112" spans="5:27" hidden="1">
      <c r="U112" s="236"/>
      <c r="V112" s="236"/>
      <c r="W112" s="236"/>
      <c r="X112" s="236"/>
      <c r="Y112" s="236"/>
      <c r="Z112" s="236"/>
      <c r="AA112" s="236"/>
    </row>
    <row r="113" spans="21:27" hidden="1">
      <c r="U113" s="236"/>
      <c r="V113" s="236"/>
      <c r="W113" s="236"/>
      <c r="X113" s="236"/>
      <c r="Y113" s="236"/>
      <c r="Z113" s="236"/>
      <c r="AA113" s="236"/>
    </row>
    <row r="114" spans="21:27" hidden="1">
      <c r="U114" s="236"/>
      <c r="V114" s="236"/>
      <c r="W114" s="236"/>
      <c r="X114" s="236"/>
      <c r="Y114" s="236"/>
      <c r="Z114" s="236"/>
      <c r="AA114" s="236"/>
    </row>
    <row r="115" spans="21:27" hidden="1">
      <c r="U115" s="236"/>
      <c r="V115" s="236"/>
      <c r="W115" s="236"/>
      <c r="X115" s="236"/>
      <c r="Y115" s="236"/>
      <c r="Z115" s="236"/>
      <c r="AA115" s="236"/>
    </row>
    <row r="116" spans="21:27" hidden="1">
      <c r="U116" s="236"/>
      <c r="V116" s="236"/>
      <c r="W116" s="236"/>
      <c r="X116" s="236"/>
      <c r="Y116" s="236"/>
      <c r="Z116" s="236"/>
      <c r="AA116" s="236"/>
    </row>
    <row r="117" spans="21:27" hidden="1">
      <c r="U117" s="236"/>
      <c r="V117" s="236"/>
      <c r="W117" s="236"/>
      <c r="X117" s="236"/>
      <c r="Y117" s="236"/>
      <c r="Z117" s="236"/>
      <c r="AA117" s="236"/>
    </row>
    <row r="118" spans="21:27" hidden="1">
      <c r="U118" s="236"/>
      <c r="V118" s="236"/>
      <c r="W118" s="236"/>
      <c r="X118" s="236"/>
      <c r="Y118" s="236"/>
      <c r="Z118" s="236"/>
      <c r="AA118" s="236"/>
    </row>
    <row r="119" spans="21:27" hidden="1">
      <c r="U119" s="236"/>
      <c r="V119" s="236"/>
      <c r="W119" s="236"/>
      <c r="X119" s="236"/>
      <c r="Y119" s="236"/>
      <c r="Z119" s="236"/>
      <c r="AA119" s="236"/>
    </row>
    <row r="120" spans="21:27" hidden="1">
      <c r="U120" s="236"/>
      <c r="V120" s="236"/>
      <c r="W120" s="236"/>
      <c r="X120" s="236"/>
      <c r="Y120" s="236"/>
      <c r="Z120" s="236"/>
      <c r="AA120" s="236"/>
    </row>
    <row r="121" spans="21:27" hidden="1">
      <c r="U121" s="236"/>
      <c r="V121" s="236"/>
      <c r="W121" s="236"/>
      <c r="X121" s="236"/>
      <c r="Y121" s="236"/>
      <c r="Z121" s="236"/>
      <c r="AA121" s="236"/>
    </row>
    <row r="122" spans="21:27" hidden="1">
      <c r="U122" s="236"/>
      <c r="V122" s="236"/>
      <c r="W122" s="236"/>
      <c r="X122" s="236"/>
      <c r="Y122" s="236"/>
      <c r="Z122" s="236"/>
      <c r="AA122" s="236"/>
    </row>
    <row r="123" spans="21:27" hidden="1">
      <c r="U123" s="236"/>
      <c r="V123" s="236"/>
      <c r="W123" s="236"/>
      <c r="X123" s="236"/>
      <c r="Y123" s="236"/>
      <c r="Z123" s="236"/>
      <c r="AA123" s="236"/>
    </row>
    <row r="124" spans="21:27" hidden="1">
      <c r="U124" s="236"/>
      <c r="V124" s="236"/>
      <c r="W124" s="236"/>
      <c r="X124" s="236"/>
      <c r="Y124" s="236"/>
      <c r="Z124" s="236"/>
      <c r="AA124" s="236"/>
    </row>
    <row r="125" spans="21:27" hidden="1">
      <c r="U125" s="236"/>
      <c r="V125" s="236"/>
      <c r="W125" s="236"/>
      <c r="X125" s="236"/>
      <c r="Y125" s="236"/>
      <c r="Z125" s="236"/>
      <c r="AA125" s="236"/>
    </row>
    <row r="126" spans="21:27" hidden="1">
      <c r="U126" s="236"/>
      <c r="V126" s="236"/>
      <c r="W126" s="236"/>
      <c r="X126" s="236"/>
      <c r="Y126" s="236"/>
      <c r="Z126" s="236"/>
      <c r="AA126" s="236"/>
    </row>
    <row r="127" spans="21:27" hidden="1">
      <c r="U127" s="236"/>
      <c r="V127" s="236"/>
      <c r="W127" s="236"/>
      <c r="X127" s="236"/>
      <c r="Y127" s="236"/>
      <c r="Z127" s="236"/>
      <c r="AA127" s="236"/>
    </row>
    <row r="128" spans="21:27" hidden="1">
      <c r="U128" s="236"/>
      <c r="V128" s="236"/>
      <c r="W128" s="236"/>
      <c r="X128" s="236"/>
      <c r="Y128" s="236"/>
      <c r="Z128" s="236"/>
      <c r="AA128" s="236"/>
    </row>
    <row r="129" spans="21:27" hidden="1">
      <c r="U129" s="236"/>
      <c r="V129" s="236"/>
      <c r="W129" s="236"/>
      <c r="X129" s="236"/>
      <c r="Y129" s="236"/>
      <c r="Z129" s="236"/>
      <c r="AA129" s="236"/>
    </row>
    <row r="130" spans="21:27" hidden="1">
      <c r="U130" s="236"/>
      <c r="V130" s="236"/>
      <c r="W130" s="236"/>
      <c r="X130" s="236"/>
      <c r="Y130" s="236"/>
      <c r="Z130" s="236"/>
      <c r="AA130" s="236"/>
    </row>
    <row r="131" spans="21:27" hidden="1">
      <c r="U131" s="236"/>
      <c r="V131" s="236"/>
      <c r="W131" s="236"/>
      <c r="X131" s="236"/>
      <c r="Y131" s="236"/>
      <c r="Z131" s="236"/>
      <c r="AA131" s="236"/>
    </row>
    <row r="132" spans="21:27" hidden="1">
      <c r="U132" s="236"/>
      <c r="V132" s="236"/>
      <c r="W132" s="236"/>
      <c r="X132" s="236"/>
      <c r="Y132" s="236"/>
      <c r="Z132" s="236"/>
      <c r="AA132" s="236"/>
    </row>
    <row r="133" spans="21:27" hidden="1">
      <c r="U133" s="236"/>
      <c r="V133" s="236"/>
      <c r="W133" s="236"/>
      <c r="X133" s="236"/>
      <c r="Y133" s="236"/>
      <c r="Z133" s="236"/>
      <c r="AA133" s="236"/>
    </row>
    <row r="134" spans="21:27" hidden="1">
      <c r="U134" s="236"/>
      <c r="V134" s="236"/>
      <c r="W134" s="236"/>
      <c r="X134" s="236"/>
      <c r="Y134" s="236"/>
      <c r="Z134" s="236"/>
      <c r="AA134" s="236"/>
    </row>
    <row r="135" spans="21:27" hidden="1">
      <c r="U135" s="236"/>
      <c r="V135" s="236"/>
      <c r="W135" s="236"/>
      <c r="X135" s="236"/>
      <c r="Y135" s="236"/>
      <c r="Z135" s="236"/>
      <c r="AA135" s="236"/>
    </row>
    <row r="136" spans="21:27" hidden="1">
      <c r="U136" s="236"/>
      <c r="V136" s="236"/>
      <c r="W136" s="236"/>
      <c r="X136" s="236"/>
      <c r="Y136" s="236"/>
      <c r="Z136" s="236"/>
      <c r="AA136" s="236"/>
    </row>
    <row r="137" spans="21:27" hidden="1">
      <c r="U137" s="236"/>
      <c r="V137" s="236"/>
      <c r="W137" s="236"/>
      <c r="X137" s="236"/>
      <c r="Y137" s="236"/>
      <c r="Z137" s="236"/>
      <c r="AA137" s="236"/>
    </row>
    <row r="138" spans="21:27" hidden="1">
      <c r="U138" s="236"/>
      <c r="V138" s="236"/>
      <c r="W138" s="236"/>
      <c r="X138" s="236"/>
      <c r="Y138" s="236"/>
      <c r="Z138" s="236"/>
      <c r="AA138" s="236"/>
    </row>
    <row r="139" spans="21:27" hidden="1">
      <c r="U139" s="236"/>
      <c r="V139" s="236"/>
      <c r="W139" s="236"/>
      <c r="X139" s="236"/>
      <c r="Y139" s="236"/>
      <c r="Z139" s="236"/>
      <c r="AA139" s="236"/>
    </row>
    <row r="140" spans="21:27" hidden="1">
      <c r="U140" s="236"/>
      <c r="V140" s="236"/>
      <c r="W140" s="236"/>
      <c r="X140" s="236"/>
      <c r="Y140" s="236"/>
      <c r="Z140" s="236"/>
      <c r="AA140" s="236"/>
    </row>
    <row r="141" spans="21:27" hidden="1">
      <c r="U141" s="236"/>
      <c r="V141" s="236"/>
      <c r="W141" s="236"/>
      <c r="X141" s="236"/>
      <c r="Y141" s="236"/>
      <c r="Z141" s="236"/>
      <c r="AA141" s="236"/>
    </row>
    <row r="142" spans="21:27" hidden="1">
      <c r="U142" s="236"/>
      <c r="V142" s="236"/>
      <c r="W142" s="236"/>
      <c r="X142" s="236"/>
      <c r="Y142" s="236"/>
      <c r="Z142" s="236"/>
      <c r="AA142" s="236"/>
    </row>
    <row r="143" spans="21:27" hidden="1">
      <c r="U143" s="236"/>
      <c r="V143" s="236"/>
      <c r="W143" s="236"/>
      <c r="X143" s="236"/>
      <c r="Y143" s="236"/>
      <c r="Z143" s="236"/>
      <c r="AA143" s="236"/>
    </row>
    <row r="144" spans="21:27" hidden="1">
      <c r="U144" s="236"/>
      <c r="V144" s="236"/>
      <c r="W144" s="236"/>
      <c r="X144" s="236"/>
      <c r="Y144" s="236"/>
      <c r="Z144" s="236"/>
      <c r="AA144" s="236"/>
    </row>
    <row r="145" spans="21:27" hidden="1">
      <c r="U145" s="236"/>
      <c r="V145" s="236"/>
      <c r="W145" s="236"/>
      <c r="X145" s="236"/>
      <c r="Y145" s="236"/>
      <c r="Z145" s="236"/>
      <c r="AA145" s="236"/>
    </row>
    <row r="146" spans="21:27" hidden="1">
      <c r="U146" s="236"/>
      <c r="V146" s="236"/>
      <c r="W146" s="236"/>
      <c r="X146" s="236"/>
      <c r="Y146" s="236"/>
      <c r="Z146" s="236"/>
      <c r="AA146" s="236"/>
    </row>
    <row r="147" spans="21:27" hidden="1">
      <c r="U147" s="236"/>
      <c r="V147" s="236"/>
      <c r="W147" s="236"/>
      <c r="X147" s="236"/>
      <c r="Y147" s="236"/>
      <c r="Z147" s="236"/>
      <c r="AA147" s="236"/>
    </row>
    <row r="148" spans="21:27" hidden="1">
      <c r="U148" s="236"/>
      <c r="V148" s="236"/>
      <c r="W148" s="236"/>
      <c r="X148" s="236"/>
      <c r="Y148" s="236"/>
      <c r="Z148" s="236"/>
      <c r="AA148" s="236"/>
    </row>
    <row r="149" spans="21:27" hidden="1">
      <c r="U149" s="236"/>
      <c r="V149" s="236"/>
      <c r="W149" s="236"/>
      <c r="X149" s="236"/>
      <c r="Y149" s="236"/>
      <c r="Z149" s="236"/>
      <c r="AA149" s="236"/>
    </row>
    <row r="150" spans="21:27" hidden="1">
      <c r="U150" s="236"/>
      <c r="V150" s="236"/>
      <c r="W150" s="236"/>
      <c r="X150" s="236"/>
      <c r="Y150" s="236"/>
      <c r="Z150" s="236"/>
      <c r="AA150" s="236"/>
    </row>
    <row r="151" spans="21:27" hidden="1">
      <c r="U151" s="236"/>
      <c r="V151" s="236"/>
      <c r="W151" s="236"/>
      <c r="X151" s="236"/>
      <c r="Y151" s="236"/>
      <c r="Z151" s="236"/>
      <c r="AA151" s="236"/>
    </row>
    <row r="152" spans="21:27" hidden="1">
      <c r="U152" s="236"/>
      <c r="V152" s="236"/>
      <c r="W152" s="236"/>
      <c r="X152" s="236"/>
      <c r="Y152" s="236"/>
      <c r="Z152" s="236"/>
      <c r="AA152" s="236"/>
    </row>
    <row r="153" spans="21:27" hidden="1">
      <c r="U153" s="236"/>
      <c r="V153" s="236"/>
      <c r="W153" s="236"/>
      <c r="X153" s="236"/>
      <c r="Y153" s="236"/>
      <c r="Z153" s="236"/>
      <c r="AA153" s="236"/>
    </row>
    <row r="154" spans="21:27" hidden="1">
      <c r="U154" s="236"/>
      <c r="V154" s="236"/>
      <c r="W154" s="236"/>
      <c r="X154" s="236"/>
      <c r="Y154" s="236"/>
      <c r="Z154" s="236"/>
      <c r="AA154" s="236"/>
    </row>
    <row r="155" spans="21:27" hidden="1">
      <c r="U155" s="236"/>
      <c r="V155" s="236"/>
      <c r="W155" s="236"/>
      <c r="X155" s="236"/>
      <c r="Y155" s="236"/>
      <c r="Z155" s="236"/>
      <c r="AA155" s="236"/>
    </row>
    <row r="156" spans="21:27" hidden="1">
      <c r="U156" s="236"/>
      <c r="V156" s="236"/>
      <c r="W156" s="236"/>
      <c r="X156" s="236"/>
      <c r="Y156" s="236"/>
      <c r="Z156" s="236"/>
      <c r="AA156" s="236"/>
    </row>
    <row r="157" spans="21:27" hidden="1">
      <c r="U157" s="236"/>
      <c r="V157" s="236"/>
      <c r="W157" s="236"/>
      <c r="X157" s="236"/>
      <c r="Y157" s="236"/>
      <c r="Z157" s="236"/>
      <c r="AA157" s="236"/>
    </row>
    <row r="158" spans="21:27" hidden="1">
      <c r="U158" s="236"/>
      <c r="V158" s="236"/>
      <c r="W158" s="236"/>
      <c r="X158" s="236"/>
      <c r="Y158" s="236"/>
      <c r="Z158" s="236"/>
      <c r="AA158" s="236"/>
    </row>
    <row r="159" spans="21:27" hidden="1">
      <c r="U159" s="236"/>
      <c r="V159" s="236"/>
      <c r="W159" s="236"/>
      <c r="X159" s="236"/>
      <c r="Y159" s="236"/>
      <c r="Z159" s="236"/>
      <c r="AA159" s="236"/>
    </row>
    <row r="160" spans="21:27" hidden="1">
      <c r="U160" s="236"/>
      <c r="V160" s="236"/>
      <c r="W160" s="236"/>
      <c r="X160" s="236"/>
      <c r="Y160" s="236"/>
      <c r="Z160" s="236"/>
      <c r="AA160" s="236"/>
    </row>
    <row r="161" spans="21:27" hidden="1">
      <c r="U161" s="236"/>
      <c r="V161" s="236"/>
      <c r="W161" s="236"/>
      <c r="X161" s="236"/>
      <c r="Y161" s="236"/>
      <c r="Z161" s="236"/>
      <c r="AA161" s="236"/>
    </row>
    <row r="162" spans="21:27" hidden="1">
      <c r="U162" s="236"/>
      <c r="V162" s="236"/>
      <c r="W162" s="236"/>
      <c r="X162" s="236"/>
      <c r="Y162" s="236"/>
      <c r="Z162" s="236"/>
      <c r="AA162" s="236"/>
    </row>
    <row r="163" spans="21:27" hidden="1">
      <c r="U163" s="236"/>
      <c r="V163" s="236"/>
      <c r="W163" s="236"/>
      <c r="X163" s="236"/>
      <c r="Y163" s="236"/>
      <c r="Z163" s="236"/>
      <c r="AA163" s="236"/>
    </row>
    <row r="164" spans="21:27" hidden="1">
      <c r="U164" s="236"/>
      <c r="V164" s="236"/>
      <c r="W164" s="236"/>
      <c r="X164" s="236"/>
      <c r="Y164" s="236"/>
      <c r="Z164" s="236"/>
      <c r="AA164" s="236"/>
    </row>
    <row r="165" spans="21:27" hidden="1">
      <c r="U165" s="236"/>
      <c r="V165" s="236"/>
      <c r="W165" s="236"/>
      <c r="X165" s="236"/>
      <c r="Y165" s="236"/>
      <c r="Z165" s="236"/>
      <c r="AA165" s="236"/>
    </row>
    <row r="166" spans="21:27" hidden="1">
      <c r="U166" s="236"/>
      <c r="V166" s="236"/>
      <c r="W166" s="236"/>
      <c r="X166" s="236"/>
      <c r="Y166" s="236"/>
      <c r="Z166" s="236"/>
      <c r="AA166" s="236"/>
    </row>
    <row r="167" spans="21:27" hidden="1">
      <c r="U167" s="236"/>
      <c r="V167" s="236"/>
      <c r="W167" s="236"/>
      <c r="X167" s="236"/>
      <c r="Y167" s="236"/>
      <c r="Z167" s="236"/>
      <c r="AA167" s="236"/>
    </row>
    <row r="168" spans="21:27" hidden="1">
      <c r="U168" s="236"/>
      <c r="V168" s="236"/>
      <c r="W168" s="236"/>
      <c r="X168" s="236"/>
      <c r="Y168" s="236"/>
      <c r="Z168" s="236"/>
      <c r="AA168" s="236"/>
    </row>
    <row r="169" spans="21:27" hidden="1">
      <c r="U169" s="236"/>
      <c r="V169" s="236"/>
      <c r="W169" s="236"/>
      <c r="X169" s="236"/>
      <c r="Y169" s="236"/>
      <c r="Z169" s="236"/>
      <c r="AA169" s="236"/>
    </row>
    <row r="170" spans="21:27" hidden="1">
      <c r="U170" s="236"/>
      <c r="V170" s="236"/>
      <c r="W170" s="236"/>
      <c r="X170" s="236"/>
      <c r="Y170" s="236"/>
      <c r="Z170" s="236"/>
      <c r="AA170" s="236"/>
    </row>
    <row r="171" spans="21:27" hidden="1">
      <c r="U171" s="236"/>
      <c r="V171" s="236"/>
      <c r="W171" s="236"/>
      <c r="X171" s="236"/>
      <c r="Y171" s="236"/>
      <c r="Z171" s="236"/>
      <c r="AA171" s="236"/>
    </row>
    <row r="172" spans="21:27" hidden="1">
      <c r="U172" s="236"/>
      <c r="V172" s="236"/>
      <c r="W172" s="236"/>
      <c r="X172" s="236"/>
      <c r="Y172" s="236"/>
      <c r="Z172" s="236"/>
      <c r="AA172" s="236"/>
    </row>
    <row r="173" spans="21:27" hidden="1">
      <c r="U173" s="236"/>
      <c r="V173" s="236"/>
      <c r="W173" s="236"/>
      <c r="X173" s="236"/>
      <c r="Y173" s="236"/>
      <c r="Z173" s="236"/>
      <c r="AA173" s="236"/>
    </row>
    <row r="174" spans="21:27" hidden="1">
      <c r="U174" s="236"/>
      <c r="V174" s="236"/>
      <c r="W174" s="236"/>
      <c r="X174" s="236"/>
      <c r="Y174" s="236"/>
      <c r="Z174" s="236"/>
      <c r="AA174" s="236"/>
    </row>
    <row r="175" spans="21:27" hidden="1">
      <c r="U175" s="236"/>
      <c r="V175" s="236"/>
      <c r="W175" s="236"/>
      <c r="X175" s="236"/>
      <c r="Y175" s="236"/>
      <c r="Z175" s="236"/>
      <c r="AA175" s="236"/>
    </row>
    <row r="176" spans="21:27" hidden="1">
      <c r="U176" s="236"/>
      <c r="V176" s="236"/>
      <c r="W176" s="236"/>
      <c r="X176" s="236"/>
      <c r="Y176" s="236"/>
      <c r="Z176" s="236"/>
      <c r="AA176" s="236"/>
    </row>
    <row r="177" spans="21:27" hidden="1">
      <c r="U177" s="236"/>
      <c r="V177" s="236"/>
      <c r="W177" s="236"/>
      <c r="X177" s="236"/>
      <c r="Y177" s="236"/>
      <c r="Z177" s="236"/>
      <c r="AA177" s="236"/>
    </row>
    <row r="178" spans="21:27" hidden="1">
      <c r="U178" s="236"/>
      <c r="V178" s="236"/>
      <c r="W178" s="236"/>
      <c r="X178" s="236"/>
      <c r="Y178" s="236"/>
      <c r="Z178" s="236"/>
      <c r="AA178" s="236"/>
    </row>
    <row r="179" spans="21:27" hidden="1">
      <c r="U179" s="236"/>
      <c r="V179" s="236"/>
      <c r="W179" s="236"/>
      <c r="X179" s="236"/>
      <c r="Y179" s="236"/>
      <c r="Z179" s="236"/>
      <c r="AA179" s="236"/>
    </row>
    <row r="180" spans="21:27" hidden="1">
      <c r="U180" s="236"/>
      <c r="V180" s="236"/>
      <c r="W180" s="236"/>
      <c r="X180" s="236"/>
      <c r="Y180" s="236"/>
      <c r="Z180" s="236"/>
      <c r="AA180" s="236"/>
    </row>
    <row r="181" spans="21:27" hidden="1">
      <c r="U181" s="236"/>
      <c r="V181" s="236"/>
      <c r="W181" s="236"/>
      <c r="X181" s="236"/>
      <c r="Y181" s="236"/>
      <c r="Z181" s="236"/>
      <c r="AA181" s="236"/>
    </row>
    <row r="182" spans="21:27" hidden="1">
      <c r="U182" s="236"/>
      <c r="V182" s="236"/>
      <c r="W182" s="236"/>
      <c r="X182" s="236"/>
      <c r="Y182" s="236"/>
      <c r="Z182" s="236"/>
      <c r="AA182" s="236"/>
    </row>
    <row r="183" spans="21:27" hidden="1">
      <c r="U183" s="236"/>
      <c r="V183" s="236"/>
      <c r="W183" s="236"/>
      <c r="X183" s="236"/>
      <c r="Y183" s="236"/>
      <c r="Z183" s="236"/>
      <c r="AA183" s="236"/>
    </row>
    <row r="184" spans="21:27" hidden="1">
      <c r="U184" s="236"/>
      <c r="V184" s="236"/>
      <c r="W184" s="236"/>
      <c r="X184" s="236"/>
      <c r="Y184" s="236"/>
      <c r="Z184" s="236"/>
      <c r="AA184" s="236"/>
    </row>
    <row r="185" spans="21:27" hidden="1">
      <c r="U185" s="236"/>
      <c r="V185" s="236"/>
      <c r="W185" s="236"/>
      <c r="X185" s="236"/>
      <c r="Y185" s="236"/>
      <c r="Z185" s="236"/>
      <c r="AA185" s="236"/>
    </row>
    <row r="186" spans="21:27" hidden="1">
      <c r="U186" s="236"/>
      <c r="V186" s="236"/>
      <c r="W186" s="236"/>
      <c r="X186" s="236"/>
      <c r="Y186" s="236"/>
      <c r="Z186" s="236"/>
      <c r="AA186" s="236"/>
    </row>
    <row r="187" spans="21:27" hidden="1">
      <c r="U187" s="236"/>
      <c r="V187" s="236"/>
      <c r="W187" s="236"/>
      <c r="X187" s="236"/>
      <c r="Y187" s="236"/>
      <c r="Z187" s="236"/>
      <c r="AA187" s="236"/>
    </row>
    <row r="188" spans="21:27" hidden="1">
      <c r="U188" s="236"/>
      <c r="V188" s="236"/>
      <c r="W188" s="236"/>
      <c r="X188" s="236"/>
      <c r="Y188" s="236"/>
      <c r="Z188" s="236"/>
      <c r="AA188" s="236"/>
    </row>
    <row r="189" spans="21:27" hidden="1">
      <c r="U189" s="236"/>
      <c r="V189" s="236"/>
      <c r="W189" s="236"/>
      <c r="X189" s="236"/>
      <c r="Y189" s="236"/>
      <c r="Z189" s="236"/>
      <c r="AA189" s="236"/>
    </row>
    <row r="190" spans="21:27" hidden="1">
      <c r="U190" s="236"/>
      <c r="V190" s="236"/>
      <c r="W190" s="236"/>
      <c r="X190" s="236"/>
      <c r="Y190" s="236"/>
      <c r="Z190" s="236"/>
      <c r="AA190" s="236"/>
    </row>
    <row r="191" spans="21:27" hidden="1">
      <c r="U191" s="236"/>
      <c r="V191" s="236"/>
      <c r="W191" s="236"/>
      <c r="X191" s="236"/>
      <c r="Y191" s="236"/>
      <c r="Z191" s="236"/>
      <c r="AA191" s="236"/>
    </row>
    <row r="192" spans="21:27" hidden="1">
      <c r="U192" s="236"/>
      <c r="V192" s="236"/>
      <c r="W192" s="236"/>
      <c r="X192" s="236"/>
      <c r="Y192" s="236"/>
      <c r="Z192" s="236"/>
      <c r="AA192" s="236"/>
    </row>
    <row r="193" spans="21:27" hidden="1">
      <c r="U193" s="236"/>
      <c r="V193" s="236"/>
      <c r="W193" s="236"/>
      <c r="X193" s="236"/>
      <c r="Y193" s="236"/>
      <c r="Z193" s="236"/>
      <c r="AA193" s="236"/>
    </row>
    <row r="194" spans="21:27" hidden="1">
      <c r="U194" s="236"/>
      <c r="V194" s="236"/>
      <c r="W194" s="236"/>
      <c r="X194" s="236"/>
      <c r="Y194" s="236"/>
      <c r="Z194" s="236"/>
      <c r="AA194" s="236"/>
    </row>
    <row r="195" spans="21:27" hidden="1">
      <c r="U195" s="236"/>
      <c r="V195" s="236"/>
      <c r="W195" s="236"/>
      <c r="X195" s="236"/>
      <c r="Y195" s="236"/>
      <c r="Z195" s="236"/>
      <c r="AA195" s="236"/>
    </row>
    <row r="196" spans="21:27" hidden="1">
      <c r="U196" s="236"/>
      <c r="V196" s="236"/>
      <c r="W196" s="236"/>
      <c r="X196" s="236"/>
      <c r="Y196" s="236"/>
      <c r="Z196" s="236"/>
      <c r="AA196" s="236"/>
    </row>
    <row r="197" spans="21:27" hidden="1">
      <c r="U197" s="236"/>
      <c r="V197" s="236"/>
      <c r="W197" s="236"/>
      <c r="X197" s="236"/>
      <c r="Y197" s="236"/>
      <c r="Z197" s="236"/>
      <c r="AA197" s="236"/>
    </row>
    <row r="198" spans="21:27" hidden="1">
      <c r="U198" s="236"/>
      <c r="V198" s="236"/>
      <c r="W198" s="236"/>
      <c r="X198" s="236"/>
      <c r="Y198" s="236"/>
      <c r="Z198" s="236"/>
      <c r="AA198" s="236"/>
    </row>
    <row r="199" spans="21:27" hidden="1">
      <c r="U199" s="236"/>
      <c r="V199" s="236"/>
      <c r="W199" s="236"/>
      <c r="X199" s="236"/>
      <c r="Y199" s="236"/>
      <c r="Z199" s="236"/>
      <c r="AA199" s="236"/>
    </row>
    <row r="200" spans="21:27" hidden="1">
      <c r="U200" s="236"/>
      <c r="V200" s="236"/>
      <c r="W200" s="236"/>
      <c r="X200" s="236"/>
      <c r="Y200" s="236"/>
      <c r="Z200" s="236"/>
      <c r="AA200" s="236"/>
    </row>
    <row r="201" spans="21:27" hidden="1">
      <c r="U201" s="236"/>
      <c r="V201" s="236"/>
      <c r="W201" s="236"/>
      <c r="X201" s="236"/>
      <c r="Y201" s="236"/>
      <c r="Z201" s="236"/>
      <c r="AA201" s="236"/>
    </row>
    <row r="202" spans="21:27" hidden="1">
      <c r="U202" s="236"/>
      <c r="V202" s="236"/>
      <c r="W202" s="236"/>
      <c r="X202" s="236"/>
      <c r="Y202" s="236"/>
      <c r="Z202" s="236"/>
      <c r="AA202" s="236"/>
    </row>
    <row r="203" spans="21:27" hidden="1">
      <c r="U203" s="236"/>
      <c r="V203" s="236"/>
      <c r="W203" s="236"/>
      <c r="X203" s="236"/>
      <c r="Y203" s="236"/>
      <c r="Z203" s="236"/>
      <c r="AA203" s="236"/>
    </row>
    <row r="204" spans="21:27" hidden="1">
      <c r="U204" s="236"/>
      <c r="V204" s="236"/>
      <c r="W204" s="236"/>
      <c r="X204" s="236"/>
      <c r="Y204" s="236"/>
      <c r="Z204" s="236"/>
      <c r="AA204" s="236"/>
    </row>
    <row r="205" spans="21:27" hidden="1">
      <c r="U205" s="236"/>
      <c r="V205" s="236"/>
      <c r="W205" s="236"/>
      <c r="X205" s="236"/>
      <c r="Y205" s="236"/>
      <c r="Z205" s="236"/>
      <c r="AA205" s="236"/>
    </row>
    <row r="206" spans="21:27" hidden="1">
      <c r="U206" s="236"/>
      <c r="V206" s="236"/>
      <c r="W206" s="236"/>
      <c r="X206" s="236"/>
      <c r="Y206" s="236"/>
      <c r="Z206" s="236"/>
      <c r="AA206" s="236"/>
    </row>
    <row r="207" spans="21:27" hidden="1">
      <c r="U207" s="236"/>
      <c r="V207" s="236"/>
      <c r="W207" s="236"/>
      <c r="X207" s="236"/>
      <c r="Y207" s="236"/>
      <c r="Z207" s="236"/>
      <c r="AA207" s="236"/>
    </row>
    <row r="208" spans="21:27" hidden="1">
      <c r="U208" s="236"/>
      <c r="V208" s="236"/>
      <c r="W208" s="236"/>
      <c r="X208" s="236"/>
      <c r="Y208" s="236"/>
      <c r="Z208" s="236"/>
      <c r="AA208" s="236"/>
    </row>
    <row r="209" spans="21:27" hidden="1">
      <c r="U209" s="236"/>
      <c r="V209" s="236"/>
      <c r="W209" s="236"/>
      <c r="X209" s="236"/>
      <c r="Y209" s="236"/>
      <c r="Z209" s="236"/>
      <c r="AA209" s="236"/>
    </row>
    <row r="210" spans="21:27" hidden="1">
      <c r="U210" s="236"/>
      <c r="V210" s="236"/>
      <c r="W210" s="236"/>
      <c r="X210" s="236"/>
      <c r="Y210" s="236"/>
      <c r="Z210" s="236"/>
      <c r="AA210" s="236"/>
    </row>
    <row r="211" spans="21:27" hidden="1">
      <c r="U211" s="236"/>
      <c r="V211" s="236"/>
      <c r="W211" s="236"/>
      <c r="X211" s="236"/>
      <c r="Y211" s="236"/>
      <c r="Z211" s="236"/>
      <c r="AA211" s="236"/>
    </row>
    <row r="212" spans="21:27" hidden="1">
      <c r="U212" s="236"/>
      <c r="V212" s="236"/>
      <c r="W212" s="236"/>
      <c r="X212" s="236"/>
      <c r="Y212" s="236"/>
      <c r="Z212" s="236"/>
      <c r="AA212" s="236"/>
    </row>
    <row r="213" spans="21:27" hidden="1">
      <c r="U213" s="236"/>
      <c r="V213" s="236"/>
      <c r="W213" s="236"/>
      <c r="X213" s="236"/>
      <c r="Y213" s="236"/>
      <c r="Z213" s="236"/>
      <c r="AA213" s="236"/>
    </row>
    <row r="214" spans="21:27" hidden="1">
      <c r="U214" s="236"/>
      <c r="V214" s="236"/>
      <c r="W214" s="236"/>
      <c r="X214" s="236"/>
      <c r="Y214" s="236"/>
      <c r="Z214" s="236"/>
      <c r="AA214" s="236"/>
    </row>
    <row r="215" spans="21:27" hidden="1">
      <c r="U215" s="236"/>
      <c r="V215" s="236"/>
      <c r="W215" s="236"/>
      <c r="X215" s="236"/>
      <c r="Y215" s="236"/>
      <c r="Z215" s="236"/>
      <c r="AA215" s="236"/>
    </row>
    <row r="216" spans="21:27" hidden="1">
      <c r="U216" s="236"/>
      <c r="V216" s="236"/>
      <c r="W216" s="236"/>
      <c r="X216" s="236"/>
      <c r="Y216" s="236"/>
      <c r="Z216" s="236"/>
      <c r="AA216" s="236"/>
    </row>
    <row r="217" spans="21:27" hidden="1">
      <c r="U217" s="236"/>
      <c r="V217" s="236"/>
      <c r="W217" s="236"/>
      <c r="X217" s="236"/>
      <c r="Y217" s="236"/>
      <c r="Z217" s="236"/>
      <c r="AA217" s="236"/>
    </row>
    <row r="218" spans="21:27" hidden="1">
      <c r="U218" s="236"/>
      <c r="V218" s="236"/>
      <c r="W218" s="236"/>
      <c r="X218" s="236"/>
      <c r="Y218" s="236"/>
      <c r="Z218" s="236"/>
      <c r="AA218" s="236"/>
    </row>
    <row r="219" spans="21:27" hidden="1">
      <c r="U219" s="236"/>
      <c r="V219" s="236"/>
      <c r="W219" s="236"/>
      <c r="X219" s="236"/>
      <c r="Y219" s="236"/>
      <c r="Z219" s="236"/>
      <c r="AA219" s="236"/>
    </row>
    <row r="220" spans="21:27" hidden="1">
      <c r="U220" s="236"/>
      <c r="V220" s="236"/>
      <c r="W220" s="236"/>
      <c r="X220" s="236"/>
      <c r="Y220" s="236"/>
      <c r="Z220" s="236"/>
      <c r="AA220" s="236"/>
    </row>
    <row r="221" spans="21:27" hidden="1">
      <c r="U221" s="236"/>
      <c r="V221" s="236"/>
      <c r="W221" s="236"/>
      <c r="X221" s="236"/>
      <c r="Y221" s="236"/>
      <c r="Z221" s="236"/>
      <c r="AA221" s="236"/>
    </row>
    <row r="222" spans="21:27" hidden="1">
      <c r="U222" s="236"/>
      <c r="V222" s="236"/>
      <c r="W222" s="236"/>
      <c r="X222" s="236"/>
      <c r="Y222" s="236"/>
      <c r="Z222" s="236"/>
      <c r="AA222" s="236"/>
    </row>
    <row r="223" spans="21:27" hidden="1">
      <c r="U223" s="236"/>
      <c r="V223" s="236"/>
      <c r="W223" s="236"/>
      <c r="X223" s="236"/>
      <c r="Y223" s="236"/>
      <c r="Z223" s="236"/>
      <c r="AA223" s="236"/>
    </row>
    <row r="224" spans="21:27" hidden="1">
      <c r="U224" s="236"/>
      <c r="V224" s="236"/>
      <c r="W224" s="236"/>
      <c r="X224" s="236"/>
      <c r="Y224" s="236"/>
      <c r="Z224" s="236"/>
      <c r="AA224" s="236"/>
    </row>
    <row r="225" spans="21:27" hidden="1">
      <c r="U225" s="236"/>
      <c r="V225" s="236"/>
      <c r="W225" s="236"/>
      <c r="X225" s="236"/>
      <c r="Y225" s="236"/>
      <c r="Z225" s="236"/>
      <c r="AA225" s="236"/>
    </row>
    <row r="226" spans="21:27" hidden="1">
      <c r="U226" s="236"/>
      <c r="V226" s="236"/>
      <c r="W226" s="236"/>
      <c r="X226" s="236"/>
      <c r="Y226" s="236"/>
      <c r="Z226" s="236"/>
      <c r="AA226" s="236"/>
    </row>
    <row r="227" spans="21:27" hidden="1">
      <c r="U227" s="236"/>
      <c r="V227" s="236"/>
      <c r="W227" s="236"/>
      <c r="X227" s="236"/>
      <c r="Y227" s="236"/>
      <c r="Z227" s="236"/>
      <c r="AA227" s="236"/>
    </row>
    <row r="228" spans="21:27" hidden="1">
      <c r="U228" s="236"/>
      <c r="V228" s="236"/>
      <c r="W228" s="236"/>
      <c r="X228" s="236"/>
      <c r="Y228" s="236"/>
      <c r="Z228" s="236"/>
      <c r="AA228" s="236"/>
    </row>
    <row r="229" spans="21:27" hidden="1">
      <c r="U229" s="236"/>
      <c r="V229" s="236"/>
      <c r="W229" s="236"/>
      <c r="X229" s="236"/>
      <c r="Y229" s="236"/>
      <c r="Z229" s="236"/>
      <c r="AA229" s="236"/>
    </row>
    <row r="230" spans="21:27" hidden="1">
      <c r="U230" s="236"/>
      <c r="V230" s="236"/>
      <c r="W230" s="236"/>
      <c r="X230" s="236"/>
      <c r="Y230" s="236"/>
      <c r="Z230" s="236"/>
      <c r="AA230" s="236"/>
    </row>
    <row r="231" spans="21:27" hidden="1">
      <c r="U231" s="236"/>
      <c r="V231" s="236"/>
      <c r="W231" s="236"/>
      <c r="X231" s="236"/>
      <c r="Y231" s="236"/>
      <c r="Z231" s="236"/>
      <c r="AA231" s="236"/>
    </row>
    <row r="232" spans="21:27" hidden="1">
      <c r="U232" s="236"/>
      <c r="V232" s="236"/>
      <c r="W232" s="236"/>
      <c r="X232" s="236"/>
      <c r="Y232" s="236"/>
      <c r="Z232" s="236"/>
      <c r="AA232" s="236"/>
    </row>
    <row r="233" spans="21:27" hidden="1">
      <c r="U233" s="236"/>
      <c r="V233" s="236"/>
      <c r="W233" s="236"/>
      <c r="X233" s="236"/>
      <c r="Y233" s="236"/>
      <c r="Z233" s="236"/>
      <c r="AA233" s="236"/>
    </row>
    <row r="234" spans="21:27" hidden="1">
      <c r="U234" s="236"/>
      <c r="V234" s="236"/>
      <c r="W234" s="236"/>
      <c r="X234" s="236"/>
      <c r="Y234" s="236"/>
      <c r="Z234" s="236"/>
      <c r="AA234" s="236"/>
    </row>
    <row r="235" spans="21:27" hidden="1">
      <c r="U235" s="236"/>
      <c r="V235" s="236"/>
      <c r="W235" s="236"/>
      <c r="X235" s="236"/>
      <c r="Y235" s="236"/>
      <c r="Z235" s="236"/>
      <c r="AA235" s="236"/>
    </row>
    <row r="236" spans="21:27" hidden="1">
      <c r="U236" s="236"/>
      <c r="V236" s="236"/>
      <c r="W236" s="236"/>
      <c r="X236" s="236"/>
      <c r="Y236" s="236"/>
      <c r="Z236" s="236"/>
      <c r="AA236" s="236"/>
    </row>
    <row r="237" spans="21:27" hidden="1">
      <c r="U237" s="236"/>
      <c r="V237" s="236"/>
      <c r="W237" s="236"/>
      <c r="X237" s="236"/>
      <c r="Y237" s="236"/>
      <c r="Z237" s="236"/>
      <c r="AA237" s="236"/>
    </row>
    <row r="238" spans="21:27" hidden="1">
      <c r="U238" s="236"/>
      <c r="V238" s="236"/>
      <c r="W238" s="236"/>
      <c r="X238" s="236"/>
      <c r="Y238" s="236"/>
      <c r="Z238" s="236"/>
      <c r="AA238" s="236"/>
    </row>
    <row r="239" spans="21:27" hidden="1">
      <c r="U239" s="236"/>
      <c r="V239" s="236"/>
      <c r="W239" s="236"/>
      <c r="X239" s="236"/>
      <c r="Y239" s="236"/>
      <c r="Z239" s="236"/>
      <c r="AA239" s="236"/>
    </row>
    <row r="240" spans="21:27" hidden="1">
      <c r="U240" s="236"/>
      <c r="V240" s="236"/>
      <c r="W240" s="236"/>
      <c r="X240" s="236"/>
      <c r="Y240" s="236"/>
      <c r="Z240" s="236"/>
      <c r="AA240" s="236"/>
    </row>
    <row r="241" spans="21:27" hidden="1">
      <c r="U241" s="236"/>
      <c r="V241" s="236"/>
      <c r="W241" s="236"/>
      <c r="X241" s="236"/>
      <c r="Y241" s="236"/>
      <c r="Z241" s="236"/>
      <c r="AA241" s="236"/>
    </row>
    <row r="242" spans="21:27" hidden="1">
      <c r="U242" s="236"/>
      <c r="V242" s="236"/>
      <c r="W242" s="236"/>
      <c r="X242" s="236"/>
      <c r="Y242" s="236"/>
      <c r="Z242" s="236"/>
      <c r="AA242" s="236"/>
    </row>
    <row r="243" spans="21:27" hidden="1">
      <c r="U243" s="236"/>
      <c r="V243" s="236"/>
      <c r="W243" s="236"/>
      <c r="X243" s="236"/>
      <c r="Y243" s="236"/>
      <c r="Z243" s="236"/>
      <c r="AA243" s="236"/>
    </row>
    <row r="244" spans="21:27" hidden="1">
      <c r="U244" s="236"/>
      <c r="V244" s="236"/>
      <c r="W244" s="236"/>
      <c r="X244" s="236"/>
      <c r="Y244" s="236"/>
      <c r="Z244" s="236"/>
      <c r="AA244" s="236"/>
    </row>
    <row r="245" spans="21:27" hidden="1">
      <c r="U245" s="236"/>
      <c r="V245" s="236"/>
      <c r="W245" s="236"/>
      <c r="X245" s="236"/>
      <c r="Y245" s="236"/>
      <c r="Z245" s="236"/>
      <c r="AA245" s="236"/>
    </row>
    <row r="246" spans="21:27" hidden="1">
      <c r="U246" s="236"/>
      <c r="V246" s="236"/>
      <c r="W246" s="236"/>
      <c r="X246" s="236"/>
      <c r="Y246" s="236"/>
      <c r="Z246" s="236"/>
      <c r="AA246" s="236"/>
    </row>
    <row r="247" spans="21:27" hidden="1">
      <c r="U247" s="236"/>
      <c r="V247" s="236"/>
      <c r="W247" s="236"/>
      <c r="X247" s="236"/>
      <c r="Y247" s="236"/>
      <c r="Z247" s="236"/>
      <c r="AA247" s="236"/>
    </row>
    <row r="248" spans="21:27" hidden="1">
      <c r="U248" s="236"/>
      <c r="V248" s="236"/>
      <c r="W248" s="236"/>
      <c r="X248" s="236"/>
      <c r="Y248" s="236"/>
      <c r="Z248" s="236"/>
      <c r="AA248" s="236"/>
    </row>
    <row r="249" spans="21:27" hidden="1">
      <c r="U249" s="236"/>
      <c r="V249" s="236"/>
      <c r="W249" s="236"/>
      <c r="X249" s="236"/>
      <c r="Y249" s="236"/>
      <c r="Z249" s="236"/>
      <c r="AA249" s="236"/>
    </row>
    <row r="250" spans="21:27" hidden="1">
      <c r="U250" s="236"/>
      <c r="V250" s="236"/>
      <c r="W250" s="236"/>
      <c r="X250" s="236"/>
      <c r="Y250" s="236"/>
      <c r="Z250" s="236"/>
      <c r="AA250" s="236"/>
    </row>
    <row r="251" spans="21:27" hidden="1">
      <c r="U251" s="236"/>
      <c r="V251" s="236"/>
      <c r="W251" s="236"/>
      <c r="X251" s="236"/>
      <c r="Y251" s="236"/>
      <c r="Z251" s="236"/>
      <c r="AA251" s="236"/>
    </row>
    <row r="252" spans="21:27" hidden="1">
      <c r="U252" s="236"/>
      <c r="V252" s="236"/>
      <c r="W252" s="236"/>
      <c r="X252" s="236"/>
      <c r="Y252" s="236"/>
      <c r="Z252" s="236"/>
      <c r="AA252" s="236"/>
    </row>
    <row r="253" spans="21:27" hidden="1">
      <c r="U253" s="236"/>
      <c r="V253" s="236"/>
      <c r="W253" s="236"/>
      <c r="X253" s="236"/>
      <c r="Y253" s="236"/>
      <c r="Z253" s="236"/>
      <c r="AA253" s="236"/>
    </row>
    <row r="254" spans="21:27" hidden="1">
      <c r="U254" s="236"/>
      <c r="V254" s="236"/>
      <c r="W254" s="236"/>
      <c r="X254" s="236"/>
      <c r="Y254" s="236"/>
      <c r="Z254" s="236"/>
      <c r="AA254" s="236"/>
    </row>
    <row r="255" spans="21:27" hidden="1">
      <c r="U255" s="236"/>
      <c r="V255" s="236"/>
      <c r="W255" s="236"/>
      <c r="X255" s="236"/>
      <c r="Y255" s="236"/>
      <c r="Z255" s="236"/>
      <c r="AA255" s="236"/>
    </row>
    <row r="256" spans="21:27" hidden="1">
      <c r="U256" s="236"/>
      <c r="V256" s="236"/>
      <c r="W256" s="236"/>
      <c r="X256" s="236"/>
      <c r="Y256" s="236"/>
      <c r="Z256" s="236"/>
      <c r="AA256" s="236"/>
    </row>
    <row r="257" spans="21:27" hidden="1">
      <c r="U257" s="236"/>
      <c r="V257" s="236"/>
      <c r="W257" s="236"/>
      <c r="X257" s="236"/>
      <c r="Y257" s="236"/>
      <c r="Z257" s="236"/>
      <c r="AA257" s="236"/>
    </row>
    <row r="258" spans="21:27" hidden="1">
      <c r="U258" s="236"/>
      <c r="V258" s="236"/>
      <c r="W258" s="236"/>
      <c r="X258" s="236"/>
      <c r="Y258" s="236"/>
      <c r="Z258" s="236"/>
      <c r="AA258" s="236"/>
    </row>
    <row r="259" spans="21:27" hidden="1">
      <c r="U259" s="236"/>
      <c r="V259" s="236"/>
      <c r="W259" s="236"/>
      <c r="X259" s="236"/>
      <c r="Y259" s="236"/>
      <c r="Z259" s="236"/>
      <c r="AA259" s="236"/>
    </row>
    <row r="260" spans="21:27" hidden="1">
      <c r="U260" s="236"/>
      <c r="V260" s="236"/>
      <c r="W260" s="236"/>
      <c r="X260" s="236"/>
      <c r="Y260" s="236"/>
      <c r="Z260" s="236"/>
      <c r="AA260" s="236"/>
    </row>
    <row r="261" spans="21:27" hidden="1">
      <c r="U261" s="236"/>
      <c r="V261" s="236"/>
      <c r="W261" s="236"/>
      <c r="X261" s="236"/>
      <c r="Y261" s="236"/>
      <c r="Z261" s="236"/>
      <c r="AA261" s="236"/>
    </row>
    <row r="262" spans="21:27" hidden="1">
      <c r="U262" s="236"/>
      <c r="V262" s="236"/>
      <c r="W262" s="236"/>
      <c r="X262" s="236"/>
      <c r="Y262" s="236"/>
      <c r="Z262" s="236"/>
      <c r="AA262" s="236"/>
    </row>
    <row r="263" spans="21:27" hidden="1">
      <c r="U263" s="236"/>
      <c r="V263" s="236"/>
      <c r="W263" s="236"/>
      <c r="X263" s="236"/>
      <c r="Y263" s="236"/>
      <c r="Z263" s="236"/>
      <c r="AA263" s="236"/>
    </row>
    <row r="264" spans="21:27" hidden="1">
      <c r="U264" s="236"/>
      <c r="V264" s="236"/>
      <c r="W264" s="236"/>
      <c r="X264" s="236"/>
      <c r="Y264" s="236"/>
      <c r="Z264" s="236"/>
      <c r="AA264" s="236"/>
    </row>
    <row r="265" spans="21:27" hidden="1">
      <c r="U265" s="236"/>
      <c r="V265" s="236"/>
      <c r="W265" s="236"/>
      <c r="X265" s="236"/>
      <c r="Y265" s="236"/>
      <c r="Z265" s="236"/>
      <c r="AA265" s="236"/>
    </row>
    <row r="266" spans="21:27" hidden="1">
      <c r="U266" s="236"/>
      <c r="V266" s="236"/>
      <c r="W266" s="236"/>
      <c r="X266" s="236"/>
      <c r="Y266" s="236"/>
      <c r="Z266" s="236"/>
      <c r="AA266" s="236"/>
    </row>
    <row r="267" spans="21:27" hidden="1">
      <c r="U267" s="236"/>
      <c r="V267" s="236"/>
      <c r="W267" s="236"/>
      <c r="X267" s="236"/>
      <c r="Y267" s="236"/>
      <c r="Z267" s="236"/>
      <c r="AA267" s="236"/>
    </row>
    <row r="268" spans="21:27" hidden="1">
      <c r="U268" s="236"/>
      <c r="V268" s="236"/>
      <c r="W268" s="236"/>
      <c r="X268" s="236"/>
      <c r="Y268" s="236"/>
      <c r="Z268" s="236"/>
      <c r="AA268" s="236"/>
    </row>
    <row r="269" spans="21:27" hidden="1">
      <c r="U269" s="236"/>
      <c r="V269" s="236"/>
      <c r="W269" s="236"/>
      <c r="X269" s="236"/>
      <c r="Y269" s="236"/>
      <c r="Z269" s="236"/>
      <c r="AA269" s="236"/>
    </row>
    <row r="270" spans="21:27" hidden="1">
      <c r="U270" s="236"/>
      <c r="V270" s="236"/>
      <c r="W270" s="236"/>
      <c r="X270" s="236"/>
      <c r="Y270" s="236"/>
      <c r="Z270" s="236"/>
      <c r="AA270" s="236"/>
    </row>
    <row r="271" spans="21:27" hidden="1">
      <c r="U271" s="236"/>
      <c r="V271" s="236"/>
      <c r="W271" s="236"/>
      <c r="X271" s="236"/>
      <c r="Y271" s="236"/>
      <c r="Z271" s="236"/>
      <c r="AA271" s="236"/>
    </row>
    <row r="272" spans="21:27" hidden="1">
      <c r="U272" s="236"/>
      <c r="V272" s="236"/>
      <c r="W272" s="236"/>
      <c r="X272" s="236"/>
      <c r="Y272" s="236"/>
      <c r="Z272" s="236"/>
      <c r="AA272" s="236"/>
    </row>
    <row r="273" spans="21:27" hidden="1">
      <c r="U273" s="236"/>
      <c r="V273" s="236"/>
      <c r="W273" s="236"/>
      <c r="X273" s="236"/>
      <c r="Y273" s="236"/>
      <c r="Z273" s="236"/>
      <c r="AA273" s="236"/>
    </row>
    <row r="274" spans="21:27" hidden="1">
      <c r="U274" s="236"/>
      <c r="V274" s="236"/>
      <c r="W274" s="236"/>
      <c r="X274" s="236"/>
      <c r="Y274" s="236"/>
      <c r="Z274" s="236"/>
      <c r="AA274" s="236"/>
    </row>
    <row r="275" spans="21:27" hidden="1">
      <c r="U275" s="236"/>
      <c r="V275" s="236"/>
      <c r="W275" s="236"/>
      <c r="X275" s="236"/>
      <c r="Y275" s="236"/>
      <c r="Z275" s="236"/>
      <c r="AA275" s="236"/>
    </row>
    <row r="276" spans="21:27" hidden="1">
      <c r="U276" s="236"/>
      <c r="V276" s="236"/>
      <c r="W276" s="236"/>
      <c r="X276" s="236"/>
      <c r="Y276" s="236"/>
      <c r="Z276" s="236"/>
      <c r="AA276" s="236"/>
    </row>
    <row r="277" spans="21:27" hidden="1">
      <c r="U277" s="236"/>
      <c r="V277" s="236"/>
      <c r="W277" s="236"/>
      <c r="X277" s="236"/>
      <c r="Y277" s="236"/>
      <c r="Z277" s="236"/>
      <c r="AA277" s="236"/>
    </row>
    <row r="278" spans="21:27" hidden="1">
      <c r="U278" s="236"/>
      <c r="V278" s="236"/>
      <c r="W278" s="236"/>
      <c r="X278" s="236"/>
      <c r="Y278" s="236"/>
      <c r="Z278" s="236"/>
      <c r="AA278" s="236"/>
    </row>
    <row r="279" spans="21:27" hidden="1">
      <c r="U279" s="236"/>
      <c r="V279" s="236"/>
      <c r="W279" s="236"/>
      <c r="X279" s="236"/>
      <c r="Y279" s="236"/>
      <c r="Z279" s="236"/>
      <c r="AA279" s="236"/>
    </row>
    <row r="280" spans="21:27" hidden="1">
      <c r="U280" s="236"/>
      <c r="V280" s="236"/>
      <c r="W280" s="236"/>
      <c r="X280" s="236"/>
      <c r="Y280" s="236"/>
      <c r="Z280" s="236"/>
      <c r="AA280" s="236"/>
    </row>
    <row r="281" spans="21:27" hidden="1">
      <c r="U281" s="236"/>
      <c r="V281" s="236"/>
      <c r="W281" s="236"/>
      <c r="X281" s="236"/>
      <c r="Y281" s="236"/>
      <c r="Z281" s="236"/>
      <c r="AA281" s="236"/>
    </row>
    <row r="282" spans="21:27" hidden="1">
      <c r="U282" s="236"/>
      <c r="V282" s="236"/>
      <c r="W282" s="236"/>
      <c r="X282" s="236"/>
      <c r="Y282" s="236"/>
      <c r="Z282" s="236"/>
      <c r="AA282" s="236"/>
    </row>
    <row r="283" spans="21:27" hidden="1">
      <c r="U283" s="236"/>
      <c r="V283" s="236"/>
      <c r="W283" s="236"/>
      <c r="X283" s="236"/>
      <c r="Y283" s="236"/>
      <c r="Z283" s="236"/>
      <c r="AA283" s="236"/>
    </row>
    <row r="284" spans="21:27" hidden="1">
      <c r="U284" s="236"/>
      <c r="V284" s="236"/>
      <c r="W284" s="236"/>
      <c r="X284" s="236"/>
      <c r="Y284" s="236"/>
      <c r="Z284" s="236"/>
      <c r="AA284" s="236"/>
    </row>
    <row r="285" spans="21:27" hidden="1">
      <c r="U285" s="236"/>
      <c r="V285" s="236"/>
      <c r="W285" s="236"/>
      <c r="X285" s="236"/>
      <c r="Y285" s="236"/>
      <c r="Z285" s="236"/>
      <c r="AA285" s="236"/>
    </row>
    <row r="286" spans="21:27" hidden="1">
      <c r="U286" s="236"/>
      <c r="V286" s="236"/>
      <c r="W286" s="236"/>
      <c r="X286" s="236"/>
      <c r="Y286" s="236"/>
      <c r="Z286" s="236"/>
      <c r="AA286" s="236"/>
    </row>
    <row r="287" spans="21:27" hidden="1">
      <c r="U287" s="236"/>
      <c r="V287" s="236"/>
      <c r="W287" s="236"/>
      <c r="X287" s="236"/>
      <c r="Y287" s="236"/>
      <c r="Z287" s="236"/>
      <c r="AA287" s="236"/>
    </row>
    <row r="288" spans="21:27" hidden="1">
      <c r="U288" s="236"/>
      <c r="V288" s="236"/>
      <c r="W288" s="236"/>
      <c r="X288" s="236"/>
      <c r="Y288" s="236"/>
      <c r="Z288" s="236"/>
      <c r="AA288" s="236"/>
    </row>
    <row r="289" spans="21:27" hidden="1">
      <c r="U289" s="236"/>
      <c r="V289" s="236"/>
      <c r="W289" s="236"/>
      <c r="X289" s="236"/>
      <c r="Y289" s="236"/>
      <c r="Z289" s="236"/>
      <c r="AA289" s="236"/>
    </row>
    <row r="290" spans="21:27" hidden="1">
      <c r="U290" s="236"/>
      <c r="V290" s="236"/>
      <c r="W290" s="236"/>
      <c r="X290" s="236"/>
      <c r="Y290" s="236"/>
      <c r="Z290" s="236"/>
      <c r="AA290" s="236"/>
    </row>
    <row r="291" spans="21:27" hidden="1">
      <c r="U291" s="236"/>
      <c r="V291" s="236"/>
      <c r="W291" s="236"/>
      <c r="X291" s="236"/>
      <c r="Y291" s="236"/>
      <c r="Z291" s="236"/>
      <c r="AA291" s="236"/>
    </row>
    <row r="292" spans="21:27" hidden="1">
      <c r="U292" s="236"/>
      <c r="V292" s="236"/>
      <c r="W292" s="236"/>
      <c r="X292" s="236"/>
      <c r="Y292" s="236"/>
      <c r="Z292" s="236"/>
      <c r="AA292" s="236"/>
    </row>
    <row r="293" spans="21:27" hidden="1">
      <c r="U293" s="236"/>
      <c r="V293" s="236"/>
      <c r="W293" s="236"/>
      <c r="X293" s="236"/>
      <c r="Y293" s="236"/>
      <c r="Z293" s="236"/>
      <c r="AA293" s="236"/>
    </row>
    <row r="294" spans="21:27" hidden="1">
      <c r="U294" s="236"/>
      <c r="V294" s="236"/>
      <c r="W294" s="236"/>
      <c r="X294" s="236"/>
      <c r="Y294" s="236"/>
      <c r="Z294" s="236"/>
      <c r="AA294" s="236"/>
    </row>
    <row r="295" spans="21:27" hidden="1">
      <c r="U295" s="236"/>
      <c r="V295" s="236"/>
      <c r="W295" s="236"/>
      <c r="X295" s="236"/>
      <c r="Y295" s="236"/>
      <c r="Z295" s="236"/>
      <c r="AA295" s="236"/>
    </row>
    <row r="296" spans="21:27" hidden="1">
      <c r="U296" s="236"/>
      <c r="V296" s="236"/>
      <c r="W296" s="236"/>
      <c r="X296" s="236"/>
      <c r="Y296" s="236"/>
      <c r="Z296" s="236"/>
      <c r="AA296" s="236"/>
    </row>
    <row r="297" spans="21:27" hidden="1">
      <c r="U297" s="236"/>
      <c r="V297" s="236"/>
      <c r="W297" s="236"/>
      <c r="X297" s="236"/>
      <c r="Y297" s="236"/>
      <c r="Z297" s="236"/>
      <c r="AA297" s="236"/>
    </row>
    <row r="298" spans="21:27" hidden="1">
      <c r="U298" s="236"/>
      <c r="V298" s="236"/>
      <c r="W298" s="236"/>
      <c r="X298" s="236"/>
      <c r="Y298" s="236"/>
      <c r="Z298" s="236"/>
      <c r="AA298" s="236"/>
    </row>
    <row r="299" spans="21:27" hidden="1">
      <c r="U299" s="236"/>
      <c r="V299" s="236"/>
      <c r="W299" s="236"/>
      <c r="X299" s="236"/>
      <c r="Y299" s="236"/>
      <c r="Z299" s="236"/>
      <c r="AA299" s="236"/>
    </row>
    <row r="300" spans="21:27" hidden="1">
      <c r="U300" s="236"/>
      <c r="V300" s="236"/>
      <c r="W300" s="236"/>
      <c r="X300" s="236"/>
      <c r="Y300" s="236"/>
      <c r="Z300" s="236"/>
      <c r="AA300" s="236"/>
    </row>
    <row r="301" spans="21:27" hidden="1">
      <c r="U301" s="236"/>
      <c r="V301" s="236"/>
      <c r="W301" s="236"/>
      <c r="X301" s="236"/>
      <c r="Y301" s="236"/>
      <c r="Z301" s="236"/>
      <c r="AA301" s="236"/>
    </row>
    <row r="302" spans="21:27" hidden="1">
      <c r="U302" s="236"/>
      <c r="V302" s="236"/>
      <c r="W302" s="236"/>
      <c r="X302" s="236"/>
      <c r="Y302" s="236"/>
      <c r="Z302" s="236"/>
      <c r="AA302" s="236"/>
    </row>
    <row r="303" spans="21:27" hidden="1">
      <c r="U303" s="236"/>
      <c r="V303" s="236"/>
      <c r="W303" s="236"/>
      <c r="X303" s="236"/>
      <c r="Y303" s="236"/>
      <c r="Z303" s="236"/>
      <c r="AA303" s="236"/>
    </row>
    <row r="304" spans="21:27" hidden="1">
      <c r="U304" s="236"/>
      <c r="V304" s="236"/>
      <c r="W304" s="236"/>
      <c r="X304" s="236"/>
      <c r="Y304" s="236"/>
      <c r="Z304" s="236"/>
      <c r="AA304" s="236"/>
    </row>
    <row r="305" spans="21:27" hidden="1">
      <c r="U305" s="236"/>
      <c r="V305" s="236"/>
      <c r="W305" s="236"/>
      <c r="X305" s="236"/>
      <c r="Y305" s="236"/>
      <c r="Z305" s="236"/>
      <c r="AA305" s="236"/>
    </row>
    <row r="306" spans="21:27" hidden="1">
      <c r="U306" s="236"/>
      <c r="V306" s="236"/>
      <c r="W306" s="236"/>
      <c r="X306" s="236"/>
      <c r="Y306" s="236"/>
      <c r="Z306" s="236"/>
      <c r="AA306" s="236"/>
    </row>
    <row r="307" spans="21:27" hidden="1">
      <c r="U307" s="236"/>
      <c r="V307" s="236"/>
      <c r="W307" s="236"/>
      <c r="X307" s="236"/>
      <c r="Y307" s="236"/>
      <c r="Z307" s="236"/>
      <c r="AA307" s="236"/>
    </row>
    <row r="308" spans="21:27" hidden="1">
      <c r="U308" s="236"/>
      <c r="V308" s="236"/>
      <c r="W308" s="236"/>
      <c r="X308" s="236"/>
      <c r="Y308" s="236"/>
      <c r="Z308" s="236"/>
      <c r="AA308" s="236"/>
    </row>
    <row r="309" spans="21:27" hidden="1">
      <c r="U309" s="236"/>
      <c r="V309" s="236"/>
      <c r="W309" s="236"/>
      <c r="X309" s="236"/>
      <c r="Y309" s="236"/>
      <c r="Z309" s="236"/>
      <c r="AA309" s="236"/>
    </row>
    <row r="310" spans="21:27" hidden="1">
      <c r="U310" s="236"/>
      <c r="V310" s="236"/>
      <c r="W310" s="236"/>
      <c r="X310" s="236"/>
      <c r="Y310" s="236"/>
      <c r="Z310" s="236"/>
      <c r="AA310" s="236"/>
    </row>
    <row r="311" spans="21:27" hidden="1">
      <c r="U311" s="236"/>
      <c r="V311" s="236"/>
      <c r="W311" s="236"/>
      <c r="X311" s="236"/>
      <c r="Y311" s="236"/>
      <c r="Z311" s="236"/>
      <c r="AA311" s="236"/>
    </row>
    <row r="312" spans="21:27" hidden="1">
      <c r="U312" s="236"/>
      <c r="V312" s="236"/>
      <c r="W312" s="236"/>
      <c r="X312" s="236"/>
      <c r="Y312" s="236"/>
      <c r="Z312" s="236"/>
      <c r="AA312" s="236"/>
    </row>
    <row r="313" spans="21:27" hidden="1">
      <c r="U313" s="236"/>
      <c r="V313" s="236"/>
      <c r="W313" s="236"/>
      <c r="X313" s="236"/>
      <c r="Y313" s="236"/>
      <c r="Z313" s="236"/>
      <c r="AA313" s="236"/>
    </row>
    <row r="314" spans="21:27" hidden="1">
      <c r="U314" s="236"/>
      <c r="V314" s="236"/>
      <c r="W314" s="236"/>
      <c r="X314" s="236"/>
      <c r="Y314" s="236"/>
      <c r="Z314" s="236"/>
      <c r="AA314" s="236"/>
    </row>
    <row r="315" spans="21:27" hidden="1">
      <c r="U315" s="236"/>
      <c r="V315" s="236"/>
      <c r="W315" s="236"/>
      <c r="X315" s="236"/>
      <c r="Y315" s="236"/>
      <c r="Z315" s="236"/>
      <c r="AA315" s="236"/>
    </row>
    <row r="316" spans="21:27" hidden="1">
      <c r="U316" s="236"/>
      <c r="V316" s="236"/>
      <c r="W316" s="236"/>
      <c r="X316" s="236"/>
      <c r="Y316" s="236"/>
      <c r="Z316" s="236"/>
      <c r="AA316" s="236"/>
    </row>
    <row r="317" spans="21:27" hidden="1">
      <c r="U317" s="236"/>
      <c r="V317" s="236"/>
      <c r="W317" s="236"/>
      <c r="X317" s="236"/>
      <c r="Y317" s="236"/>
      <c r="Z317" s="236"/>
      <c r="AA317" s="236"/>
    </row>
    <row r="318" spans="21:27" hidden="1">
      <c r="U318" s="236"/>
      <c r="V318" s="236"/>
      <c r="W318" s="236"/>
      <c r="X318" s="236"/>
      <c r="Y318" s="236"/>
      <c r="Z318" s="236"/>
      <c r="AA318" s="236"/>
    </row>
    <row r="319" spans="21:27" hidden="1">
      <c r="U319" s="236"/>
      <c r="V319" s="236"/>
      <c r="W319" s="236"/>
      <c r="X319" s="236"/>
      <c r="Y319" s="236"/>
      <c r="Z319" s="236"/>
      <c r="AA319" s="236"/>
    </row>
    <row r="320" spans="21:27" hidden="1">
      <c r="U320" s="236"/>
      <c r="V320" s="236"/>
      <c r="W320" s="236"/>
      <c r="X320" s="236"/>
      <c r="Y320" s="236"/>
      <c r="Z320" s="236"/>
      <c r="AA320" s="236"/>
    </row>
    <row r="321" spans="21:27" hidden="1">
      <c r="U321" s="236"/>
      <c r="V321" s="236"/>
      <c r="W321" s="236"/>
      <c r="X321" s="236"/>
      <c r="Y321" s="236"/>
      <c r="Z321" s="236"/>
      <c r="AA321" s="236"/>
    </row>
    <row r="322" spans="21:27" hidden="1">
      <c r="U322" s="236"/>
      <c r="V322" s="236"/>
      <c r="W322" s="236"/>
      <c r="X322" s="236"/>
      <c r="Y322" s="236"/>
      <c r="Z322" s="236"/>
      <c r="AA322" s="236"/>
    </row>
    <row r="323" spans="21:27" hidden="1">
      <c r="U323" s="236"/>
      <c r="V323" s="236"/>
      <c r="W323" s="236"/>
      <c r="X323" s="236"/>
      <c r="Y323" s="236"/>
      <c r="Z323" s="236"/>
      <c r="AA323" s="236"/>
    </row>
    <row r="324" spans="21:27" hidden="1">
      <c r="U324" s="236"/>
      <c r="V324" s="236"/>
      <c r="W324" s="236"/>
      <c r="X324" s="236"/>
      <c r="Y324" s="236"/>
      <c r="Z324" s="236"/>
      <c r="AA324" s="236"/>
    </row>
    <row r="325" spans="21:27" hidden="1">
      <c r="U325" s="236"/>
      <c r="V325" s="236"/>
      <c r="W325" s="236"/>
      <c r="X325" s="236"/>
      <c r="Y325" s="236"/>
      <c r="Z325" s="236"/>
      <c r="AA325" s="236"/>
    </row>
    <row r="326" spans="21:27" hidden="1">
      <c r="U326" s="236"/>
      <c r="V326" s="236"/>
      <c r="W326" s="236"/>
      <c r="X326" s="236"/>
      <c r="Y326" s="236"/>
      <c r="Z326" s="236"/>
      <c r="AA326" s="236"/>
    </row>
    <row r="327" spans="21:27" hidden="1">
      <c r="U327" s="236"/>
      <c r="V327" s="236"/>
      <c r="W327" s="236"/>
      <c r="X327" s="236"/>
      <c r="Y327" s="236"/>
      <c r="Z327" s="236"/>
      <c r="AA327" s="236"/>
    </row>
    <row r="328" spans="21:27" hidden="1">
      <c r="U328" s="236"/>
      <c r="V328" s="236"/>
      <c r="W328" s="236"/>
      <c r="X328" s="236"/>
      <c r="Y328" s="236"/>
      <c r="Z328" s="236"/>
      <c r="AA328" s="236"/>
    </row>
    <row r="329" spans="21:27" hidden="1">
      <c r="U329" s="236"/>
      <c r="V329" s="236"/>
      <c r="W329" s="236"/>
      <c r="X329" s="236"/>
      <c r="Y329" s="236"/>
      <c r="Z329" s="236"/>
      <c r="AA329" s="236"/>
    </row>
    <row r="330" spans="21:27" hidden="1">
      <c r="U330" s="236"/>
      <c r="V330" s="236"/>
      <c r="W330" s="236"/>
      <c r="X330" s="236"/>
      <c r="Y330" s="236"/>
      <c r="Z330" s="236"/>
      <c r="AA330" s="236"/>
    </row>
    <row r="331" spans="21:27" hidden="1">
      <c r="U331" s="236"/>
      <c r="V331" s="236"/>
      <c r="W331" s="236"/>
      <c r="X331" s="236"/>
      <c r="Y331" s="236"/>
      <c r="Z331" s="236"/>
      <c r="AA331" s="236"/>
    </row>
    <row r="332" spans="21:27" hidden="1">
      <c r="U332" s="236"/>
      <c r="V332" s="236"/>
      <c r="W332" s="236"/>
      <c r="X332" s="236"/>
      <c r="Y332" s="236"/>
      <c r="Z332" s="236"/>
      <c r="AA332" s="236"/>
    </row>
    <row r="333" spans="21:27" hidden="1">
      <c r="U333" s="236"/>
      <c r="V333" s="236"/>
      <c r="W333" s="236"/>
      <c r="X333" s="236"/>
      <c r="Y333" s="236"/>
      <c r="Z333" s="236"/>
      <c r="AA333" s="236"/>
    </row>
    <row r="334" spans="21:27" hidden="1">
      <c r="U334" s="236"/>
      <c r="V334" s="236"/>
      <c r="W334" s="236"/>
      <c r="X334" s="236"/>
      <c r="Y334" s="236"/>
      <c r="Z334" s="236"/>
      <c r="AA334" s="236"/>
    </row>
    <row r="335" spans="21:27" hidden="1">
      <c r="U335" s="236"/>
      <c r="V335" s="236"/>
      <c r="W335" s="236"/>
      <c r="X335" s="236"/>
      <c r="Y335" s="236"/>
      <c r="Z335" s="236"/>
      <c r="AA335" s="236"/>
    </row>
    <row r="336" spans="21:27" hidden="1">
      <c r="U336" s="236"/>
      <c r="V336" s="236"/>
      <c r="W336" s="236"/>
      <c r="X336" s="236"/>
      <c r="Y336" s="236"/>
      <c r="Z336" s="236"/>
      <c r="AA336" s="236"/>
    </row>
    <row r="337" spans="21:27" hidden="1">
      <c r="U337" s="236"/>
      <c r="V337" s="236"/>
      <c r="W337" s="236"/>
      <c r="X337" s="236"/>
      <c r="Y337" s="236"/>
      <c r="Z337" s="236"/>
      <c r="AA337" s="236"/>
    </row>
    <row r="338" spans="21:27" hidden="1">
      <c r="U338" s="236"/>
      <c r="V338" s="236"/>
      <c r="W338" s="236"/>
      <c r="X338" s="236"/>
      <c r="Y338" s="236"/>
      <c r="Z338" s="236"/>
      <c r="AA338" s="236"/>
    </row>
    <row r="339" spans="21:27" hidden="1">
      <c r="U339" s="236"/>
      <c r="V339" s="236"/>
      <c r="W339" s="236"/>
      <c r="X339" s="236"/>
      <c r="Y339" s="236"/>
      <c r="Z339" s="236"/>
      <c r="AA339" s="236"/>
    </row>
    <row r="340" spans="21:27" hidden="1">
      <c r="U340" s="236"/>
      <c r="V340" s="236"/>
      <c r="W340" s="236"/>
      <c r="X340" s="236"/>
      <c r="Y340" s="236"/>
      <c r="Z340" s="236"/>
      <c r="AA340" s="236"/>
    </row>
    <row r="341" spans="21:27" hidden="1">
      <c r="U341" s="236"/>
      <c r="V341" s="236"/>
      <c r="W341" s="236"/>
      <c r="X341" s="236"/>
      <c r="Y341" s="236"/>
      <c r="Z341" s="236"/>
      <c r="AA341" s="236"/>
    </row>
    <row r="342" spans="21:27" hidden="1">
      <c r="U342" s="236"/>
      <c r="V342" s="236"/>
      <c r="W342" s="236"/>
      <c r="X342" s="236"/>
      <c r="Y342" s="236"/>
      <c r="Z342" s="236"/>
      <c r="AA342" s="236"/>
    </row>
    <row r="343" spans="21:27" hidden="1">
      <c r="U343" s="236"/>
      <c r="V343" s="236"/>
      <c r="W343" s="236"/>
      <c r="X343" s="236"/>
      <c r="Y343" s="236"/>
      <c r="Z343" s="236"/>
      <c r="AA343" s="236"/>
    </row>
    <row r="344" spans="21:27" hidden="1">
      <c r="U344" s="236"/>
      <c r="V344" s="236"/>
      <c r="W344" s="236"/>
      <c r="X344" s="236"/>
      <c r="Y344" s="236"/>
      <c r="Z344" s="236"/>
      <c r="AA344" s="236"/>
    </row>
    <row r="345" spans="21:27" hidden="1">
      <c r="U345" s="236"/>
      <c r="V345" s="236"/>
      <c r="W345" s="236"/>
      <c r="X345" s="236"/>
      <c r="Y345" s="236"/>
      <c r="Z345" s="236"/>
      <c r="AA345" s="236"/>
    </row>
    <row r="346" spans="21:27" hidden="1">
      <c r="U346" s="236"/>
      <c r="V346" s="236"/>
      <c r="W346" s="236"/>
      <c r="X346" s="236"/>
      <c r="Y346" s="236"/>
      <c r="Z346" s="236"/>
      <c r="AA346" s="236"/>
    </row>
    <row r="347" spans="21:27" hidden="1">
      <c r="U347" s="236"/>
      <c r="V347" s="236"/>
      <c r="W347" s="236"/>
      <c r="X347" s="236"/>
      <c r="Y347" s="236"/>
      <c r="Z347" s="236"/>
      <c r="AA347" s="236"/>
    </row>
    <row r="348" spans="21:27" hidden="1">
      <c r="U348" s="236"/>
      <c r="V348" s="236"/>
      <c r="W348" s="236"/>
      <c r="X348" s="236"/>
      <c r="Y348" s="236"/>
      <c r="Z348" s="236"/>
      <c r="AA348" s="236"/>
    </row>
    <row r="349" spans="21:27" hidden="1">
      <c r="U349" s="236"/>
      <c r="V349" s="236"/>
      <c r="W349" s="236"/>
      <c r="X349" s="236"/>
      <c r="Y349" s="236"/>
      <c r="Z349" s="236"/>
      <c r="AA349" s="236"/>
    </row>
    <row r="350" spans="21:27" hidden="1">
      <c r="U350" s="236"/>
      <c r="V350" s="236"/>
      <c r="W350" s="236"/>
      <c r="X350" s="236"/>
      <c r="Y350" s="236"/>
      <c r="Z350" s="236"/>
      <c r="AA350" s="236"/>
    </row>
    <row r="351" spans="21:27" hidden="1">
      <c r="U351" s="236"/>
      <c r="V351" s="236"/>
      <c r="W351" s="236"/>
      <c r="X351" s="236"/>
      <c r="Y351" s="236"/>
      <c r="Z351" s="236"/>
      <c r="AA351" s="236"/>
    </row>
    <row r="352" spans="21:27" hidden="1">
      <c r="U352" s="236"/>
      <c r="V352" s="236"/>
      <c r="W352" s="236"/>
      <c r="X352" s="236"/>
      <c r="Y352" s="236"/>
      <c r="Z352" s="236"/>
      <c r="AA352" s="236"/>
    </row>
    <row r="353" spans="21:27" hidden="1">
      <c r="U353" s="236"/>
      <c r="V353" s="236"/>
      <c r="W353" s="236"/>
      <c r="X353" s="236"/>
      <c r="Y353" s="236"/>
      <c r="Z353" s="236"/>
      <c r="AA353" s="236"/>
    </row>
    <row r="354" spans="21:27" hidden="1">
      <c r="U354" s="236"/>
      <c r="V354" s="236"/>
      <c r="W354" s="236"/>
      <c r="X354" s="236"/>
      <c r="Y354" s="236"/>
      <c r="Z354" s="236"/>
      <c r="AA354" s="236"/>
    </row>
    <row r="355" spans="21:27" hidden="1">
      <c r="U355" s="236"/>
      <c r="V355" s="236"/>
      <c r="W355" s="236"/>
      <c r="X355" s="236"/>
      <c r="Y355" s="236"/>
      <c r="Z355" s="236"/>
      <c r="AA355" s="236"/>
    </row>
    <row r="356" spans="21:27" hidden="1">
      <c r="U356" s="236"/>
      <c r="V356" s="236"/>
      <c r="W356" s="236"/>
      <c r="X356" s="236"/>
      <c r="Y356" s="236"/>
      <c r="Z356" s="236"/>
      <c r="AA356" s="236"/>
    </row>
    <row r="357" spans="21:27" hidden="1">
      <c r="U357" s="236"/>
      <c r="V357" s="236"/>
      <c r="W357" s="236"/>
      <c r="X357" s="236"/>
      <c r="Y357" s="236"/>
      <c r="Z357" s="236"/>
      <c r="AA357" s="236"/>
    </row>
    <row r="358" spans="21:27" hidden="1">
      <c r="U358" s="236"/>
      <c r="V358" s="236"/>
      <c r="W358" s="236"/>
      <c r="X358" s="236"/>
      <c r="Y358" s="236"/>
      <c r="Z358" s="236"/>
      <c r="AA358" s="236"/>
    </row>
    <row r="359" spans="21:27" hidden="1">
      <c r="U359" s="236"/>
      <c r="V359" s="236"/>
      <c r="W359" s="236"/>
      <c r="X359" s="236"/>
      <c r="Y359" s="236"/>
      <c r="Z359" s="236"/>
      <c r="AA359" s="236"/>
    </row>
    <row r="360" spans="21:27" hidden="1">
      <c r="U360" s="236"/>
      <c r="V360" s="236"/>
      <c r="W360" s="236"/>
      <c r="X360" s="236"/>
      <c r="Y360" s="236"/>
      <c r="Z360" s="236"/>
      <c r="AA360" s="236"/>
    </row>
    <row r="361" spans="21:27" hidden="1">
      <c r="U361" s="236"/>
      <c r="V361" s="236"/>
      <c r="W361" s="236"/>
      <c r="X361" s="236"/>
      <c r="Y361" s="236"/>
      <c r="Z361" s="236"/>
      <c r="AA361" s="236"/>
    </row>
    <row r="362" spans="21:27" hidden="1">
      <c r="U362" s="236"/>
      <c r="V362" s="236"/>
      <c r="W362" s="236"/>
      <c r="X362" s="236"/>
      <c r="Y362" s="236"/>
      <c r="Z362" s="236"/>
      <c r="AA362" s="236"/>
    </row>
    <row r="363" spans="21:27" hidden="1">
      <c r="U363" s="236"/>
      <c r="V363" s="236"/>
      <c r="W363" s="236"/>
      <c r="X363" s="236"/>
      <c r="Y363" s="236"/>
      <c r="Z363" s="236"/>
      <c r="AA363" s="236"/>
    </row>
    <row r="364" spans="21:27" hidden="1">
      <c r="U364" s="236"/>
      <c r="V364" s="236"/>
      <c r="W364" s="236"/>
      <c r="X364" s="236"/>
      <c r="Y364" s="236"/>
      <c r="Z364" s="236"/>
      <c r="AA364" s="236"/>
    </row>
    <row r="365" spans="21:27" hidden="1">
      <c r="U365" s="236"/>
      <c r="V365" s="236"/>
      <c r="W365" s="236"/>
      <c r="X365" s="236"/>
      <c r="Y365" s="236"/>
      <c r="Z365" s="236"/>
      <c r="AA365" s="236"/>
    </row>
    <row r="366" spans="21:27" hidden="1">
      <c r="U366" s="236"/>
      <c r="V366" s="236"/>
      <c r="W366" s="236"/>
      <c r="X366" s="236"/>
      <c r="Y366" s="236"/>
      <c r="Z366" s="236"/>
      <c r="AA366" s="236"/>
    </row>
    <row r="367" spans="21:27" hidden="1">
      <c r="U367" s="236"/>
      <c r="V367" s="236"/>
      <c r="W367" s="236"/>
      <c r="X367" s="236"/>
      <c r="Y367" s="236"/>
      <c r="Z367" s="236"/>
      <c r="AA367" s="236"/>
    </row>
    <row r="368" spans="21:27" hidden="1">
      <c r="U368" s="236"/>
      <c r="V368" s="236"/>
      <c r="W368" s="236"/>
      <c r="X368" s="236"/>
      <c r="Y368" s="236"/>
      <c r="Z368" s="236"/>
      <c r="AA368" s="236"/>
    </row>
    <row r="369" spans="21:27" hidden="1">
      <c r="U369" s="236"/>
      <c r="V369" s="236"/>
      <c r="W369" s="236"/>
      <c r="X369" s="236"/>
      <c r="Y369" s="236"/>
      <c r="Z369" s="236"/>
      <c r="AA369" s="236"/>
    </row>
    <row r="370" spans="21:27" hidden="1">
      <c r="U370" s="236"/>
      <c r="V370" s="236"/>
      <c r="W370" s="236"/>
      <c r="X370" s="236"/>
      <c r="Y370" s="236"/>
      <c r="Z370" s="236"/>
      <c r="AA370" s="236"/>
    </row>
    <row r="371" spans="21:27" hidden="1">
      <c r="U371" s="236"/>
      <c r="V371" s="236"/>
      <c r="W371" s="236"/>
      <c r="X371" s="236"/>
      <c r="Y371" s="236"/>
      <c r="Z371" s="236"/>
      <c r="AA371" s="236"/>
    </row>
    <row r="372" spans="21:27" hidden="1">
      <c r="U372" s="236"/>
      <c r="V372" s="236"/>
      <c r="W372" s="236"/>
      <c r="X372" s="236"/>
      <c r="Y372" s="236"/>
      <c r="Z372" s="236"/>
      <c r="AA372" s="236"/>
    </row>
    <row r="373" spans="21:27" hidden="1">
      <c r="U373" s="236"/>
      <c r="V373" s="236"/>
      <c r="W373" s="236"/>
      <c r="X373" s="236"/>
      <c r="Y373" s="236"/>
      <c r="Z373" s="236"/>
      <c r="AA373" s="236"/>
    </row>
    <row r="374" spans="21:27" hidden="1">
      <c r="U374" s="236"/>
      <c r="V374" s="236"/>
      <c r="W374" s="236"/>
      <c r="X374" s="236"/>
      <c r="Y374" s="236"/>
      <c r="Z374" s="236"/>
      <c r="AA374" s="236"/>
    </row>
    <row r="375" spans="21:27" hidden="1">
      <c r="U375" s="236"/>
      <c r="V375" s="236"/>
      <c r="W375" s="236"/>
      <c r="X375" s="236"/>
      <c r="Y375" s="236"/>
      <c r="Z375" s="236"/>
      <c r="AA375" s="236"/>
    </row>
    <row r="376" spans="21:27" hidden="1">
      <c r="U376" s="236"/>
      <c r="V376" s="236"/>
      <c r="W376" s="236"/>
      <c r="X376" s="236"/>
      <c r="Y376" s="236"/>
      <c r="Z376" s="236"/>
      <c r="AA376" s="236"/>
    </row>
    <row r="377" spans="21:27" hidden="1">
      <c r="U377" s="236"/>
      <c r="V377" s="236"/>
      <c r="W377" s="236"/>
      <c r="X377" s="236"/>
      <c r="Y377" s="236"/>
      <c r="Z377" s="236"/>
      <c r="AA377" s="236"/>
    </row>
    <row r="378" spans="21:27" hidden="1">
      <c r="U378" s="236"/>
      <c r="V378" s="236"/>
      <c r="W378" s="236"/>
      <c r="X378" s="236"/>
      <c r="Y378" s="236"/>
      <c r="Z378" s="236"/>
      <c r="AA378" s="236"/>
    </row>
    <row r="379" spans="21:27" hidden="1">
      <c r="U379" s="236"/>
      <c r="V379" s="236"/>
      <c r="W379" s="236"/>
      <c r="X379" s="236"/>
      <c r="Y379" s="236"/>
      <c r="Z379" s="236"/>
      <c r="AA379" s="236"/>
    </row>
    <row r="380" spans="21:27" hidden="1">
      <c r="U380" s="236"/>
      <c r="V380" s="236"/>
      <c r="W380" s="236"/>
      <c r="X380" s="236"/>
      <c r="Y380" s="236"/>
      <c r="Z380" s="236"/>
      <c r="AA380" s="236"/>
    </row>
    <row r="381" spans="21:27" hidden="1">
      <c r="U381" s="236"/>
      <c r="V381" s="236"/>
      <c r="W381" s="236"/>
      <c r="X381" s="236"/>
      <c r="Y381" s="236"/>
      <c r="Z381" s="236"/>
      <c r="AA381" s="236"/>
    </row>
    <row r="382" spans="21:27" hidden="1">
      <c r="U382" s="236"/>
      <c r="V382" s="236"/>
      <c r="W382" s="236"/>
      <c r="X382" s="236"/>
      <c r="Y382" s="236"/>
      <c r="Z382" s="236"/>
      <c r="AA382" s="236"/>
    </row>
    <row r="383" spans="21:27" hidden="1">
      <c r="U383" s="236"/>
      <c r="V383" s="236"/>
      <c r="W383" s="236"/>
      <c r="X383" s="236"/>
      <c r="Y383" s="236"/>
      <c r="Z383" s="236"/>
      <c r="AA383" s="236"/>
    </row>
    <row r="384" spans="21:27" hidden="1">
      <c r="U384" s="236"/>
      <c r="V384" s="236"/>
      <c r="W384" s="236"/>
      <c r="X384" s="236"/>
      <c r="Y384" s="236"/>
      <c r="Z384" s="236"/>
      <c r="AA384" s="236"/>
    </row>
    <row r="385" spans="21:27" hidden="1">
      <c r="U385" s="236"/>
      <c r="V385" s="236"/>
      <c r="W385" s="236"/>
      <c r="X385" s="236"/>
      <c r="Y385" s="236"/>
      <c r="Z385" s="236"/>
      <c r="AA385" s="236"/>
    </row>
    <row r="386" spans="21:27" hidden="1">
      <c r="U386" s="236"/>
      <c r="V386" s="236"/>
      <c r="W386" s="236"/>
      <c r="X386" s="236"/>
      <c r="Y386" s="236"/>
      <c r="Z386" s="236"/>
      <c r="AA386" s="236"/>
    </row>
    <row r="387" spans="21:27" hidden="1">
      <c r="U387" s="236"/>
      <c r="V387" s="236"/>
      <c r="W387" s="236"/>
      <c r="X387" s="236"/>
      <c r="Y387" s="236"/>
      <c r="Z387" s="236"/>
      <c r="AA387" s="236"/>
    </row>
    <row r="388" spans="21:27" hidden="1">
      <c r="U388" s="236"/>
      <c r="V388" s="236"/>
      <c r="W388" s="236"/>
      <c r="X388" s="236"/>
      <c r="Y388" s="236"/>
      <c r="Z388" s="236"/>
      <c r="AA388" s="236"/>
    </row>
    <row r="389" spans="21:27" hidden="1">
      <c r="U389" s="236"/>
      <c r="V389" s="236"/>
      <c r="W389" s="236"/>
      <c r="X389" s="236"/>
      <c r="Y389" s="236"/>
      <c r="Z389" s="236"/>
      <c r="AA389" s="236"/>
    </row>
    <row r="390" spans="21:27" hidden="1">
      <c r="U390" s="236"/>
      <c r="V390" s="236"/>
      <c r="W390" s="236"/>
      <c r="X390" s="236"/>
      <c r="Y390" s="236"/>
      <c r="Z390" s="236"/>
      <c r="AA390" s="236"/>
    </row>
    <row r="391" spans="21:27" hidden="1">
      <c r="U391" s="236"/>
      <c r="V391" s="236"/>
      <c r="W391" s="236"/>
      <c r="X391" s="236"/>
      <c r="Y391" s="236"/>
      <c r="Z391" s="236"/>
      <c r="AA391" s="236"/>
    </row>
    <row r="392" spans="21:27" hidden="1">
      <c r="U392" s="236"/>
      <c r="V392" s="236"/>
      <c r="W392" s="236"/>
      <c r="X392" s="236"/>
      <c r="Y392" s="236"/>
      <c r="Z392" s="236"/>
      <c r="AA392" s="236"/>
    </row>
    <row r="393" spans="21:27" hidden="1">
      <c r="U393" s="236"/>
      <c r="V393" s="236"/>
      <c r="W393" s="236"/>
      <c r="X393" s="236"/>
      <c r="Y393" s="236"/>
      <c r="Z393" s="236"/>
      <c r="AA393" s="236"/>
    </row>
    <row r="394" spans="21:27" hidden="1">
      <c r="U394" s="236"/>
      <c r="V394" s="236"/>
      <c r="W394" s="236"/>
      <c r="X394" s="236"/>
      <c r="Y394" s="236"/>
      <c r="Z394" s="236"/>
      <c r="AA394" s="236"/>
    </row>
    <row r="395" spans="21:27" hidden="1">
      <c r="U395" s="236"/>
      <c r="V395" s="236"/>
      <c r="W395" s="236"/>
      <c r="X395" s="236"/>
      <c r="Y395" s="236"/>
      <c r="Z395" s="236"/>
      <c r="AA395" s="236"/>
    </row>
    <row r="396" spans="21:27" hidden="1">
      <c r="U396" s="236"/>
      <c r="V396" s="236"/>
      <c r="W396" s="236"/>
      <c r="X396" s="236"/>
      <c r="Y396" s="236"/>
      <c r="Z396" s="236"/>
      <c r="AA396" s="236"/>
    </row>
    <row r="397" spans="21:27" hidden="1">
      <c r="U397" s="236"/>
      <c r="V397" s="236"/>
      <c r="W397" s="236"/>
      <c r="X397" s="236"/>
      <c r="Y397" s="236"/>
      <c r="Z397" s="236"/>
      <c r="AA397" s="236"/>
    </row>
    <row r="398" spans="21:27" hidden="1">
      <c r="U398" s="236"/>
      <c r="V398" s="236"/>
      <c r="W398" s="236"/>
      <c r="X398" s="236"/>
      <c r="Y398" s="236"/>
      <c r="Z398" s="236"/>
      <c r="AA398" s="236"/>
    </row>
    <row r="399" spans="21:27" hidden="1">
      <c r="U399" s="236"/>
      <c r="V399" s="236"/>
      <c r="W399" s="236"/>
      <c r="X399" s="236"/>
      <c r="Y399" s="236"/>
      <c r="Z399" s="236"/>
      <c r="AA399" s="236"/>
    </row>
    <row r="400" spans="21:27" hidden="1">
      <c r="U400" s="236"/>
      <c r="V400" s="236"/>
      <c r="W400" s="236"/>
      <c r="X400" s="236"/>
      <c r="Y400" s="236"/>
      <c r="Z400" s="236"/>
      <c r="AA400" s="236"/>
    </row>
    <row r="401" spans="21:27" hidden="1">
      <c r="U401" s="236"/>
      <c r="V401" s="236"/>
      <c r="W401" s="236"/>
      <c r="X401" s="236"/>
      <c r="Y401" s="236"/>
      <c r="Z401" s="236"/>
      <c r="AA401" s="236"/>
    </row>
    <row r="402" spans="21:27" hidden="1">
      <c r="U402" s="236"/>
      <c r="V402" s="236"/>
      <c r="W402" s="236"/>
      <c r="X402" s="236"/>
      <c r="Y402" s="236"/>
      <c r="Z402" s="236"/>
      <c r="AA402" s="236"/>
    </row>
    <row r="403" spans="21:27" hidden="1">
      <c r="U403" s="236"/>
      <c r="V403" s="236"/>
      <c r="W403" s="236"/>
      <c r="X403" s="236"/>
      <c r="Y403" s="236"/>
      <c r="Z403" s="236"/>
      <c r="AA403" s="236"/>
    </row>
    <row r="404" spans="21:27" hidden="1">
      <c r="U404" s="236"/>
      <c r="V404" s="236"/>
      <c r="W404" s="236"/>
      <c r="X404" s="236"/>
      <c r="Y404" s="236"/>
      <c r="Z404" s="236"/>
      <c r="AA404" s="236"/>
    </row>
    <row r="405" spans="21:27" hidden="1">
      <c r="U405" s="236"/>
      <c r="V405" s="236"/>
      <c r="W405" s="236"/>
      <c r="X405" s="236"/>
      <c r="Y405" s="236"/>
      <c r="Z405" s="236"/>
      <c r="AA405" s="236"/>
    </row>
    <row r="406" spans="21:27" hidden="1">
      <c r="U406" s="236"/>
      <c r="V406" s="236"/>
      <c r="W406" s="236"/>
      <c r="X406" s="236"/>
      <c r="Y406" s="236"/>
      <c r="Z406" s="236"/>
      <c r="AA406" s="236"/>
    </row>
    <row r="407" spans="21:27" hidden="1">
      <c r="U407" s="236"/>
      <c r="V407" s="236"/>
      <c r="W407" s="236"/>
      <c r="X407" s="236"/>
      <c r="Y407" s="236"/>
      <c r="Z407" s="236"/>
      <c r="AA407" s="236"/>
    </row>
    <row r="408" spans="21:27" hidden="1">
      <c r="U408" s="236"/>
      <c r="V408" s="236"/>
      <c r="W408" s="236"/>
      <c r="X408" s="236"/>
      <c r="Y408" s="236"/>
      <c r="Z408" s="236"/>
      <c r="AA408" s="236"/>
    </row>
    <row r="409" spans="21:27" hidden="1">
      <c r="U409" s="236"/>
      <c r="V409" s="236"/>
      <c r="W409" s="236"/>
      <c r="X409" s="236"/>
      <c r="Y409" s="236"/>
      <c r="Z409" s="236"/>
      <c r="AA409" s="236"/>
    </row>
    <row r="410" spans="21:27" hidden="1">
      <c r="U410" s="236"/>
      <c r="V410" s="236"/>
      <c r="W410" s="236"/>
      <c r="X410" s="236"/>
      <c r="Y410" s="236"/>
      <c r="Z410" s="236"/>
      <c r="AA410" s="236"/>
    </row>
    <row r="411" spans="21:27" hidden="1">
      <c r="U411" s="236"/>
      <c r="V411" s="236"/>
      <c r="W411" s="236"/>
      <c r="X411" s="236"/>
      <c r="Y411" s="236"/>
      <c r="Z411" s="236"/>
      <c r="AA411" s="236"/>
    </row>
    <row r="412" spans="21:27" hidden="1">
      <c r="U412" s="236"/>
      <c r="V412" s="236"/>
      <c r="W412" s="236"/>
      <c r="X412" s="236"/>
      <c r="Y412" s="236"/>
      <c r="Z412" s="236"/>
      <c r="AA412" s="236"/>
    </row>
    <row r="413" spans="21:27" hidden="1">
      <c r="U413" s="236"/>
      <c r="V413" s="236"/>
      <c r="W413" s="236"/>
      <c r="X413" s="236"/>
      <c r="Y413" s="236"/>
      <c r="Z413" s="236"/>
      <c r="AA413" s="236"/>
    </row>
    <row r="414" spans="21:27" hidden="1">
      <c r="U414" s="236"/>
      <c r="V414" s="236"/>
      <c r="W414" s="236"/>
      <c r="X414" s="236"/>
      <c r="Y414" s="236"/>
      <c r="Z414" s="236"/>
      <c r="AA414" s="236"/>
    </row>
    <row r="415" spans="21:27" hidden="1">
      <c r="U415" s="236"/>
      <c r="V415" s="236"/>
      <c r="W415" s="236"/>
      <c r="X415" s="236"/>
      <c r="Y415" s="236"/>
      <c r="Z415" s="236"/>
      <c r="AA415" s="236"/>
    </row>
    <row r="416" spans="21:27" hidden="1">
      <c r="U416" s="236"/>
      <c r="V416" s="236"/>
      <c r="W416" s="236"/>
      <c r="X416" s="236"/>
      <c r="Y416" s="236"/>
      <c r="Z416" s="236"/>
      <c r="AA416" s="236"/>
    </row>
    <row r="417" spans="21:27" hidden="1">
      <c r="U417" s="236"/>
      <c r="V417" s="236"/>
      <c r="W417" s="236"/>
      <c r="X417" s="236"/>
      <c r="Y417" s="236"/>
      <c r="Z417" s="236"/>
      <c r="AA417" s="236"/>
    </row>
    <row r="418" spans="21:27" hidden="1">
      <c r="U418" s="236"/>
      <c r="V418" s="236"/>
      <c r="W418" s="236"/>
      <c r="X418" s="236"/>
      <c r="Y418" s="236"/>
      <c r="Z418" s="236"/>
      <c r="AA418" s="236"/>
    </row>
    <row r="419" spans="21:27" hidden="1">
      <c r="U419" s="236"/>
      <c r="V419" s="236"/>
      <c r="W419" s="236"/>
      <c r="X419" s="236"/>
      <c r="Y419" s="236"/>
      <c r="Z419" s="236"/>
      <c r="AA419" s="236"/>
    </row>
    <row r="420" spans="21:27" hidden="1">
      <c r="U420" s="236"/>
      <c r="V420" s="236"/>
      <c r="W420" s="236"/>
      <c r="X420" s="236"/>
      <c r="Y420" s="236"/>
      <c r="Z420" s="236"/>
      <c r="AA420" s="236"/>
    </row>
    <row r="421" spans="21:27" hidden="1">
      <c r="U421" s="236"/>
      <c r="V421" s="236"/>
      <c r="W421" s="236"/>
      <c r="X421" s="236"/>
      <c r="Y421" s="236"/>
      <c r="Z421" s="236"/>
      <c r="AA421" s="236"/>
    </row>
    <row r="422" spans="21:27" hidden="1">
      <c r="U422" s="236"/>
      <c r="V422" s="236"/>
      <c r="W422" s="236"/>
      <c r="X422" s="236"/>
      <c r="Y422" s="236"/>
      <c r="Z422" s="236"/>
      <c r="AA422" s="236"/>
    </row>
    <row r="423" spans="21:27" hidden="1">
      <c r="U423" s="236"/>
      <c r="V423" s="236"/>
      <c r="W423" s="236"/>
      <c r="X423" s="236"/>
      <c r="Y423" s="236"/>
      <c r="Z423" s="236"/>
      <c r="AA423" s="236"/>
    </row>
    <row r="424" spans="21:27" hidden="1">
      <c r="U424" s="236"/>
      <c r="V424" s="236"/>
      <c r="W424" s="236"/>
      <c r="X424" s="236"/>
      <c r="Y424" s="236"/>
      <c r="Z424" s="236"/>
      <c r="AA424" s="236"/>
    </row>
    <row r="425" spans="21:27" hidden="1">
      <c r="U425" s="236"/>
      <c r="V425" s="236"/>
      <c r="W425" s="236"/>
      <c r="X425" s="236"/>
      <c r="Y425" s="236"/>
      <c r="Z425" s="236"/>
      <c r="AA425" s="236"/>
    </row>
    <row r="426" spans="21:27" hidden="1">
      <c r="U426" s="236"/>
      <c r="V426" s="236"/>
      <c r="W426" s="236"/>
      <c r="X426" s="236"/>
      <c r="Y426" s="236"/>
      <c r="Z426" s="236"/>
      <c r="AA426" s="236"/>
    </row>
    <row r="427" spans="21:27" hidden="1">
      <c r="U427" s="236"/>
      <c r="V427" s="236"/>
      <c r="W427" s="236"/>
      <c r="X427" s="236"/>
      <c r="Y427" s="236"/>
      <c r="Z427" s="236"/>
      <c r="AA427" s="236"/>
    </row>
    <row r="428" spans="21:27" hidden="1">
      <c r="U428" s="236"/>
      <c r="V428" s="236"/>
      <c r="W428" s="236"/>
      <c r="X428" s="236"/>
      <c r="Y428" s="236"/>
      <c r="Z428" s="236"/>
      <c r="AA428" s="236"/>
    </row>
    <row r="429" spans="21:27" hidden="1">
      <c r="U429" s="236"/>
      <c r="V429" s="236"/>
      <c r="W429" s="236"/>
      <c r="X429" s="236"/>
      <c r="Y429" s="236"/>
      <c r="Z429" s="236"/>
      <c r="AA429" s="236"/>
    </row>
    <row r="430" spans="21:27" hidden="1">
      <c r="U430" s="236"/>
      <c r="V430" s="236"/>
      <c r="W430" s="236"/>
      <c r="X430" s="236"/>
      <c r="Y430" s="236"/>
      <c r="Z430" s="236"/>
      <c r="AA430" s="236"/>
    </row>
    <row r="431" spans="21:27" hidden="1">
      <c r="U431" s="236"/>
      <c r="V431" s="236"/>
      <c r="W431" s="236"/>
      <c r="X431" s="236"/>
      <c r="Y431" s="236"/>
      <c r="Z431" s="236"/>
      <c r="AA431" s="236"/>
    </row>
    <row r="432" spans="21:27" hidden="1">
      <c r="U432" s="236"/>
      <c r="V432" s="236"/>
      <c r="W432" s="236"/>
      <c r="X432" s="236"/>
      <c r="Y432" s="236"/>
      <c r="Z432" s="236"/>
      <c r="AA432" s="236"/>
    </row>
    <row r="433" spans="21:27" hidden="1">
      <c r="U433" s="236"/>
      <c r="V433" s="236"/>
      <c r="W433" s="236"/>
      <c r="X433" s="236"/>
      <c r="Y433" s="236"/>
      <c r="Z433" s="236"/>
      <c r="AA433" s="236"/>
    </row>
    <row r="434" spans="21:27" hidden="1">
      <c r="U434" s="236"/>
      <c r="V434" s="236"/>
      <c r="W434" s="236"/>
      <c r="X434" s="236"/>
      <c r="Y434" s="236"/>
      <c r="Z434" s="236"/>
      <c r="AA434" s="236"/>
    </row>
    <row r="435" spans="21:27" hidden="1">
      <c r="U435" s="236"/>
      <c r="V435" s="236"/>
      <c r="W435" s="236"/>
      <c r="X435" s="236"/>
      <c r="Y435" s="236"/>
      <c r="Z435" s="236"/>
      <c r="AA435" s="236"/>
    </row>
    <row r="436" spans="21:27" hidden="1">
      <c r="U436" s="236"/>
      <c r="V436" s="236"/>
      <c r="W436" s="236"/>
      <c r="X436" s="236"/>
      <c r="Y436" s="236"/>
      <c r="Z436" s="236"/>
      <c r="AA436" s="236"/>
    </row>
    <row r="437" spans="21:27" hidden="1">
      <c r="U437" s="236"/>
      <c r="V437" s="236"/>
      <c r="W437" s="236"/>
      <c r="X437" s="236"/>
      <c r="Y437" s="236"/>
      <c r="Z437" s="236"/>
      <c r="AA437" s="236"/>
    </row>
    <row r="438" spans="21:27" hidden="1">
      <c r="U438" s="236"/>
      <c r="V438" s="236"/>
      <c r="W438" s="236"/>
      <c r="X438" s="236"/>
      <c r="Y438" s="236"/>
      <c r="Z438" s="236"/>
      <c r="AA438" s="236"/>
    </row>
    <row r="439" spans="21:27" hidden="1">
      <c r="U439" s="236"/>
      <c r="V439" s="236"/>
      <c r="W439" s="236"/>
      <c r="X439" s="236"/>
      <c r="Y439" s="236"/>
      <c r="Z439" s="236"/>
      <c r="AA439" s="236"/>
    </row>
    <row r="440" spans="21:27" hidden="1">
      <c r="U440" s="236"/>
      <c r="V440" s="236"/>
      <c r="W440" s="236"/>
      <c r="X440" s="236"/>
      <c r="Y440" s="236"/>
      <c r="Z440" s="236"/>
      <c r="AA440" s="236"/>
    </row>
    <row r="441" spans="21:27" hidden="1">
      <c r="U441" s="236"/>
      <c r="V441" s="236"/>
      <c r="W441" s="236"/>
      <c r="X441" s="236"/>
      <c r="Y441" s="236"/>
      <c r="Z441" s="236"/>
      <c r="AA441" s="236"/>
    </row>
    <row r="442" spans="21:27" hidden="1">
      <c r="U442" s="236"/>
      <c r="V442" s="236"/>
      <c r="W442" s="236"/>
      <c r="X442" s="236"/>
      <c r="Y442" s="236"/>
      <c r="Z442" s="236"/>
      <c r="AA442" s="236"/>
    </row>
    <row r="443" spans="21:27" hidden="1">
      <c r="U443" s="236"/>
      <c r="V443" s="236"/>
      <c r="W443" s="236"/>
      <c r="X443" s="236"/>
      <c r="Y443" s="236"/>
      <c r="Z443" s="236"/>
      <c r="AA443" s="236"/>
    </row>
    <row r="444" spans="21:27" hidden="1">
      <c r="U444" s="236"/>
      <c r="V444" s="236"/>
      <c r="W444" s="236"/>
      <c r="X444" s="236"/>
      <c r="Y444" s="236"/>
      <c r="Z444" s="236"/>
      <c r="AA444" s="236"/>
    </row>
    <row r="445" spans="21:27" hidden="1">
      <c r="U445" s="236"/>
      <c r="V445" s="236"/>
      <c r="W445" s="236"/>
      <c r="X445" s="236"/>
      <c r="Y445" s="236"/>
      <c r="Z445" s="236"/>
      <c r="AA445" s="236"/>
    </row>
    <row r="446" spans="21:27" hidden="1">
      <c r="U446" s="236"/>
      <c r="V446" s="236"/>
      <c r="W446" s="236"/>
      <c r="X446" s="236"/>
      <c r="Y446" s="236"/>
      <c r="Z446" s="236"/>
      <c r="AA446" s="236"/>
    </row>
    <row r="447" spans="21:27" hidden="1">
      <c r="U447" s="236"/>
      <c r="V447" s="236"/>
      <c r="W447" s="236"/>
      <c r="X447" s="236"/>
      <c r="Y447" s="236"/>
      <c r="Z447" s="236"/>
      <c r="AA447" s="236"/>
    </row>
    <row r="448" spans="21:27" hidden="1">
      <c r="U448" s="236"/>
      <c r="V448" s="236"/>
      <c r="W448" s="236"/>
      <c r="X448" s="236"/>
      <c r="Y448" s="236"/>
      <c r="Z448" s="236"/>
      <c r="AA448" s="236"/>
    </row>
    <row r="449" spans="21:27" hidden="1">
      <c r="U449" s="236"/>
      <c r="V449" s="236"/>
      <c r="W449" s="236"/>
      <c r="X449" s="236"/>
      <c r="Y449" s="236"/>
      <c r="Z449" s="236"/>
      <c r="AA449" s="236"/>
    </row>
    <row r="450" spans="21:27" hidden="1">
      <c r="U450" s="236"/>
      <c r="V450" s="236"/>
      <c r="W450" s="236"/>
      <c r="X450" s="236"/>
      <c r="Y450" s="236"/>
      <c r="Z450" s="236"/>
      <c r="AA450" s="236"/>
    </row>
    <row r="451" spans="21:27" hidden="1">
      <c r="U451" s="236"/>
      <c r="V451" s="236"/>
      <c r="W451" s="236"/>
      <c r="X451" s="236"/>
      <c r="Y451" s="236"/>
      <c r="Z451" s="236"/>
      <c r="AA451" s="236"/>
    </row>
    <row r="452" spans="21:27" hidden="1">
      <c r="U452" s="236"/>
      <c r="V452" s="236"/>
      <c r="W452" s="236"/>
      <c r="X452" s="236"/>
      <c r="Y452" s="236"/>
      <c r="Z452" s="236"/>
      <c r="AA452" s="236"/>
    </row>
    <row r="453" spans="21:27" hidden="1">
      <c r="U453" s="236"/>
      <c r="V453" s="236"/>
      <c r="W453" s="236"/>
      <c r="X453" s="236"/>
      <c r="Y453" s="236"/>
      <c r="Z453" s="236"/>
      <c r="AA453" s="236"/>
    </row>
    <row r="454" spans="21:27" hidden="1">
      <c r="U454" s="236"/>
      <c r="V454" s="236"/>
      <c r="W454" s="236"/>
      <c r="X454" s="236"/>
      <c r="Y454" s="236"/>
      <c r="Z454" s="236"/>
      <c r="AA454" s="236"/>
    </row>
    <row r="455" spans="21:27" hidden="1">
      <c r="U455" s="236"/>
      <c r="V455" s="236"/>
      <c r="W455" s="236"/>
      <c r="X455" s="236"/>
      <c r="Y455" s="236"/>
      <c r="Z455" s="236"/>
      <c r="AA455" s="236"/>
    </row>
    <row r="456" spans="21:27" hidden="1">
      <c r="U456" s="236"/>
      <c r="V456" s="236"/>
      <c r="W456" s="236"/>
      <c r="X456" s="236"/>
      <c r="Y456" s="236"/>
      <c r="Z456" s="236"/>
      <c r="AA456" s="236"/>
    </row>
    <row r="457" spans="21:27" hidden="1">
      <c r="U457" s="236"/>
      <c r="V457" s="236"/>
      <c r="W457" s="236"/>
      <c r="X457" s="236"/>
      <c r="Y457" s="236"/>
      <c r="Z457" s="236"/>
      <c r="AA457" s="236"/>
    </row>
    <row r="458" spans="21:27" hidden="1">
      <c r="U458" s="236"/>
      <c r="V458" s="236"/>
      <c r="W458" s="236"/>
      <c r="X458" s="236"/>
      <c r="Y458" s="236"/>
      <c r="Z458" s="236"/>
      <c r="AA458" s="236"/>
    </row>
    <row r="459" spans="21:27" hidden="1">
      <c r="U459" s="236"/>
      <c r="V459" s="236"/>
      <c r="W459" s="236"/>
      <c r="X459" s="236"/>
      <c r="Y459" s="236"/>
      <c r="Z459" s="236"/>
      <c r="AA459" s="236"/>
    </row>
    <row r="460" spans="21:27" hidden="1">
      <c r="U460" s="236"/>
      <c r="V460" s="236"/>
      <c r="W460" s="236"/>
      <c r="X460" s="236"/>
      <c r="Y460" s="236"/>
      <c r="Z460" s="236"/>
      <c r="AA460" s="236"/>
    </row>
    <row r="461" spans="21:27" hidden="1">
      <c r="U461" s="236"/>
      <c r="V461" s="236"/>
      <c r="W461" s="236"/>
      <c r="X461" s="236"/>
      <c r="Y461" s="236"/>
      <c r="Z461" s="236"/>
      <c r="AA461" s="236"/>
    </row>
    <row r="462" spans="21:27" hidden="1">
      <c r="U462" s="236"/>
      <c r="V462" s="236"/>
      <c r="W462" s="236"/>
      <c r="X462" s="236"/>
      <c r="Y462" s="236"/>
      <c r="Z462" s="236"/>
      <c r="AA462" s="236"/>
    </row>
    <row r="463" spans="21:27" hidden="1">
      <c r="U463" s="236"/>
      <c r="V463" s="236"/>
      <c r="W463" s="236"/>
      <c r="X463" s="236"/>
      <c r="Y463" s="236"/>
      <c r="Z463" s="236"/>
      <c r="AA463" s="236"/>
    </row>
    <row r="464" spans="21:27" hidden="1">
      <c r="U464" s="236"/>
      <c r="V464" s="236"/>
      <c r="W464" s="236"/>
      <c r="X464" s="236"/>
      <c r="Y464" s="236"/>
      <c r="Z464" s="236"/>
      <c r="AA464" s="236"/>
    </row>
    <row r="465" spans="21:27" hidden="1">
      <c r="U465" s="236"/>
      <c r="V465" s="236"/>
      <c r="W465" s="236"/>
      <c r="X465" s="236"/>
      <c r="Y465" s="236"/>
      <c r="Z465" s="236"/>
      <c r="AA465" s="236"/>
    </row>
    <row r="466" spans="21:27" hidden="1">
      <c r="U466" s="236"/>
      <c r="V466" s="236"/>
      <c r="W466" s="236"/>
      <c r="X466" s="236"/>
      <c r="Y466" s="236"/>
      <c r="Z466" s="236"/>
      <c r="AA466" s="236"/>
    </row>
    <row r="467" spans="21:27" hidden="1">
      <c r="U467" s="236"/>
      <c r="V467" s="236"/>
      <c r="W467" s="236"/>
      <c r="X467" s="236"/>
      <c r="Y467" s="236"/>
      <c r="Z467" s="236"/>
      <c r="AA467" s="236"/>
    </row>
    <row r="468" spans="21:27" hidden="1">
      <c r="U468" s="236"/>
      <c r="V468" s="236"/>
      <c r="W468" s="236"/>
      <c r="X468" s="236"/>
      <c r="Y468" s="236"/>
      <c r="Z468" s="236"/>
      <c r="AA468" s="236"/>
    </row>
    <row r="469" spans="21:27" hidden="1">
      <c r="U469" s="236"/>
      <c r="V469" s="236"/>
      <c r="W469" s="236"/>
      <c r="X469" s="236"/>
      <c r="Y469" s="236"/>
      <c r="Z469" s="236"/>
      <c r="AA469" s="236"/>
    </row>
    <row r="470" spans="21:27" hidden="1">
      <c r="U470" s="236"/>
      <c r="V470" s="236"/>
      <c r="W470" s="236"/>
      <c r="X470" s="236"/>
      <c r="Y470" s="236"/>
      <c r="Z470" s="236"/>
      <c r="AA470" s="236"/>
    </row>
    <row r="471" spans="21:27" hidden="1">
      <c r="U471" s="236"/>
      <c r="V471" s="236"/>
      <c r="W471" s="236"/>
      <c r="X471" s="236"/>
      <c r="Y471" s="236"/>
      <c r="Z471" s="236"/>
      <c r="AA471" s="236"/>
    </row>
    <row r="472" spans="21:27" hidden="1">
      <c r="U472" s="236"/>
      <c r="V472" s="236"/>
      <c r="W472" s="236"/>
      <c r="X472" s="236"/>
      <c r="Y472" s="236"/>
      <c r="Z472" s="236"/>
      <c r="AA472" s="236"/>
    </row>
    <row r="473" spans="21:27" hidden="1">
      <c r="U473" s="236"/>
      <c r="V473" s="236"/>
      <c r="W473" s="236"/>
      <c r="X473" s="236"/>
      <c r="Y473" s="236"/>
      <c r="Z473" s="236"/>
      <c r="AA473" s="236"/>
    </row>
    <row r="474" spans="21:27" hidden="1">
      <c r="U474" s="236"/>
      <c r="V474" s="236"/>
      <c r="W474" s="236"/>
      <c r="X474" s="236"/>
      <c r="Y474" s="236"/>
      <c r="Z474" s="236"/>
      <c r="AA474" s="236"/>
    </row>
    <row r="475" spans="21:27" hidden="1">
      <c r="U475" s="236"/>
      <c r="V475" s="236"/>
      <c r="W475" s="236"/>
      <c r="X475" s="236"/>
      <c r="Y475" s="236"/>
      <c r="Z475" s="236"/>
      <c r="AA475" s="236"/>
    </row>
    <row r="476" spans="21:27" hidden="1">
      <c r="U476" s="236"/>
      <c r="V476" s="236"/>
      <c r="W476" s="236"/>
      <c r="X476" s="236"/>
      <c r="Y476" s="236"/>
      <c r="Z476" s="236"/>
      <c r="AA476" s="236"/>
    </row>
    <row r="477" spans="21:27" hidden="1">
      <c r="U477" s="236"/>
      <c r="V477" s="236"/>
      <c r="W477" s="236"/>
      <c r="X477" s="236"/>
      <c r="Y477" s="236"/>
      <c r="Z477" s="236"/>
      <c r="AA477" s="236"/>
    </row>
    <row r="478" spans="21:27" hidden="1">
      <c r="U478" s="236"/>
      <c r="V478" s="236"/>
      <c r="W478" s="236"/>
      <c r="X478" s="236"/>
      <c r="Y478" s="236"/>
      <c r="Z478" s="236"/>
      <c r="AA478" s="236"/>
    </row>
    <row r="479" spans="21:27">
      <c r="U479" s="236"/>
      <c r="V479" s="236"/>
      <c r="W479" s="236"/>
      <c r="X479" s="236"/>
      <c r="Y479" s="236"/>
      <c r="Z479" s="236"/>
      <c r="AA479" s="236"/>
    </row>
    <row r="480" spans="21:27">
      <c r="U480" s="236"/>
      <c r="V480" s="236"/>
      <c r="W480" s="236"/>
      <c r="X480" s="236"/>
      <c r="Y480" s="236"/>
      <c r="Z480" s="236"/>
      <c r="AA480" s="236"/>
    </row>
    <row r="481" spans="6:11" s="236" customFormat="1">
      <c r="F481" s="243"/>
      <c r="I481" s="265"/>
      <c r="K481" s="265"/>
    </row>
  </sheetData>
  <mergeCells count="16">
    <mergeCell ref="AG55:AH55"/>
    <mergeCell ref="O28:Y33"/>
    <mergeCell ref="F28:L33"/>
    <mergeCell ref="J37:K37"/>
    <mergeCell ref="F56:H56"/>
    <mergeCell ref="I34:J34"/>
    <mergeCell ref="AC56:AE56"/>
    <mergeCell ref="I51:J51"/>
    <mergeCell ref="I52:J52"/>
    <mergeCell ref="J55:K55"/>
    <mergeCell ref="R55:T55"/>
    <mergeCell ref="J46:K46"/>
    <mergeCell ref="R46:T46"/>
    <mergeCell ref="R48:Y52"/>
    <mergeCell ref="G49:H49"/>
    <mergeCell ref="I50:J50"/>
  </mergeCells>
  <conditionalFormatting sqref="I21:I24">
    <cfRule type="iconSet" priority="4">
      <iconSet iconSet="3Arrows">
        <cfvo type="percent" val="0"/>
        <cfvo type="num" val="0"/>
        <cfvo type="num" val="0"/>
      </iconSet>
    </cfRule>
  </conditionalFormatting>
  <conditionalFormatting sqref="I34:J34">
    <cfRule type="iconSet" priority="17">
      <iconSet iconSet="3Arrows">
        <cfvo type="percent" val="0"/>
        <cfvo type="num" val="0"/>
        <cfvo type="num" val="1E-25" gte="0"/>
      </iconSet>
    </cfRule>
  </conditionalFormatting>
  <conditionalFormatting sqref="I48:J48">
    <cfRule type="iconSet" priority="24">
      <iconSet iconSet="3Arrows">
        <cfvo type="percent" val="0"/>
        <cfvo type="num" val="0"/>
        <cfvo type="num" val="9.9999999999999995E-8" gte="0"/>
      </iconSet>
    </cfRule>
  </conditionalFormatting>
  <conditionalFormatting sqref="I50:J50">
    <cfRule type="iconSet" priority="20">
      <iconSet iconSet="3Arrows">
        <cfvo type="percent" val="0"/>
        <cfvo type="num" val="0"/>
        <cfvo type="num" val="1E-25" gte="0"/>
      </iconSet>
    </cfRule>
  </conditionalFormatting>
  <conditionalFormatting sqref="I51:J51">
    <cfRule type="iconSet" priority="23">
      <iconSet iconSet="3Arrows">
        <cfvo type="percent" val="0"/>
        <cfvo type="num" val="0"/>
        <cfvo type="num" val="1E-25" gte="0"/>
      </iconSet>
    </cfRule>
  </conditionalFormatting>
  <conditionalFormatting sqref="I52:J52">
    <cfRule type="iconSet" priority="16">
      <iconSet iconSet="3Arrows">
        <cfvo type="percent" val="0"/>
        <cfvo type="num" val="0"/>
        <cfvo type="num" val="1E-25" gte="0"/>
      </iconSet>
    </cfRule>
  </conditionalFormatting>
  <conditionalFormatting sqref="I57:J58">
    <cfRule type="iconSet" priority="28">
      <iconSet iconSet="3Arrows">
        <cfvo type="percent" val="0"/>
        <cfvo type="num" val="0"/>
        <cfvo type="num" val="9.9999999999999995E-8" gte="0"/>
      </iconSet>
    </cfRule>
  </conditionalFormatting>
  <conditionalFormatting sqref="I66:J66">
    <cfRule type="iconSet" priority="13">
      <iconSet iconSet="3Arrows">
        <cfvo type="percent" val="0"/>
        <cfvo type="num" val="0"/>
        <cfvo type="num" val="9.9999999999999995E-8" gte="0"/>
      </iconSet>
    </cfRule>
  </conditionalFormatting>
  <conditionalFormatting sqref="I68:J68">
    <cfRule type="iconSet" priority="11">
      <iconSet iconSet="3Arrows">
        <cfvo type="percent" val="0"/>
        <cfvo type="num" val="0"/>
        <cfvo type="num" val="1E-25" gte="0"/>
      </iconSet>
    </cfRule>
  </conditionalFormatting>
  <conditionalFormatting sqref="I69:J69">
    <cfRule type="iconSet" priority="12">
      <iconSet iconSet="3Arrows">
        <cfvo type="percent" val="0"/>
        <cfvo type="num" val="0"/>
        <cfvo type="num" val="1E-25" gte="0"/>
      </iconSet>
    </cfRule>
  </conditionalFormatting>
  <conditionalFormatting sqref="I70:J70">
    <cfRule type="iconSet" priority="10">
      <iconSet iconSet="3Arrows">
        <cfvo type="percent" val="0"/>
        <cfvo type="num" val="0"/>
        <cfvo type="num" val="1E-25" gte="0"/>
      </iconSet>
    </cfRule>
  </conditionalFormatting>
  <conditionalFormatting sqref="J61">
    <cfRule type="iconSet" priority="25">
      <iconSet iconSet="3Flags">
        <cfvo type="percent" val="0"/>
        <cfvo type="num" val="0"/>
        <cfvo type="num" val="1.0000000000000001E-17" gte="0"/>
      </iconSet>
    </cfRule>
  </conditionalFormatting>
  <conditionalFormatting sqref="K21:K24">
    <cfRule type="iconSet" priority="3">
      <iconSet iconSet="3Arrows">
        <cfvo type="percent" val="0"/>
        <cfvo type="num" val="0"/>
        <cfvo type="num" val="0"/>
      </iconSet>
    </cfRule>
  </conditionalFormatting>
  <conditionalFormatting sqref="Q34">
    <cfRule type="iconSet" priority="18">
      <iconSet iconSet="3Arrows">
        <cfvo type="percent" val="0"/>
        <cfvo type="num" val="0"/>
        <cfvo type="num" val="1E-25" gte="0"/>
      </iconSet>
    </cfRule>
  </conditionalFormatting>
  <conditionalFormatting sqref="Q51:Q52">
    <cfRule type="iconSet" priority="15">
      <iconSet iconSet="3Arrows">
        <cfvo type="percent" val="0"/>
        <cfvo type="num" val="0"/>
        <cfvo type="num" val="1E-25" gte="0"/>
      </iconSet>
    </cfRule>
  </conditionalFormatting>
  <conditionalFormatting sqref="Q60:Q61">
    <cfRule type="iconSet" priority="14">
      <iconSet iconSet="3Arrows">
        <cfvo type="percent" val="0"/>
        <cfvo type="num" val="0"/>
        <cfvo type="num" val="1E-25" gte="0"/>
      </iconSet>
    </cfRule>
  </conditionalFormatting>
  <conditionalFormatting sqref="Q69:Q70">
    <cfRule type="iconSet" priority="9">
      <iconSet iconSet="3Arrows">
        <cfvo type="percent" val="0"/>
        <cfvo type="num" val="0"/>
        <cfvo type="num" val="1E-25" gte="0"/>
      </iconSet>
    </cfRule>
  </conditionalFormatting>
  <conditionalFormatting sqref="AF61:AG61">
    <cfRule type="iconSet" priority="27">
      <iconSet iconSet="3Arrows">
        <cfvo type="percent" val="0"/>
        <cfvo type="num" val="0"/>
        <cfvo type="num" val="1E-25" gte="0"/>
      </iconSe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26" id="{5DEE4CB9-1401-4850-802F-5BBDD9FCE4FA}">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J59:J60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EBF0CE9-7EB9-43B1-86F4-705A6905B3EF}">
          <x14:formula1>
            <xm:f>Reference!$A$2:$A$13</xm:f>
          </x14:formula1>
          <xm:sqref>G16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E8420-EA82-4E1F-AAEC-B4BA7120478A}">
  <sheetPr codeName="Sheet9">
    <tabColor theme="4" tint="0.79998168889431442"/>
  </sheetPr>
  <dimension ref="A1:AG491"/>
  <sheetViews>
    <sheetView showGridLines="0" topLeftCell="D1" zoomScale="85" zoomScaleNormal="85" workbookViewId="0">
      <pane ySplit="18" topLeftCell="A19" activePane="bottomLeft" state="frozen"/>
      <selection pane="bottomLeft" activeCell="F26" sqref="F26"/>
    </sheetView>
  </sheetViews>
  <sheetFormatPr baseColWidth="10" defaultColWidth="8.83203125" defaultRowHeight="15"/>
  <cols>
    <col min="1" max="1" width="2.1640625" style="7" hidden="1" customWidth="1"/>
    <col min="2" max="2" width="33.1640625" style="7" hidden="1" customWidth="1"/>
    <col min="3" max="3" width="2.83203125" style="7" hidden="1" customWidth="1"/>
    <col min="4" max="5" width="2.1640625" style="236" customWidth="1"/>
    <col min="6" max="6" width="26.83203125" style="243" bestFit="1" customWidth="1"/>
    <col min="7" max="9" width="21.6640625" style="236" customWidth="1"/>
    <col min="10" max="10" width="11.5" style="236" customWidth="1"/>
    <col min="11" max="11" width="12.5" style="265" customWidth="1"/>
    <col min="12" max="12" width="21.1640625" style="236" customWidth="1"/>
    <col min="13" max="13" width="2.1640625" style="236" customWidth="1"/>
    <col min="14" max="14" width="2.6640625" style="236" customWidth="1"/>
    <col min="15" max="15" width="12" style="236" customWidth="1"/>
    <col min="16" max="16" width="9.5" style="236" bestFit="1" customWidth="1"/>
    <col min="17" max="17" width="13.1640625" style="236" bestFit="1" customWidth="1"/>
    <col min="18" max="18" width="4.5" style="236" customWidth="1"/>
    <col min="19" max="19" width="3.1640625" style="236" customWidth="1"/>
    <col min="20" max="20" width="26.1640625" style="236" customWidth="1"/>
    <col min="21" max="21" width="14.83203125" style="114" bestFit="1" customWidth="1"/>
    <col min="22" max="22" width="4.33203125" style="114" customWidth="1"/>
    <col min="23" max="23" width="13.6640625" style="114" bestFit="1" customWidth="1"/>
    <col min="24" max="24" width="8.83203125" style="114"/>
    <col min="25" max="25" width="5.83203125" style="114" customWidth="1"/>
    <col min="26" max="26" width="3.1640625" style="114" customWidth="1"/>
    <col min="27" max="27" width="9.1640625" style="114" customWidth="1"/>
    <col min="28" max="16384" width="8.83203125" style="114"/>
  </cols>
  <sheetData>
    <row r="1" spans="1:20">
      <c r="A1" s="114"/>
      <c r="B1" s="114"/>
      <c r="C1" s="114"/>
      <c r="D1" s="114"/>
      <c r="E1" s="114"/>
      <c r="F1" s="118"/>
      <c r="G1" s="114"/>
      <c r="H1" s="114"/>
      <c r="I1" s="114"/>
      <c r="J1" s="114"/>
      <c r="K1" s="264"/>
      <c r="L1" s="114"/>
      <c r="M1" s="114"/>
      <c r="N1" s="114"/>
      <c r="O1" s="114"/>
      <c r="P1" s="114"/>
      <c r="Q1" s="114"/>
      <c r="R1" s="114"/>
      <c r="S1" s="114"/>
      <c r="T1" s="114"/>
    </row>
    <row r="2" spans="1:20">
      <c r="A2" s="114"/>
      <c r="B2" s="114"/>
      <c r="C2" s="114"/>
      <c r="D2" s="114"/>
      <c r="E2" s="114"/>
      <c r="F2" s="118"/>
      <c r="G2" s="114"/>
      <c r="H2" s="114"/>
      <c r="I2" s="114"/>
      <c r="J2" s="114"/>
      <c r="K2" s="264"/>
      <c r="L2" s="114"/>
      <c r="M2" s="114"/>
      <c r="N2" s="114"/>
      <c r="O2" s="114"/>
      <c r="P2" s="114"/>
      <c r="Q2" s="114"/>
      <c r="R2" s="114"/>
      <c r="S2" s="114"/>
      <c r="T2" s="114"/>
    </row>
    <row r="3" spans="1:20">
      <c r="A3" s="114"/>
      <c r="B3" s="114"/>
      <c r="C3" s="114"/>
      <c r="D3" s="114"/>
      <c r="E3" s="114"/>
      <c r="F3" s="118"/>
      <c r="G3" s="114"/>
      <c r="H3" s="114"/>
      <c r="I3" s="114"/>
      <c r="J3" s="114"/>
      <c r="K3" s="264"/>
      <c r="L3" s="114"/>
      <c r="M3" s="114"/>
      <c r="N3" s="114"/>
      <c r="O3" s="114"/>
      <c r="P3" s="114"/>
      <c r="Q3" s="114"/>
      <c r="R3" s="114"/>
      <c r="S3" s="114"/>
      <c r="T3" s="114"/>
    </row>
    <row r="4" spans="1:20">
      <c r="A4" s="114"/>
      <c r="B4" s="114"/>
      <c r="C4" s="114"/>
      <c r="D4" s="114"/>
      <c r="E4" s="114"/>
      <c r="F4" s="118"/>
      <c r="G4" s="114"/>
      <c r="H4" s="114"/>
      <c r="I4" s="114"/>
      <c r="J4" s="114"/>
      <c r="K4" s="264"/>
      <c r="L4" s="114"/>
      <c r="M4" s="114"/>
      <c r="N4" s="114"/>
      <c r="O4" s="114"/>
      <c r="P4" s="114"/>
      <c r="Q4" s="114"/>
      <c r="R4" s="114"/>
      <c r="S4" s="114"/>
      <c r="T4" s="114"/>
    </row>
    <row r="5" spans="1:20">
      <c r="A5" s="114"/>
      <c r="B5" s="114"/>
      <c r="C5" s="114"/>
      <c r="D5" s="114"/>
      <c r="E5" s="114"/>
      <c r="F5" s="118"/>
      <c r="G5" s="114"/>
      <c r="H5" s="114"/>
      <c r="I5" s="114"/>
      <c r="J5" s="114"/>
      <c r="K5" s="264"/>
      <c r="L5" s="114"/>
      <c r="M5" s="114"/>
      <c r="N5" s="114"/>
      <c r="O5" s="114"/>
      <c r="P5" s="114"/>
      <c r="Q5" s="114"/>
      <c r="R5" s="114"/>
      <c r="S5" s="114"/>
      <c r="T5" s="114"/>
    </row>
    <row r="6" spans="1:20">
      <c r="A6" s="114"/>
      <c r="B6" s="114"/>
      <c r="C6" s="114"/>
      <c r="D6" s="114"/>
      <c r="E6" s="114"/>
      <c r="F6" s="118"/>
      <c r="G6" s="114"/>
      <c r="H6" s="114"/>
      <c r="I6" s="114"/>
      <c r="J6" s="114"/>
      <c r="K6" s="264"/>
      <c r="L6" s="114"/>
      <c r="M6" s="114"/>
      <c r="N6" s="114"/>
      <c r="O6" s="114"/>
      <c r="P6" s="114"/>
      <c r="Q6" s="114"/>
      <c r="R6" s="114"/>
      <c r="S6" s="114"/>
      <c r="T6" s="114"/>
    </row>
    <row r="7" spans="1:20">
      <c r="A7" s="114"/>
      <c r="B7" s="114"/>
      <c r="C7" s="114"/>
      <c r="D7" s="114"/>
      <c r="E7" s="114"/>
      <c r="F7" s="118"/>
      <c r="G7" s="114"/>
      <c r="H7" s="114"/>
      <c r="I7" s="114"/>
      <c r="J7" s="114"/>
      <c r="K7" s="264"/>
      <c r="L7" s="114"/>
      <c r="M7" s="114"/>
      <c r="N7" s="114"/>
      <c r="O7" s="114"/>
      <c r="P7" s="114"/>
      <c r="Q7" s="114"/>
      <c r="R7" s="114"/>
      <c r="S7" s="114"/>
      <c r="T7" s="114"/>
    </row>
    <row r="8" spans="1:20">
      <c r="A8" s="114"/>
      <c r="B8" s="114"/>
      <c r="C8" s="114"/>
      <c r="D8" s="114"/>
      <c r="E8" s="114"/>
      <c r="F8" s="118"/>
      <c r="G8" s="114"/>
      <c r="H8" s="114"/>
      <c r="I8" s="114"/>
      <c r="J8" s="114"/>
      <c r="K8" s="264"/>
      <c r="L8" s="114"/>
      <c r="M8" s="114"/>
      <c r="N8" s="114"/>
      <c r="O8" s="114"/>
      <c r="P8" s="114"/>
      <c r="Q8" s="114"/>
      <c r="R8" s="114"/>
      <c r="S8" s="114"/>
      <c r="T8" s="114"/>
    </row>
    <row r="9" spans="1:20">
      <c r="A9" s="114"/>
      <c r="B9" s="114"/>
      <c r="C9" s="114"/>
      <c r="D9" s="114"/>
      <c r="E9" s="114"/>
      <c r="F9" s="118"/>
      <c r="G9" s="114"/>
      <c r="H9" s="114"/>
      <c r="I9" s="114"/>
      <c r="J9" s="114"/>
      <c r="K9" s="264"/>
      <c r="L9" s="114"/>
      <c r="M9" s="114"/>
      <c r="N9" s="114"/>
      <c r="O9" s="114"/>
      <c r="P9" s="114"/>
      <c r="Q9" s="114"/>
      <c r="R9" s="114"/>
      <c r="S9" s="114"/>
      <c r="T9" s="114"/>
    </row>
    <row r="10" spans="1:20">
      <c r="A10" s="114"/>
      <c r="B10" s="114"/>
      <c r="C10" s="114"/>
      <c r="D10" s="114"/>
      <c r="E10" s="114"/>
      <c r="F10" s="118"/>
      <c r="G10" s="114"/>
      <c r="H10" s="114"/>
      <c r="I10" s="114"/>
      <c r="J10" s="114"/>
      <c r="K10" s="264"/>
      <c r="L10" s="114"/>
      <c r="M10" s="114"/>
      <c r="N10" s="114"/>
      <c r="O10" s="114"/>
      <c r="P10" s="114"/>
      <c r="Q10" s="114"/>
      <c r="R10" s="114"/>
      <c r="S10" s="114"/>
      <c r="T10" s="114"/>
    </row>
    <row r="11" spans="1:20">
      <c r="A11" s="114"/>
      <c r="B11" s="114"/>
      <c r="C11" s="114"/>
      <c r="D11" s="114"/>
      <c r="E11" s="114"/>
      <c r="F11" s="118"/>
      <c r="G11" s="114"/>
      <c r="H11" s="114"/>
      <c r="I11" s="114"/>
      <c r="J11" s="114"/>
      <c r="K11" s="264"/>
      <c r="L11" s="114"/>
      <c r="M11" s="114"/>
      <c r="N11" s="114"/>
      <c r="O11" s="114"/>
      <c r="P11" s="114"/>
      <c r="Q11" s="114"/>
      <c r="R11" s="114"/>
      <c r="S11" s="114"/>
      <c r="T11" s="114"/>
    </row>
    <row r="12" spans="1:20">
      <c r="A12" s="114"/>
      <c r="B12" s="114"/>
      <c r="C12" s="114"/>
      <c r="D12" s="114"/>
      <c r="E12" s="114"/>
      <c r="F12" s="118"/>
      <c r="G12" s="114"/>
      <c r="H12" s="114"/>
      <c r="I12" s="114"/>
      <c r="J12" s="114"/>
      <c r="K12" s="264"/>
      <c r="L12" s="114"/>
      <c r="M12" s="114"/>
      <c r="N12" s="114"/>
      <c r="O12" s="114"/>
      <c r="P12" s="114"/>
      <c r="Q12" s="114"/>
      <c r="R12" s="114"/>
      <c r="S12" s="114"/>
      <c r="T12" s="114"/>
    </row>
    <row r="13" spans="1:20">
      <c r="A13" s="114"/>
      <c r="B13" s="114"/>
      <c r="C13" s="114"/>
      <c r="D13" s="114"/>
      <c r="E13" s="114"/>
      <c r="F13" s="118"/>
      <c r="G13" s="114"/>
      <c r="H13" s="114"/>
      <c r="I13" s="114"/>
      <c r="J13" s="114"/>
      <c r="K13" s="264"/>
      <c r="L13" s="114"/>
      <c r="M13" s="114"/>
      <c r="N13" s="114"/>
      <c r="O13" s="114"/>
      <c r="P13" s="114"/>
      <c r="Q13" s="114"/>
      <c r="R13" s="114"/>
      <c r="S13" s="114"/>
      <c r="T13" s="114"/>
    </row>
    <row r="14" spans="1:20">
      <c r="A14" s="114"/>
      <c r="B14" s="114"/>
      <c r="C14" s="114"/>
      <c r="D14" s="114"/>
      <c r="E14" s="114"/>
      <c r="F14" s="118"/>
      <c r="G14" s="114"/>
      <c r="H14" s="114"/>
      <c r="I14" s="114"/>
      <c r="J14" s="114"/>
      <c r="K14" s="264"/>
      <c r="L14" s="114"/>
      <c r="M14" s="114"/>
      <c r="N14" s="114"/>
      <c r="O14" s="114"/>
      <c r="P14" s="114"/>
      <c r="Q14" s="114"/>
      <c r="R14" s="114"/>
      <c r="S14" s="114"/>
      <c r="T14" s="114"/>
    </row>
    <row r="15" spans="1:20" hidden="1">
      <c r="A15" s="114"/>
      <c r="B15" s="114"/>
      <c r="C15" s="114"/>
      <c r="D15" s="114"/>
      <c r="E15" s="114"/>
      <c r="F15" s="118"/>
      <c r="G15" s="114"/>
      <c r="H15" s="114"/>
      <c r="I15" s="114"/>
      <c r="J15" s="114"/>
      <c r="K15" s="264"/>
      <c r="L15" s="114"/>
      <c r="M15" s="114"/>
      <c r="N15" s="114"/>
      <c r="O15" s="114"/>
      <c r="P15" s="114"/>
      <c r="Q15" s="114"/>
      <c r="R15" s="114"/>
      <c r="S15" s="114"/>
      <c r="T15" s="114"/>
    </row>
    <row r="16" spans="1:20" hidden="1">
      <c r="D16" s="114"/>
      <c r="E16" s="114"/>
      <c r="F16" s="114"/>
      <c r="G16" s="114"/>
      <c r="H16" s="419"/>
      <c r="I16" s="114"/>
      <c r="J16" s="114"/>
      <c r="K16" s="264"/>
      <c r="L16" s="114"/>
      <c r="M16" s="130"/>
      <c r="N16" s="114"/>
      <c r="O16" s="114"/>
      <c r="P16" s="114"/>
      <c r="Q16" s="114"/>
      <c r="R16" s="114"/>
      <c r="S16" s="114"/>
      <c r="T16" s="114"/>
    </row>
    <row r="17" spans="1:27" s="287" customFormat="1" ht="26.5" hidden="1" customHeight="1" thickBot="1">
      <c r="A17" s="286"/>
      <c r="B17" s="286"/>
      <c r="C17" s="286"/>
      <c r="F17" s="643" t="s">
        <v>174</v>
      </c>
      <c r="G17" s="644" t="str">
        <f>+'Dashboard Aifina'!G16</f>
        <v>October</v>
      </c>
      <c r="H17" s="675">
        <f>+VLOOKUP(G17,Reference!A2:B13,2,0)</f>
        <v>10</v>
      </c>
      <c r="I17" s="677">
        <v>2022</v>
      </c>
      <c r="J17" s="676">
        <v>2023</v>
      </c>
      <c r="K17" s="478"/>
    </row>
    <row r="18" spans="1:27">
      <c r="D18" s="114"/>
      <c r="E18" s="114"/>
      <c r="F18" s="118"/>
      <c r="G18" s="114"/>
      <c r="H18" s="114"/>
      <c r="I18" s="114"/>
      <c r="J18" s="114"/>
      <c r="K18" s="264"/>
      <c r="L18" s="114"/>
      <c r="M18" s="114"/>
      <c r="N18" s="114"/>
      <c r="O18" s="114"/>
      <c r="P18" s="114"/>
      <c r="Q18" s="114"/>
      <c r="R18" s="114"/>
      <c r="S18" s="114"/>
      <c r="T18" s="114"/>
    </row>
    <row r="19" spans="1:27">
      <c r="A19" s="236"/>
      <c r="B19" s="236"/>
      <c r="C19" s="236"/>
      <c r="U19" s="236"/>
      <c r="V19" s="236"/>
      <c r="W19" s="236"/>
      <c r="X19" s="236"/>
      <c r="Y19" s="236"/>
      <c r="Z19" s="236"/>
      <c r="AA19" s="236"/>
    </row>
    <row r="20" spans="1:27" ht="20.5" customHeight="1" thickBot="1">
      <c r="O20" s="418"/>
      <c r="P20" s="418"/>
      <c r="Q20" s="418" t="s">
        <v>441</v>
      </c>
      <c r="T20" s="563" t="s">
        <v>442</v>
      </c>
      <c r="U20" s="236"/>
      <c r="V20" s="236"/>
      <c r="W20" s="236"/>
      <c r="X20" s="236"/>
      <c r="Y20" s="236"/>
      <c r="Z20" s="236"/>
      <c r="AA20" s="236"/>
    </row>
    <row r="21" spans="1:27" s="204" customFormat="1" ht="20.5" customHeight="1" thickBot="1">
      <c r="A21" s="241"/>
      <c r="B21" s="241"/>
      <c r="C21" s="241"/>
      <c r="D21" s="244"/>
      <c r="E21" s="295"/>
      <c r="F21" s="525" t="s">
        <v>365</v>
      </c>
      <c r="G21" s="526" t="s">
        <v>366</v>
      </c>
      <c r="H21" s="470"/>
      <c r="I21" s="525" t="s">
        <v>376</v>
      </c>
      <c r="J21" s="770" t="s">
        <v>377</v>
      </c>
      <c r="K21" s="771"/>
      <c r="L21" s="495"/>
      <c r="M21" s="289"/>
      <c r="N21" s="289"/>
      <c r="O21" s="494"/>
      <c r="P21" s="292"/>
      <c r="Q21" s="292"/>
      <c r="R21" s="236"/>
      <c r="S21" s="236"/>
      <c r="T21" s="563" t="s">
        <v>443</v>
      </c>
      <c r="U21" s="244"/>
      <c r="V21" s="244"/>
      <c r="W21" s="244"/>
      <c r="X21" s="244"/>
      <c r="Y21" s="244"/>
      <c r="Z21" s="244"/>
      <c r="AA21" s="244"/>
    </row>
    <row r="22" spans="1:27" ht="20.5" customHeight="1">
      <c r="B22" s="420" t="s">
        <v>163</v>
      </c>
      <c r="E22" s="293"/>
      <c r="F22" s="470"/>
      <c r="G22" s="497"/>
      <c r="H22" s="514"/>
      <c r="I22" s="515"/>
      <c r="J22" s="497"/>
      <c r="K22" s="498"/>
      <c r="L22" s="497"/>
      <c r="M22" s="249"/>
      <c r="N22" s="248"/>
      <c r="O22" s="495"/>
      <c r="P22" s="499"/>
      <c r="Q22" s="499"/>
      <c r="R22" s="473"/>
      <c r="S22" s="473"/>
      <c r="T22" s="563" t="s">
        <v>444</v>
      </c>
      <c r="U22" s="497"/>
      <c r="V22" s="473"/>
      <c r="W22" s="473"/>
      <c r="X22" s="473"/>
      <c r="Y22" s="473"/>
      <c r="Z22" s="236"/>
      <c r="AA22" s="236"/>
    </row>
    <row r="23" spans="1:27" ht="24.5" customHeight="1">
      <c r="B23" s="240"/>
      <c r="E23" s="293"/>
      <c r="F23" s="470" t="s">
        <v>440</v>
      </c>
      <c r="G23" s="500"/>
      <c r="H23" s="515"/>
      <c r="I23" s="515"/>
      <c r="J23" s="500"/>
      <c r="K23" s="498"/>
      <c r="L23" s="500"/>
      <c r="M23" s="249"/>
      <c r="O23" s="495"/>
      <c r="P23" s="499"/>
      <c r="Q23" s="499"/>
      <c r="R23" s="473"/>
      <c r="S23" s="473"/>
      <c r="T23" s="495"/>
      <c r="U23" s="497"/>
      <c r="V23" s="473"/>
      <c r="W23" s="473"/>
      <c r="X23" s="473"/>
      <c r="Y23" s="473"/>
      <c r="Z23" s="236"/>
      <c r="AA23" s="236"/>
    </row>
    <row r="24" spans="1:27" ht="3.5" customHeight="1">
      <c r="E24" s="293"/>
      <c r="F24" s="391"/>
      <c r="G24" s="503"/>
      <c r="H24" s="516"/>
      <c r="I24" s="517"/>
      <c r="J24" s="503"/>
      <c r="K24" s="504"/>
      <c r="L24" s="503"/>
      <c r="M24" s="253"/>
      <c r="N24" s="114"/>
      <c r="O24" s="409"/>
      <c r="P24" s="513"/>
      <c r="Q24" s="513"/>
      <c r="R24" s="474"/>
      <c r="S24" s="474"/>
      <c r="T24" s="409"/>
      <c r="U24" s="497"/>
      <c r="V24" s="473"/>
      <c r="W24" s="473"/>
      <c r="X24" s="473"/>
      <c r="Y24" s="473"/>
      <c r="Z24" s="236"/>
      <c r="AA24" s="236"/>
    </row>
    <row r="25" spans="1:27" ht="24.5" customHeight="1">
      <c r="B25" s="240"/>
      <c r="E25" s="293"/>
      <c r="F25" s="335" t="s">
        <v>400</v>
      </c>
      <c r="G25" s="391"/>
      <c r="H25" s="114"/>
      <c r="I25" s="391"/>
      <c r="J25" s="504"/>
      <c r="K25" s="391" t="s">
        <v>289</v>
      </c>
      <c r="L25" s="504"/>
      <c r="M25" s="503"/>
      <c r="N25" s="114"/>
      <c r="O25" s="409"/>
      <c r="P25" s="510"/>
      <c r="Q25" s="510"/>
      <c r="R25" s="474"/>
      <c r="S25" s="474"/>
      <c r="T25" s="409"/>
      <c r="U25" s="497"/>
      <c r="V25" s="473"/>
      <c r="W25" s="473"/>
      <c r="X25" s="473"/>
      <c r="Y25" s="473"/>
      <c r="Z25" s="236"/>
      <c r="AA25" s="236"/>
    </row>
    <row r="26" spans="1:27" ht="18.5" customHeight="1">
      <c r="B26" s="240"/>
      <c r="E26" s="293"/>
      <c r="F26" s="538" t="s">
        <v>402</v>
      </c>
      <c r="G26" s="538"/>
      <c r="H26" s="538"/>
      <c r="I26" s="538"/>
      <c r="J26" s="538"/>
      <c r="K26" s="698">
        <v>23</v>
      </c>
      <c r="L26" s="697" t="s">
        <v>1031</v>
      </c>
      <c r="M26" s="447"/>
      <c r="N26" s="447"/>
      <c r="O26" s="690"/>
      <c r="P26" s="691"/>
      <c r="Q26" s="447"/>
      <c r="R26" s="692"/>
      <c r="S26" s="692"/>
      <c r="T26" s="114"/>
      <c r="U26" s="236"/>
      <c r="V26" s="473"/>
      <c r="W26" s="473"/>
      <c r="X26" s="473"/>
      <c r="Y26" s="473"/>
      <c r="Z26" s="236"/>
      <c r="AA26" s="236"/>
    </row>
    <row r="27" spans="1:27" ht="18.5" customHeight="1">
      <c r="E27" s="293"/>
      <c r="F27" s="538" t="s">
        <v>403</v>
      </c>
      <c r="G27" s="538"/>
      <c r="H27" s="538"/>
      <c r="I27" s="538"/>
      <c r="J27" s="538"/>
      <c r="K27" s="698">
        <v>4</v>
      </c>
      <c r="L27" s="697" t="s">
        <v>1031</v>
      </c>
      <c r="M27" s="447"/>
      <c r="N27" s="447"/>
      <c r="O27" s="447"/>
      <c r="P27" s="447"/>
      <c r="Q27" s="447"/>
      <c r="R27" s="447"/>
      <c r="S27" s="447"/>
      <c r="T27" s="114"/>
      <c r="U27" s="236"/>
      <c r="V27" s="236"/>
      <c r="W27" s="236"/>
      <c r="X27" s="236"/>
      <c r="Y27" s="236"/>
      <c r="Z27" s="236"/>
      <c r="AA27" s="236"/>
    </row>
    <row r="28" spans="1:27" ht="18.5" customHeight="1">
      <c r="B28" s="240"/>
      <c r="F28" s="538" t="s">
        <v>404</v>
      </c>
      <c r="G28" s="538"/>
      <c r="H28" s="538"/>
      <c r="I28" s="538"/>
      <c r="J28" s="538"/>
      <c r="K28" s="698">
        <v>23</v>
      </c>
      <c r="L28" s="697" t="s">
        <v>1031</v>
      </c>
      <c r="M28" s="447"/>
      <c r="N28" s="447"/>
      <c r="O28" s="693"/>
      <c r="P28" s="447"/>
      <c r="Q28" s="447"/>
      <c r="R28" s="447"/>
      <c r="S28" s="447"/>
      <c r="T28" s="114"/>
      <c r="U28" s="236"/>
      <c r="V28" s="236"/>
      <c r="W28" s="236"/>
      <c r="X28" s="236"/>
      <c r="Y28" s="236"/>
      <c r="Z28" s="236"/>
      <c r="AA28" s="236"/>
    </row>
    <row r="29" spans="1:27" ht="18.5" customHeight="1">
      <c r="A29" s="236"/>
      <c r="B29" s="469"/>
      <c r="C29" s="236"/>
      <c r="E29" s="293"/>
      <c r="F29" s="538" t="s">
        <v>405</v>
      </c>
      <c r="G29" s="538"/>
      <c r="H29" s="538"/>
      <c r="I29" s="538"/>
      <c r="J29" s="538"/>
      <c r="K29" s="700">
        <v>1</v>
      </c>
      <c r="L29" s="697" t="s">
        <v>1031</v>
      </c>
      <c r="M29" s="694"/>
      <c r="N29" s="447"/>
      <c r="O29" s="695"/>
      <c r="P29" s="696"/>
      <c r="Q29" s="696"/>
      <c r="R29" s="696"/>
      <c r="S29" s="696"/>
      <c r="T29" s="512"/>
      <c r="U29" s="508"/>
      <c r="V29" s="508"/>
      <c r="W29" s="508"/>
      <c r="X29" s="508"/>
      <c r="Y29" s="508"/>
      <c r="Z29" s="236"/>
      <c r="AA29" s="236"/>
    </row>
    <row r="30" spans="1:27" ht="18.5" customHeight="1">
      <c r="A30" s="236"/>
      <c r="B30" s="236"/>
      <c r="C30" s="236"/>
      <c r="E30" s="295"/>
      <c r="F30" s="553" t="s">
        <v>1000</v>
      </c>
      <c r="G30" s="538"/>
      <c r="H30" s="553"/>
      <c r="I30" s="553"/>
      <c r="J30" s="553"/>
      <c r="K30" s="700">
        <v>13</v>
      </c>
      <c r="L30" s="697" t="s">
        <v>1031</v>
      </c>
      <c r="M30" s="694"/>
      <c r="N30" s="447"/>
      <c r="O30" s="696"/>
      <c r="P30" s="696"/>
      <c r="Q30" s="696"/>
      <c r="R30" s="696"/>
      <c r="S30" s="696"/>
      <c r="T30" s="512"/>
      <c r="U30" s="508"/>
      <c r="V30" s="508"/>
      <c r="W30" s="508"/>
      <c r="X30" s="508"/>
      <c r="Y30" s="508"/>
      <c r="Z30" s="244"/>
      <c r="AA30" s="236"/>
    </row>
    <row r="31" spans="1:27" s="202" customFormat="1" ht="18.5" customHeight="1">
      <c r="A31" s="520"/>
      <c r="B31" s="521"/>
      <c r="C31" s="520"/>
      <c r="D31" s="520"/>
      <c r="E31" s="520"/>
      <c r="F31" s="522"/>
      <c r="G31" s="522"/>
      <c r="H31" s="522"/>
      <c r="I31" s="522"/>
      <c r="J31" s="522"/>
      <c r="K31" s="522"/>
      <c r="L31" s="522"/>
      <c r="O31" s="523"/>
      <c r="P31" s="523"/>
      <c r="Q31" s="523"/>
      <c r="R31" s="523"/>
      <c r="S31" s="523"/>
      <c r="T31" s="523"/>
      <c r="U31" s="524"/>
      <c r="V31" s="524"/>
      <c r="W31" s="524"/>
      <c r="X31" s="524"/>
      <c r="Y31" s="524"/>
      <c r="Z31" s="520"/>
      <c r="AA31" s="520"/>
    </row>
    <row r="32" spans="1:27" s="236" customFormat="1" ht="21" customHeight="1">
      <c r="E32" s="293"/>
      <c r="F32" s="502"/>
      <c r="G32" s="502"/>
      <c r="H32" s="502"/>
      <c r="I32" s="502"/>
      <c r="J32" s="502"/>
      <c r="K32" s="502"/>
      <c r="L32" s="502"/>
      <c r="O32" s="508"/>
      <c r="P32" s="508"/>
      <c r="Q32" s="508"/>
      <c r="R32" s="508"/>
      <c r="S32" s="508"/>
      <c r="T32" s="508"/>
      <c r="U32" s="508"/>
      <c r="V32" s="508"/>
      <c r="W32" s="508"/>
      <c r="X32" s="508"/>
      <c r="Y32" s="508"/>
    </row>
    <row r="33" spans="1:27" ht="3.5" customHeight="1">
      <c r="E33" s="293"/>
      <c r="F33" s="391"/>
      <c r="G33" s="503"/>
      <c r="H33" s="516"/>
      <c r="I33" s="517"/>
      <c r="J33" s="503"/>
      <c r="K33" s="504"/>
      <c r="L33" s="503"/>
      <c r="M33" s="253"/>
      <c r="N33" s="114"/>
      <c r="O33" s="409"/>
      <c r="P33" s="513"/>
      <c r="Q33" s="513"/>
      <c r="R33" s="474"/>
      <c r="S33" s="474"/>
      <c r="T33" s="409"/>
      <c r="U33" s="497"/>
      <c r="V33" s="473"/>
      <c r="W33" s="473"/>
      <c r="X33" s="473"/>
      <c r="Y33" s="473"/>
      <c r="Z33" s="236"/>
      <c r="AA33" s="236"/>
    </row>
    <row r="34" spans="1:27" ht="24.5" customHeight="1">
      <c r="B34" s="240"/>
      <c r="E34" s="293"/>
      <c r="F34" s="335" t="s">
        <v>401</v>
      </c>
      <c r="G34" s="391"/>
      <c r="H34" s="114"/>
      <c r="I34" s="391"/>
      <c r="J34" s="504"/>
      <c r="K34" s="391" t="s">
        <v>289</v>
      </c>
      <c r="L34" s="504"/>
      <c r="M34" s="503"/>
      <c r="N34" s="114"/>
      <c r="O34" s="409"/>
      <c r="P34" s="510"/>
      <c r="Q34" s="510"/>
      <c r="R34" s="474"/>
      <c r="S34" s="474"/>
      <c r="T34" s="409"/>
      <c r="U34" s="497"/>
      <c r="V34" s="473"/>
      <c r="W34" s="473"/>
      <c r="X34" s="473"/>
      <c r="Y34" s="473"/>
      <c r="Z34" s="236"/>
      <c r="AA34" s="236"/>
    </row>
    <row r="35" spans="1:27" ht="18.5" customHeight="1">
      <c r="B35" s="240"/>
      <c r="E35" s="293"/>
      <c r="F35" s="538" t="s">
        <v>407</v>
      </c>
      <c r="G35" s="538"/>
      <c r="H35" s="538"/>
      <c r="I35" s="538"/>
      <c r="J35" s="538"/>
      <c r="K35" s="114" t="str">
        <f>V37</f>
        <v>low</v>
      </c>
      <c r="L35" s="509"/>
      <c r="M35" s="114"/>
      <c r="N35" s="114"/>
      <c r="O35" s="529"/>
      <c r="P35" s="530"/>
      <c r="Q35" s="114"/>
      <c r="R35" s="474"/>
      <c r="S35" s="474"/>
      <c r="T35" s="114"/>
      <c r="U35" s="236"/>
      <c r="V35" s="473" t="s">
        <v>442</v>
      </c>
      <c r="W35" s="473"/>
      <c r="X35" s="473"/>
      <c r="Y35" s="473"/>
      <c r="Z35" s="236"/>
      <c r="AA35" s="236"/>
    </row>
    <row r="36" spans="1:27" ht="18.5" customHeight="1">
      <c r="E36" s="293"/>
      <c r="F36" s="538" t="s">
        <v>408</v>
      </c>
      <c r="G36" s="538"/>
      <c r="H36" s="538"/>
      <c r="I36" s="538"/>
      <c r="J36" s="538"/>
      <c r="K36" s="699" t="str">
        <f>V35</f>
        <v>High</v>
      </c>
      <c r="L36" s="479"/>
      <c r="M36" s="114"/>
      <c r="N36" s="114"/>
      <c r="O36" s="114"/>
      <c r="P36" s="114"/>
      <c r="Q36" s="114"/>
      <c r="R36" s="114"/>
      <c r="S36" s="114"/>
      <c r="T36" s="114"/>
      <c r="U36" s="236"/>
      <c r="V36" s="236" t="s">
        <v>443</v>
      </c>
      <c r="W36" s="236"/>
      <c r="X36" s="236"/>
      <c r="Y36" s="236"/>
      <c r="Z36" s="236"/>
      <c r="AA36" s="236"/>
    </row>
    <row r="37" spans="1:27" ht="18.5" customHeight="1">
      <c r="B37" s="240"/>
      <c r="F37" s="538" t="s">
        <v>409</v>
      </c>
      <c r="G37" s="538"/>
      <c r="H37" s="538"/>
      <c r="I37" s="538"/>
      <c r="J37" s="538"/>
      <c r="K37" s="114" t="str">
        <f>V37</f>
        <v>low</v>
      </c>
      <c r="L37" s="264"/>
      <c r="M37" s="114"/>
      <c r="N37" s="114"/>
      <c r="O37" s="487"/>
      <c r="P37" s="114"/>
      <c r="Q37" s="114"/>
      <c r="R37" s="114"/>
      <c r="S37" s="114"/>
      <c r="T37" s="114"/>
      <c r="U37" s="236"/>
      <c r="V37" s="236" t="s">
        <v>1032</v>
      </c>
      <c r="W37" s="236"/>
      <c r="X37" s="236"/>
      <c r="Y37" s="236"/>
      <c r="Z37" s="236"/>
      <c r="AA37" s="236"/>
    </row>
    <row r="38" spans="1:27" ht="18.5" customHeight="1">
      <c r="A38" s="236"/>
      <c r="B38" s="469"/>
      <c r="C38" s="236"/>
      <c r="E38" s="293"/>
      <c r="F38" s="538" t="s">
        <v>410</v>
      </c>
      <c r="G38" s="538"/>
      <c r="H38" s="538"/>
      <c r="I38" s="538"/>
      <c r="J38" s="538"/>
      <c r="K38" s="114" t="str">
        <f>V36</f>
        <v>Medium</v>
      </c>
      <c r="L38" s="490"/>
      <c r="M38" s="490"/>
      <c r="N38" s="114"/>
      <c r="O38" s="511"/>
      <c r="P38" s="512"/>
      <c r="Q38" s="512"/>
      <c r="R38" s="512"/>
      <c r="S38" s="512"/>
      <c r="T38" s="512"/>
      <c r="U38" s="508"/>
      <c r="V38" s="508"/>
      <c r="W38" s="508"/>
      <c r="X38" s="508"/>
      <c r="Y38" s="508"/>
      <c r="Z38" s="236"/>
      <c r="AA38" s="236"/>
    </row>
    <row r="39" spans="1:27" ht="18.5" customHeight="1">
      <c r="A39" s="236"/>
      <c r="B39" s="236"/>
      <c r="C39" s="236"/>
      <c r="E39" s="295"/>
      <c r="F39" s="553" t="s">
        <v>411</v>
      </c>
      <c r="G39" s="553"/>
      <c r="H39" s="553"/>
      <c r="I39" s="553"/>
      <c r="J39" s="553"/>
      <c r="K39" s="699" t="str">
        <f>V35</f>
        <v>High</v>
      </c>
      <c r="L39" s="490"/>
      <c r="M39" s="490"/>
      <c r="N39" s="114"/>
      <c r="O39" s="512"/>
      <c r="P39" s="512"/>
      <c r="Q39" s="512"/>
      <c r="R39" s="512"/>
      <c r="S39" s="512"/>
      <c r="T39" s="512"/>
      <c r="U39" s="508"/>
      <c r="V39" s="508"/>
      <c r="W39" s="508"/>
      <c r="X39" s="508"/>
      <c r="Y39" s="508"/>
      <c r="Z39" s="244"/>
      <c r="AA39" s="236"/>
    </row>
    <row r="40" spans="1:27" s="202" customFormat="1" ht="18.5" customHeight="1">
      <c r="A40" s="520"/>
      <c r="B40" s="521"/>
      <c r="C40" s="520"/>
      <c r="D40" s="520"/>
      <c r="E40" s="520"/>
      <c r="F40" s="522"/>
      <c r="G40" s="522"/>
      <c r="H40" s="522"/>
      <c r="I40" s="522"/>
      <c r="J40" s="522"/>
      <c r="K40" s="522"/>
      <c r="L40" s="522"/>
      <c r="O40" s="523"/>
      <c r="P40" s="523"/>
      <c r="Q40" s="523"/>
      <c r="R40" s="523"/>
      <c r="S40" s="523"/>
      <c r="T40" s="523"/>
      <c r="U40" s="524"/>
      <c r="V40" s="524"/>
      <c r="W40" s="524"/>
      <c r="X40" s="524"/>
      <c r="Y40" s="524"/>
      <c r="Z40" s="520"/>
      <c r="AA40" s="520"/>
    </row>
    <row r="41" spans="1:27" s="236" customFormat="1" ht="21" customHeight="1">
      <c r="B41" s="469"/>
      <c r="E41" s="293"/>
      <c r="F41" s="243"/>
      <c r="K41" s="480"/>
    </row>
    <row r="42" spans="1:27" ht="3.5" customHeight="1">
      <c r="E42" s="293"/>
      <c r="F42" s="391"/>
      <c r="G42" s="503"/>
      <c r="H42" s="516"/>
      <c r="I42" s="517"/>
      <c r="J42" s="503"/>
      <c r="K42" s="504"/>
      <c r="L42" s="503"/>
      <c r="M42" s="253"/>
      <c r="N42" s="114"/>
      <c r="O42" s="409"/>
      <c r="P42" s="513"/>
      <c r="Q42" s="513"/>
      <c r="R42" s="474"/>
      <c r="S42" s="474"/>
      <c r="T42" s="409"/>
      <c r="U42" s="497"/>
      <c r="V42" s="473"/>
      <c r="W42" s="473"/>
      <c r="X42" s="473"/>
      <c r="Y42" s="473"/>
      <c r="Z42" s="236"/>
      <c r="AA42" s="236"/>
    </row>
    <row r="43" spans="1:27" ht="24.5" customHeight="1">
      <c r="B43" s="240"/>
      <c r="E43" s="293"/>
      <c r="F43" s="335" t="s">
        <v>412</v>
      </c>
      <c r="G43" s="391"/>
      <c r="H43" s="114"/>
      <c r="I43" s="391"/>
      <c r="J43" s="504"/>
      <c r="K43" s="391" t="s">
        <v>289</v>
      </c>
      <c r="L43" s="504"/>
      <c r="M43" s="503"/>
      <c r="N43" s="114"/>
      <c r="O43" s="409"/>
      <c r="P43" s="510"/>
      <c r="Q43" s="510"/>
      <c r="R43" s="474"/>
      <c r="S43" s="474"/>
      <c r="T43" s="409"/>
      <c r="U43" s="497"/>
      <c r="V43" s="473"/>
      <c r="W43" s="473"/>
      <c r="X43" s="473"/>
      <c r="Y43" s="473"/>
      <c r="Z43" s="236"/>
      <c r="AA43" s="236"/>
    </row>
    <row r="44" spans="1:27" ht="18.5" customHeight="1">
      <c r="B44" s="240"/>
      <c r="E44" s="293"/>
      <c r="F44" s="538" t="s">
        <v>413</v>
      </c>
      <c r="G44" s="538"/>
      <c r="H44" s="538"/>
      <c r="I44" s="538"/>
      <c r="J44" s="538"/>
      <c r="K44" s="114" t="s">
        <v>1032</v>
      </c>
      <c r="L44" s="509"/>
      <c r="M44" s="114"/>
      <c r="N44" s="114"/>
      <c r="O44" s="529"/>
      <c r="P44" s="530"/>
      <c r="Q44" s="114"/>
      <c r="R44" s="474"/>
      <c r="S44" s="474"/>
      <c r="T44" s="114"/>
      <c r="U44" s="236"/>
      <c r="V44" s="473"/>
      <c r="W44" s="473"/>
      <c r="X44" s="473"/>
      <c r="Y44" s="473"/>
      <c r="Z44" s="236"/>
      <c r="AA44" s="236"/>
    </row>
    <row r="45" spans="1:27" ht="18.5" customHeight="1">
      <c r="E45" s="293"/>
      <c r="F45" s="538" t="s">
        <v>414</v>
      </c>
      <c r="G45" s="538"/>
      <c r="H45" s="538"/>
      <c r="I45" s="538"/>
      <c r="J45" s="538"/>
      <c r="K45" s="234" t="s">
        <v>442</v>
      </c>
      <c r="L45" s="479"/>
      <c r="M45" s="114"/>
      <c r="N45" s="114"/>
      <c r="O45" s="114"/>
      <c r="P45" s="114"/>
      <c r="Q45" s="114"/>
      <c r="R45" s="114"/>
      <c r="S45" s="114"/>
      <c r="T45" s="114"/>
      <c r="U45" s="236"/>
      <c r="V45" s="236"/>
      <c r="W45" s="236"/>
      <c r="X45" s="236"/>
      <c r="Y45" s="236"/>
      <c r="Z45" s="236"/>
      <c r="AA45" s="236"/>
    </row>
    <row r="46" spans="1:27" ht="18.5" customHeight="1">
      <c r="B46" s="240"/>
      <c r="F46" s="538" t="s">
        <v>415</v>
      </c>
      <c r="G46" s="538"/>
      <c r="H46" s="538"/>
      <c r="I46" s="538"/>
      <c r="J46" s="538"/>
      <c r="K46" s="114" t="s">
        <v>1032</v>
      </c>
      <c r="L46" s="264"/>
      <c r="M46" s="114"/>
      <c r="N46" s="114"/>
      <c r="O46" s="487"/>
      <c r="P46" s="114"/>
      <c r="Q46" s="114"/>
      <c r="R46" s="114"/>
      <c r="S46" s="114"/>
      <c r="T46" s="114"/>
      <c r="U46" s="236"/>
      <c r="V46" s="236"/>
      <c r="W46" s="236"/>
      <c r="X46" s="236"/>
      <c r="Y46" s="236"/>
      <c r="Z46" s="236"/>
      <c r="AA46" s="236"/>
    </row>
    <row r="47" spans="1:27" ht="18.5" customHeight="1">
      <c r="A47" s="236"/>
      <c r="B47" s="469"/>
      <c r="C47" s="236"/>
      <c r="E47" s="293"/>
      <c r="F47" s="538" t="s">
        <v>416</v>
      </c>
      <c r="G47" s="538"/>
      <c r="H47" s="538"/>
      <c r="I47" s="538"/>
      <c r="J47" s="538"/>
      <c r="K47" s="490" t="s">
        <v>443</v>
      </c>
      <c r="L47" s="490"/>
      <c r="M47" s="490"/>
      <c r="N47" s="114"/>
      <c r="O47" s="511"/>
      <c r="P47" s="512"/>
      <c r="Q47" s="512"/>
      <c r="R47" s="512"/>
      <c r="S47" s="512"/>
      <c r="T47" s="512"/>
      <c r="U47" s="508"/>
      <c r="V47" s="508"/>
      <c r="W47" s="508"/>
      <c r="X47" s="508"/>
      <c r="Y47" s="508"/>
      <c r="Z47" s="236"/>
      <c r="AA47" s="236"/>
    </row>
    <row r="48" spans="1:27" ht="18.5" customHeight="1">
      <c r="A48" s="236"/>
      <c r="B48" s="469"/>
      <c r="C48" s="236"/>
      <c r="E48" s="293"/>
      <c r="F48" s="538" t="s">
        <v>417</v>
      </c>
      <c r="G48" s="538"/>
      <c r="H48" s="538"/>
      <c r="I48" s="538"/>
      <c r="J48" s="538"/>
      <c r="K48" s="490" t="s">
        <v>442</v>
      </c>
      <c r="L48" s="490"/>
      <c r="M48" s="490"/>
      <c r="N48" s="114"/>
      <c r="O48" s="511"/>
      <c r="P48" s="512"/>
      <c r="Q48" s="512"/>
      <c r="R48" s="512"/>
      <c r="S48" s="512"/>
      <c r="T48" s="512"/>
      <c r="U48" s="508"/>
      <c r="V48" s="508"/>
      <c r="W48" s="508"/>
      <c r="X48" s="508"/>
      <c r="Y48" s="508"/>
      <c r="Z48" s="236"/>
      <c r="AA48" s="236"/>
    </row>
    <row r="49" spans="1:27" ht="18.5" customHeight="1">
      <c r="A49" s="236"/>
      <c r="B49" s="236"/>
      <c r="C49" s="236"/>
      <c r="E49" s="295"/>
      <c r="F49" s="553" t="s">
        <v>418</v>
      </c>
      <c r="G49" s="553"/>
      <c r="H49" s="553"/>
      <c r="I49" s="553"/>
      <c r="J49" s="553"/>
      <c r="K49" s="114" t="s">
        <v>1032</v>
      </c>
      <c r="L49" s="490"/>
      <c r="M49" s="490"/>
      <c r="N49" s="114"/>
      <c r="O49" s="512"/>
      <c r="P49" s="512"/>
      <c r="Q49" s="512"/>
      <c r="R49" s="512"/>
      <c r="S49" s="512"/>
      <c r="T49" s="512"/>
      <c r="U49" s="508"/>
      <c r="V49" s="508"/>
      <c r="W49" s="508"/>
      <c r="X49" s="508"/>
      <c r="Y49" s="508"/>
      <c r="Z49" s="244"/>
      <c r="AA49" s="236"/>
    </row>
    <row r="50" spans="1:27" s="202" customFormat="1" ht="18.5" customHeight="1">
      <c r="A50" s="520"/>
      <c r="B50" s="521"/>
      <c r="C50" s="520"/>
      <c r="D50" s="520"/>
      <c r="E50" s="520"/>
      <c r="F50" s="522"/>
      <c r="G50" s="522"/>
      <c r="H50" s="522"/>
      <c r="I50" s="522"/>
      <c r="J50" s="522"/>
      <c r="K50" s="522"/>
      <c r="L50" s="522"/>
      <c r="O50" s="523"/>
      <c r="P50" s="523"/>
      <c r="Q50" s="523"/>
      <c r="R50" s="523"/>
      <c r="S50" s="523"/>
      <c r="T50" s="523"/>
      <c r="U50" s="524"/>
      <c r="V50" s="524"/>
      <c r="W50" s="524"/>
      <c r="X50" s="524"/>
      <c r="Y50" s="524"/>
      <c r="Z50" s="520"/>
      <c r="AA50" s="520"/>
    </row>
    <row r="51" spans="1:27" s="236" customFormat="1" ht="21" customHeight="1">
      <c r="B51" s="469"/>
      <c r="E51" s="293"/>
      <c r="F51" s="243"/>
      <c r="K51" s="480"/>
    </row>
    <row r="52" spans="1:27" ht="3.5" customHeight="1">
      <c r="E52" s="293"/>
      <c r="F52" s="391"/>
      <c r="G52" s="503"/>
      <c r="H52" s="516"/>
      <c r="I52" s="517"/>
      <c r="J52" s="503"/>
      <c r="K52" s="504"/>
      <c r="L52" s="503"/>
      <c r="M52" s="253"/>
      <c r="N52" s="114"/>
      <c r="O52" s="409"/>
      <c r="P52" s="513"/>
      <c r="Q52" s="513"/>
      <c r="R52" s="474"/>
      <c r="S52" s="474"/>
      <c r="T52" s="409"/>
      <c r="U52" s="497"/>
      <c r="V52" s="473"/>
      <c r="W52" s="473"/>
      <c r="X52" s="473"/>
      <c r="Y52" s="473"/>
      <c r="Z52" s="236"/>
      <c r="AA52" s="236"/>
    </row>
    <row r="53" spans="1:27" ht="24.5" customHeight="1">
      <c r="B53" s="240"/>
      <c r="E53" s="293"/>
      <c r="F53" s="335" t="s">
        <v>419</v>
      </c>
      <c r="G53" s="391"/>
      <c r="H53" s="114"/>
      <c r="I53" s="391"/>
      <c r="J53" s="504"/>
      <c r="K53" s="391" t="s">
        <v>289</v>
      </c>
      <c r="L53" s="504"/>
      <c r="M53" s="503"/>
      <c r="N53" s="114"/>
      <c r="O53" s="409"/>
      <c r="P53" s="510"/>
      <c r="Q53" s="510"/>
      <c r="R53" s="474"/>
      <c r="S53" s="474"/>
      <c r="T53" s="409"/>
      <c r="U53" s="497"/>
      <c r="V53" s="473"/>
      <c r="W53" s="473"/>
      <c r="X53" s="473"/>
      <c r="Y53" s="473"/>
      <c r="Z53" s="236"/>
      <c r="AA53" s="236"/>
    </row>
    <row r="54" spans="1:27" ht="18.5" customHeight="1">
      <c r="B54" s="240"/>
      <c r="E54" s="293"/>
      <c r="F54" s="538" t="s">
        <v>420</v>
      </c>
      <c r="G54" s="538"/>
      <c r="H54" s="538"/>
      <c r="I54" s="538"/>
      <c r="J54" s="538"/>
      <c r="K54" s="114" t="s">
        <v>442</v>
      </c>
      <c r="L54" s="509"/>
      <c r="M54" s="114"/>
      <c r="N54" s="114"/>
      <c r="O54" s="529"/>
      <c r="P54" s="530"/>
      <c r="Q54" s="114"/>
      <c r="R54" s="474"/>
      <c r="S54" s="474"/>
      <c r="T54" s="114"/>
      <c r="U54" s="236"/>
      <c r="V54" s="473"/>
      <c r="W54" s="473"/>
      <c r="X54" s="473"/>
      <c r="Y54" s="473"/>
      <c r="Z54" s="236"/>
      <c r="AA54" s="236"/>
    </row>
    <row r="55" spans="1:27" ht="18.5" customHeight="1">
      <c r="E55" s="293"/>
      <c r="F55" s="538" t="s">
        <v>421</v>
      </c>
      <c r="G55" s="538"/>
      <c r="H55" s="538"/>
      <c r="I55" s="538"/>
      <c r="J55" s="538"/>
      <c r="K55" s="234" t="s">
        <v>444</v>
      </c>
      <c r="L55" s="479"/>
      <c r="M55" s="114"/>
      <c r="N55" s="114"/>
      <c r="O55" s="114"/>
      <c r="P55" s="114"/>
      <c r="Q55" s="114"/>
      <c r="R55" s="114"/>
      <c r="S55" s="114"/>
      <c r="T55" s="114"/>
      <c r="U55" s="236"/>
      <c r="V55" s="236"/>
      <c r="W55" s="236"/>
      <c r="X55" s="236"/>
      <c r="Y55" s="236"/>
      <c r="Z55" s="236"/>
      <c r="AA55" s="236"/>
    </row>
    <row r="56" spans="1:27" ht="18.5" customHeight="1">
      <c r="B56" s="240"/>
      <c r="F56" s="538" t="s">
        <v>422</v>
      </c>
      <c r="G56" s="538"/>
      <c r="H56" s="538"/>
      <c r="I56" s="538"/>
      <c r="J56" s="538"/>
      <c r="K56" s="114" t="s">
        <v>1032</v>
      </c>
      <c r="L56" s="264"/>
      <c r="M56" s="114"/>
      <c r="N56" s="114"/>
      <c r="O56" s="487"/>
      <c r="P56" s="114"/>
      <c r="Q56" s="114"/>
      <c r="R56" s="114"/>
      <c r="S56" s="114"/>
      <c r="T56" s="114"/>
      <c r="U56" s="236"/>
      <c r="V56" s="236"/>
      <c r="W56" s="236"/>
      <c r="X56" s="236"/>
      <c r="Y56" s="236"/>
      <c r="Z56" s="236"/>
      <c r="AA56" s="236"/>
    </row>
    <row r="57" spans="1:27" ht="18.5" customHeight="1">
      <c r="A57" s="236"/>
      <c r="B57" s="469"/>
      <c r="C57" s="236"/>
      <c r="E57" s="293"/>
      <c r="F57" s="538" t="s">
        <v>423</v>
      </c>
      <c r="G57" s="538"/>
      <c r="H57" s="538"/>
      <c r="I57" s="538"/>
      <c r="J57" s="538"/>
      <c r="K57" s="490" t="s">
        <v>1032</v>
      </c>
      <c r="L57" s="490"/>
      <c r="M57" s="490"/>
      <c r="N57" s="114"/>
      <c r="O57" s="511"/>
      <c r="P57" s="512"/>
      <c r="Q57" s="512"/>
      <c r="R57" s="512"/>
      <c r="S57" s="512"/>
      <c r="T57" s="512"/>
      <c r="U57" s="508"/>
      <c r="V57" s="508"/>
      <c r="W57" s="508"/>
      <c r="X57" s="508"/>
      <c r="Y57" s="508"/>
      <c r="Z57" s="236"/>
      <c r="AA57" s="236"/>
    </row>
    <row r="58" spans="1:27" s="202" customFormat="1" ht="18.5" customHeight="1">
      <c r="A58" s="520"/>
      <c r="B58" s="521"/>
      <c r="C58" s="520"/>
      <c r="D58" s="520"/>
      <c r="E58" s="520"/>
      <c r="F58" s="522"/>
      <c r="G58" s="522"/>
      <c r="H58" s="522"/>
      <c r="I58" s="522"/>
      <c r="J58" s="522"/>
      <c r="K58" s="522"/>
      <c r="L58" s="522"/>
      <c r="O58" s="523"/>
      <c r="P58" s="523"/>
      <c r="Q58" s="523"/>
      <c r="R58" s="523"/>
      <c r="S58" s="523"/>
      <c r="T58" s="523"/>
      <c r="U58" s="524"/>
      <c r="V58" s="524"/>
      <c r="W58" s="524"/>
      <c r="X58" s="524"/>
      <c r="Y58" s="524"/>
      <c r="Z58" s="520"/>
      <c r="AA58" s="520"/>
    </row>
    <row r="59" spans="1:27" s="236" customFormat="1" ht="19">
      <c r="B59" s="469"/>
      <c r="E59" s="293"/>
      <c r="F59" s="561"/>
      <c r="G59" s="561"/>
      <c r="H59" s="561"/>
      <c r="I59" s="561"/>
      <c r="L59" s="535"/>
      <c r="N59" s="249"/>
      <c r="O59" s="558"/>
      <c r="P59" s="558"/>
      <c r="R59" s="473"/>
      <c r="S59" s="473"/>
      <c r="T59" s="473"/>
      <c r="U59" s="473"/>
      <c r="V59" s="473"/>
      <c r="W59" s="473"/>
      <c r="X59" s="473"/>
      <c r="Y59" s="473"/>
    </row>
    <row r="60" spans="1:27" ht="3.5" customHeight="1">
      <c r="E60" s="293"/>
      <c r="F60" s="505"/>
      <c r="G60" s="505"/>
      <c r="H60" s="505"/>
      <c r="I60" s="505"/>
      <c r="J60" s="503"/>
      <c r="K60" s="504"/>
      <c r="L60" s="503"/>
      <c r="M60" s="253"/>
      <c r="N60" s="114"/>
      <c r="O60" s="409"/>
      <c r="P60" s="513"/>
      <c r="Q60" s="513"/>
      <c r="R60" s="474"/>
      <c r="S60" s="474"/>
      <c r="T60" s="409"/>
      <c r="U60" s="497"/>
      <c r="V60" s="473"/>
      <c r="W60" s="473"/>
      <c r="X60" s="473"/>
      <c r="Y60" s="473"/>
      <c r="Z60" s="236"/>
      <c r="AA60" s="236"/>
    </row>
    <row r="61" spans="1:27" ht="24.5" customHeight="1">
      <c r="B61" s="240"/>
      <c r="E61" s="293"/>
      <c r="F61" s="335" t="s">
        <v>424</v>
      </c>
      <c r="G61" s="391"/>
      <c r="H61" s="114"/>
      <c r="I61" s="391"/>
      <c r="J61" s="504"/>
      <c r="K61" s="391" t="s">
        <v>289</v>
      </c>
      <c r="L61" s="504"/>
      <c r="M61" s="503"/>
      <c r="N61" s="114"/>
      <c r="O61" s="409"/>
      <c r="P61" s="510"/>
      <c r="Q61" s="510"/>
      <c r="R61" s="474"/>
      <c r="S61" s="474"/>
      <c r="T61" s="409"/>
      <c r="U61" s="497"/>
      <c r="V61" s="473"/>
      <c r="W61" s="473"/>
      <c r="X61" s="473"/>
      <c r="Y61" s="473"/>
      <c r="Z61" s="236"/>
      <c r="AA61" s="236"/>
    </row>
    <row r="62" spans="1:27" ht="18.5" customHeight="1">
      <c r="B62" s="240"/>
      <c r="E62" s="293"/>
      <c r="F62" s="538" t="s">
        <v>425</v>
      </c>
      <c r="G62" s="538"/>
      <c r="H62" s="538"/>
      <c r="I62" s="538"/>
      <c r="J62" s="538"/>
      <c r="K62" s="114" t="s">
        <v>444</v>
      </c>
      <c r="L62" s="509"/>
      <c r="M62" s="114"/>
      <c r="N62" s="114"/>
      <c r="O62" s="529"/>
      <c r="P62" s="530"/>
      <c r="Q62" s="114"/>
      <c r="R62" s="474"/>
      <c r="S62" s="474"/>
      <c r="T62" s="114"/>
      <c r="U62" s="236"/>
      <c r="V62" s="473"/>
      <c r="W62" s="473"/>
      <c r="X62" s="473"/>
      <c r="Y62" s="473"/>
      <c r="Z62" s="236"/>
      <c r="AA62" s="236"/>
    </row>
    <row r="63" spans="1:27" ht="18.5" customHeight="1">
      <c r="E63" s="293"/>
      <c r="F63" s="538" t="s">
        <v>426</v>
      </c>
      <c r="G63" s="538"/>
      <c r="H63" s="538"/>
      <c r="I63" s="538"/>
      <c r="J63" s="538"/>
      <c r="K63" s="234" t="s">
        <v>442</v>
      </c>
      <c r="L63" s="479"/>
      <c r="M63" s="114"/>
      <c r="N63" s="114"/>
      <c r="O63" s="114"/>
      <c r="P63" s="114"/>
      <c r="Q63" s="114"/>
      <c r="R63" s="114"/>
      <c r="S63" s="114"/>
      <c r="T63" s="114"/>
      <c r="U63" s="236"/>
      <c r="V63" s="236"/>
      <c r="W63" s="236"/>
      <c r="X63" s="236"/>
      <c r="Y63" s="236"/>
      <c r="Z63" s="236"/>
      <c r="AA63" s="236"/>
    </row>
    <row r="64" spans="1:27" ht="18.5" customHeight="1">
      <c r="B64" s="240"/>
      <c r="F64" s="538" t="s">
        <v>427</v>
      </c>
      <c r="G64" s="538"/>
      <c r="H64" s="538"/>
      <c r="I64" s="538"/>
      <c r="J64" s="538"/>
      <c r="K64" s="114" t="s">
        <v>1032</v>
      </c>
      <c r="L64" s="264"/>
      <c r="M64" s="114"/>
      <c r="N64" s="114"/>
      <c r="O64" s="487"/>
      <c r="P64" s="114"/>
      <c r="Q64" s="114"/>
      <c r="R64" s="114"/>
      <c r="S64" s="114"/>
      <c r="T64" s="114"/>
      <c r="U64" s="236"/>
      <c r="V64" s="236"/>
      <c r="W64" s="236"/>
      <c r="X64" s="236"/>
      <c r="Y64" s="236"/>
      <c r="Z64" s="236"/>
      <c r="AA64" s="236"/>
    </row>
    <row r="65" spans="1:33" ht="18.5" customHeight="1">
      <c r="A65" s="236"/>
      <c r="B65" s="469"/>
      <c r="C65" s="236"/>
      <c r="E65" s="293"/>
      <c r="F65" s="538" t="s">
        <v>381</v>
      </c>
      <c r="G65" s="538"/>
      <c r="H65" s="538"/>
      <c r="I65" s="538"/>
      <c r="J65" s="538"/>
      <c r="K65" s="490" t="s">
        <v>1032</v>
      </c>
      <c r="L65" s="490"/>
      <c r="M65" s="490"/>
      <c r="N65" s="114"/>
      <c r="O65" s="511"/>
      <c r="P65" s="512"/>
      <c r="Q65" s="512"/>
      <c r="R65" s="512"/>
      <c r="S65" s="512"/>
      <c r="T65" s="512"/>
      <c r="U65" s="508"/>
      <c r="V65" s="508"/>
      <c r="W65" s="508"/>
      <c r="X65" s="508"/>
      <c r="Y65" s="508"/>
      <c r="Z65" s="236"/>
      <c r="AA65" s="236"/>
      <c r="AC65" s="738"/>
      <c r="AD65" s="739"/>
      <c r="AE65" s="739"/>
      <c r="AF65" s="739"/>
      <c r="AG65" s="739"/>
    </row>
    <row r="66" spans="1:33" s="202" customFormat="1" ht="18.5" customHeight="1">
      <c r="A66" s="520"/>
      <c r="B66" s="521"/>
      <c r="C66" s="520"/>
      <c r="D66" s="520"/>
      <c r="E66" s="520"/>
      <c r="F66" s="505"/>
      <c r="G66" s="505"/>
      <c r="H66" s="505"/>
      <c r="I66" s="505"/>
      <c r="J66" s="522"/>
      <c r="K66" s="522"/>
      <c r="L66" s="522"/>
      <c r="O66" s="523"/>
      <c r="P66" s="523"/>
      <c r="Q66" s="523"/>
      <c r="R66" s="523"/>
      <c r="S66" s="523"/>
      <c r="T66" s="523"/>
      <c r="U66" s="524"/>
      <c r="V66" s="524"/>
      <c r="W66" s="524"/>
      <c r="X66" s="524"/>
      <c r="Y66" s="524"/>
      <c r="Z66" s="520"/>
      <c r="AA66" s="520"/>
      <c r="AC66" s="739"/>
      <c r="AD66" s="739"/>
      <c r="AE66" s="739"/>
      <c r="AF66" s="739"/>
      <c r="AG66" s="739"/>
    </row>
    <row r="67" spans="1:33" s="236" customFormat="1">
      <c r="E67" s="293"/>
      <c r="F67" s="561"/>
      <c r="G67" s="561"/>
      <c r="H67" s="561"/>
      <c r="I67" s="561"/>
      <c r="K67" s="293"/>
      <c r="L67" s="480"/>
      <c r="R67" s="473"/>
      <c r="S67" s="473"/>
      <c r="T67" s="473"/>
      <c r="U67" s="473"/>
      <c r="V67" s="473"/>
      <c r="W67" s="473"/>
      <c r="X67" s="473"/>
      <c r="Y67" s="473"/>
      <c r="AC67" s="739"/>
      <c r="AD67" s="739"/>
      <c r="AE67" s="739"/>
      <c r="AF67" s="739"/>
      <c r="AG67" s="739"/>
    </row>
    <row r="68" spans="1:33" ht="3.5" customHeight="1">
      <c r="E68" s="293"/>
      <c r="F68" s="505"/>
      <c r="G68" s="505"/>
      <c r="H68" s="505"/>
      <c r="I68" s="505"/>
      <c r="J68" s="503"/>
      <c r="K68" s="504"/>
      <c r="L68" s="503"/>
      <c r="M68" s="253"/>
      <c r="N68" s="114"/>
      <c r="O68" s="409"/>
      <c r="P68" s="513"/>
      <c r="Q68" s="513"/>
      <c r="R68" s="474"/>
      <c r="S68" s="474"/>
      <c r="T68" s="409"/>
      <c r="U68" s="497"/>
      <c r="V68" s="473"/>
      <c r="W68" s="473"/>
      <c r="X68" s="473"/>
      <c r="Y68" s="473"/>
      <c r="Z68" s="236"/>
      <c r="AA68" s="236"/>
    </row>
    <row r="69" spans="1:33" ht="24.5" customHeight="1">
      <c r="B69" s="240"/>
      <c r="E69" s="293"/>
      <c r="F69" s="335" t="s">
        <v>428</v>
      </c>
      <c r="G69" s="391"/>
      <c r="H69" s="114"/>
      <c r="I69" s="391"/>
      <c r="J69" s="504"/>
      <c r="K69" s="391" t="s">
        <v>289</v>
      </c>
      <c r="L69" s="504"/>
      <c r="M69" s="503"/>
      <c r="N69" s="114"/>
      <c r="O69" s="409"/>
      <c r="P69" s="510"/>
      <c r="Q69" s="510"/>
      <c r="R69" s="474"/>
      <c r="S69" s="474"/>
      <c r="T69" s="409"/>
      <c r="U69" s="497"/>
      <c r="V69" s="473"/>
      <c r="W69" s="473"/>
      <c r="X69" s="473"/>
      <c r="Y69" s="473"/>
      <c r="Z69" s="236"/>
      <c r="AA69" s="236"/>
    </row>
    <row r="70" spans="1:33" ht="18.5" customHeight="1">
      <c r="B70" s="240"/>
      <c r="E70" s="293"/>
      <c r="F70" s="538" t="s">
        <v>429</v>
      </c>
      <c r="G70" s="538"/>
      <c r="H70" s="538"/>
      <c r="I70" s="538"/>
      <c r="J70" s="538"/>
      <c r="K70" s="114" t="s">
        <v>443</v>
      </c>
      <c r="L70" s="509"/>
      <c r="M70" s="114"/>
      <c r="N70" s="114"/>
      <c r="O70" s="529"/>
      <c r="P70" s="530"/>
      <c r="Q70" s="114"/>
      <c r="R70" s="474"/>
      <c r="S70" s="474"/>
      <c r="T70" s="114"/>
      <c r="U70" s="236"/>
      <c r="V70" s="473"/>
      <c r="W70" s="473"/>
      <c r="X70" s="473"/>
      <c r="Y70" s="473"/>
      <c r="Z70" s="236"/>
      <c r="AA70" s="236"/>
    </row>
    <row r="71" spans="1:33" ht="18.5" customHeight="1">
      <c r="E71" s="293"/>
      <c r="F71" s="538" t="s">
        <v>430</v>
      </c>
      <c r="G71" s="538"/>
      <c r="H71" s="538"/>
      <c r="I71" s="538"/>
      <c r="J71" s="538"/>
      <c r="K71" s="234" t="s">
        <v>442</v>
      </c>
      <c r="L71" s="479"/>
      <c r="M71" s="114"/>
      <c r="N71" s="114"/>
      <c r="O71" s="114"/>
      <c r="P71" s="114"/>
      <c r="Q71" s="114"/>
      <c r="R71" s="114"/>
      <c r="S71" s="114"/>
      <c r="T71" s="114"/>
      <c r="U71" s="236"/>
      <c r="V71" s="236"/>
      <c r="W71" s="236"/>
      <c r="X71" s="236"/>
      <c r="Y71" s="236"/>
      <c r="Z71" s="236"/>
      <c r="AA71" s="236"/>
    </row>
    <row r="72" spans="1:33" ht="18.5" customHeight="1">
      <c r="B72" s="240"/>
      <c r="F72" s="538" t="s">
        <v>431</v>
      </c>
      <c r="G72" s="538"/>
      <c r="H72" s="538"/>
      <c r="I72" s="538"/>
      <c r="J72" s="538"/>
      <c r="K72" s="114" t="s">
        <v>444</v>
      </c>
      <c r="L72" s="264"/>
      <c r="M72" s="114"/>
      <c r="N72" s="114"/>
      <c r="O72" s="487"/>
      <c r="P72" s="114"/>
      <c r="Q72" s="114"/>
      <c r="R72" s="114"/>
      <c r="S72" s="114"/>
      <c r="T72" s="114"/>
      <c r="U72" s="236"/>
      <c r="V72" s="236"/>
      <c r="W72" s="236"/>
      <c r="X72" s="236"/>
      <c r="Y72" s="236"/>
      <c r="Z72" s="236"/>
      <c r="AA72" s="236"/>
    </row>
    <row r="73" spans="1:33" ht="18.5" customHeight="1">
      <c r="A73" s="236"/>
      <c r="B73" s="469"/>
      <c r="C73" s="236"/>
      <c r="E73" s="293"/>
      <c r="F73" s="538" t="s">
        <v>381</v>
      </c>
      <c r="G73" s="538"/>
      <c r="H73" s="538"/>
      <c r="I73" s="538"/>
      <c r="J73" s="538"/>
      <c r="K73" s="490" t="s">
        <v>1032</v>
      </c>
      <c r="L73" s="490"/>
      <c r="M73" s="490"/>
      <c r="N73" s="114"/>
      <c r="O73" s="511"/>
      <c r="P73" s="512"/>
      <c r="Q73" s="512"/>
      <c r="R73" s="512"/>
      <c r="S73" s="512"/>
      <c r="T73" s="512"/>
      <c r="U73" s="508"/>
      <c r="V73" s="508"/>
      <c r="W73" s="508"/>
      <c r="X73" s="508"/>
      <c r="Y73" s="508"/>
      <c r="Z73" s="236"/>
      <c r="AA73" s="236"/>
      <c r="AC73" s="236"/>
      <c r="AD73" s="236"/>
      <c r="AE73" s="236"/>
      <c r="AF73" s="236"/>
      <c r="AG73" s="236"/>
    </row>
    <row r="74" spans="1:33" s="202" customFormat="1" ht="18.5" customHeight="1">
      <c r="A74" s="520"/>
      <c r="B74" s="521"/>
      <c r="C74" s="520"/>
      <c r="D74" s="520"/>
      <c r="E74" s="520"/>
      <c r="F74" s="505"/>
      <c r="G74" s="505"/>
      <c r="H74" s="505"/>
      <c r="I74" s="505"/>
      <c r="J74" s="522"/>
      <c r="K74" s="522"/>
      <c r="L74" s="522"/>
      <c r="O74" s="523"/>
      <c r="P74" s="523"/>
      <c r="Q74" s="523"/>
      <c r="R74" s="523"/>
      <c r="S74" s="523"/>
      <c r="T74" s="523"/>
      <c r="U74" s="524"/>
      <c r="V74" s="524"/>
      <c r="W74" s="524"/>
      <c r="X74" s="524"/>
      <c r="Y74" s="524"/>
      <c r="Z74" s="520"/>
      <c r="AA74" s="520"/>
      <c r="AC74" s="236"/>
      <c r="AD74" s="236"/>
      <c r="AE74" s="236"/>
      <c r="AF74" s="236"/>
      <c r="AG74" s="236"/>
    </row>
    <row r="75" spans="1:33" s="236" customFormat="1" ht="19">
      <c r="B75" s="469"/>
      <c r="F75" s="557"/>
      <c r="G75" s="536"/>
      <c r="H75" s="557"/>
      <c r="K75" s="265"/>
      <c r="O75" s="496"/>
      <c r="R75" s="473"/>
      <c r="S75" s="473"/>
      <c r="T75" s="473"/>
    </row>
    <row r="76" spans="1:33" ht="3.5" customHeight="1">
      <c r="E76" s="293"/>
      <c r="F76" s="505"/>
      <c r="G76" s="505"/>
      <c r="H76" s="505"/>
      <c r="I76" s="505"/>
      <c r="J76" s="503"/>
      <c r="K76" s="504"/>
      <c r="L76" s="503"/>
      <c r="M76" s="253"/>
      <c r="N76" s="114"/>
      <c r="O76" s="409"/>
      <c r="P76" s="513"/>
      <c r="Q76" s="513"/>
      <c r="R76" s="474"/>
      <c r="S76" s="474"/>
      <c r="T76" s="409"/>
      <c r="U76" s="497"/>
      <c r="V76" s="473"/>
      <c r="W76" s="473"/>
      <c r="X76" s="473"/>
      <c r="Y76" s="473"/>
      <c r="Z76" s="236"/>
      <c r="AA76" s="236"/>
    </row>
    <row r="77" spans="1:33" ht="24.5" customHeight="1">
      <c r="B77" s="240"/>
      <c r="E77" s="293"/>
      <c r="F77" s="335" t="s">
        <v>432</v>
      </c>
      <c r="G77" s="391"/>
      <c r="H77" s="114"/>
      <c r="I77" s="391"/>
      <c r="J77" s="504"/>
      <c r="K77" s="391" t="s">
        <v>289</v>
      </c>
      <c r="L77" s="504"/>
      <c r="M77" s="503"/>
      <c r="N77" s="114"/>
      <c r="O77" s="409"/>
      <c r="P77" s="510"/>
      <c r="Q77" s="510"/>
      <c r="R77" s="474"/>
      <c r="S77" s="474"/>
      <c r="T77" s="409"/>
      <c r="U77" s="497"/>
      <c r="V77" s="473"/>
      <c r="W77" s="473"/>
      <c r="X77" s="473"/>
      <c r="Y77" s="473"/>
      <c r="Z77" s="236"/>
      <c r="AA77" s="236"/>
    </row>
    <row r="78" spans="1:33" ht="18.5" customHeight="1">
      <c r="B78" s="240"/>
      <c r="E78" s="293"/>
      <c r="F78" s="538" t="s">
        <v>433</v>
      </c>
      <c r="G78" s="538"/>
      <c r="H78" s="538"/>
      <c r="I78" s="538"/>
      <c r="J78" s="538"/>
      <c r="K78" s="114" t="s">
        <v>1032</v>
      </c>
      <c r="L78" s="509"/>
      <c r="M78" s="114"/>
      <c r="N78" s="114"/>
      <c r="O78" s="529"/>
      <c r="P78" s="530"/>
      <c r="Q78" s="114"/>
      <c r="R78" s="474"/>
      <c r="S78" s="474"/>
      <c r="T78" s="114"/>
      <c r="U78" s="236"/>
      <c r="V78" s="473"/>
      <c r="W78" s="473"/>
      <c r="X78" s="473"/>
      <c r="Y78" s="473"/>
      <c r="Z78" s="236"/>
      <c r="AA78" s="236"/>
    </row>
    <row r="79" spans="1:33" ht="18.5" customHeight="1">
      <c r="E79" s="293"/>
      <c r="F79" s="538" t="s">
        <v>434</v>
      </c>
      <c r="G79" s="538"/>
      <c r="H79" s="538"/>
      <c r="I79" s="538"/>
      <c r="J79" s="538"/>
      <c r="K79" s="234" t="s">
        <v>442</v>
      </c>
      <c r="L79" s="479"/>
      <c r="M79" s="114"/>
      <c r="N79" s="114"/>
      <c r="O79" s="114"/>
      <c r="P79" s="114"/>
      <c r="Q79" s="114"/>
      <c r="R79" s="114"/>
      <c r="S79" s="114"/>
      <c r="T79" s="114"/>
      <c r="U79" s="236"/>
      <c r="V79" s="236"/>
      <c r="W79" s="236"/>
      <c r="X79" s="236"/>
      <c r="Y79" s="236"/>
      <c r="Z79" s="236"/>
      <c r="AA79" s="236"/>
    </row>
    <row r="80" spans="1:33" ht="18.5" customHeight="1">
      <c r="B80" s="240"/>
      <c r="F80" s="538" t="s">
        <v>435</v>
      </c>
      <c r="G80" s="538"/>
      <c r="H80" s="538"/>
      <c r="I80" s="538"/>
      <c r="J80" s="538"/>
      <c r="K80" s="114" t="s">
        <v>1032</v>
      </c>
      <c r="L80" s="264"/>
      <c r="M80" s="114"/>
      <c r="N80" s="114"/>
      <c r="O80" s="487"/>
      <c r="P80" s="114"/>
      <c r="Q80" s="114"/>
      <c r="R80" s="114"/>
      <c r="S80" s="114"/>
      <c r="T80" s="114"/>
      <c r="U80" s="236"/>
      <c r="V80" s="236"/>
      <c r="W80" s="236"/>
      <c r="X80" s="236"/>
      <c r="Y80" s="236"/>
      <c r="Z80" s="236"/>
      <c r="AA80" s="236"/>
    </row>
    <row r="81" spans="1:33" s="202" customFormat="1" ht="18.5" customHeight="1">
      <c r="A81" s="520"/>
      <c r="B81" s="521"/>
      <c r="C81" s="520"/>
      <c r="D81" s="520"/>
      <c r="E81" s="520"/>
      <c r="F81" s="505"/>
      <c r="G81" s="505"/>
      <c r="H81" s="505"/>
      <c r="I81" s="505"/>
      <c r="J81" s="522"/>
      <c r="K81" s="522"/>
      <c r="L81" s="522"/>
      <c r="O81" s="523"/>
      <c r="P81" s="523"/>
      <c r="Q81" s="523"/>
      <c r="R81" s="523"/>
      <c r="S81" s="523"/>
      <c r="T81" s="523"/>
      <c r="U81" s="524"/>
      <c r="V81" s="524"/>
      <c r="W81" s="524"/>
      <c r="X81" s="524"/>
      <c r="Y81" s="524"/>
      <c r="Z81" s="520"/>
      <c r="AA81" s="520"/>
      <c r="AC81" s="236"/>
      <c r="AD81" s="236"/>
      <c r="AE81" s="236"/>
      <c r="AF81" s="236"/>
      <c r="AG81" s="236"/>
    </row>
    <row r="82" spans="1:33" s="236" customFormat="1" ht="19">
      <c r="B82" s="469"/>
      <c r="E82" s="293"/>
      <c r="F82" s="502"/>
      <c r="G82" s="502"/>
      <c r="H82" s="502"/>
      <c r="I82" s="502"/>
      <c r="J82" s="502"/>
      <c r="K82" s="502"/>
      <c r="L82" s="502"/>
      <c r="O82" s="507"/>
      <c r="P82" s="508"/>
      <c r="Q82" s="508"/>
      <c r="R82" s="473"/>
      <c r="S82" s="473"/>
      <c r="T82" s="473"/>
      <c r="U82" s="508"/>
      <c r="V82" s="508"/>
      <c r="W82" s="508"/>
      <c r="X82" s="508"/>
      <c r="Y82" s="508"/>
    </row>
    <row r="83" spans="1:33" ht="3.5" customHeight="1">
      <c r="E83" s="293"/>
      <c r="F83" s="505"/>
      <c r="G83" s="505"/>
      <c r="H83" s="505"/>
      <c r="I83" s="505"/>
      <c r="J83" s="503"/>
      <c r="K83" s="504"/>
      <c r="L83" s="503"/>
      <c r="M83" s="253"/>
      <c r="N83" s="114"/>
      <c r="O83" s="409"/>
      <c r="P83" s="513"/>
      <c r="Q83" s="513"/>
      <c r="R83" s="474"/>
      <c r="S83" s="474"/>
      <c r="T83" s="409"/>
      <c r="U83" s="497"/>
      <c r="V83" s="473"/>
      <c r="W83" s="473"/>
      <c r="X83" s="473"/>
      <c r="Y83" s="473"/>
      <c r="Z83" s="236"/>
      <c r="AA83" s="236"/>
    </row>
    <row r="84" spans="1:33" ht="24.5" customHeight="1">
      <c r="B84" s="240"/>
      <c r="E84" s="293"/>
      <c r="F84" s="335" t="s">
        <v>436</v>
      </c>
      <c r="G84" s="391"/>
      <c r="H84" s="114"/>
      <c r="I84" s="391"/>
      <c r="J84" s="504"/>
      <c r="K84" s="391" t="s">
        <v>289</v>
      </c>
      <c r="L84" s="504"/>
      <c r="M84" s="503"/>
      <c r="N84" s="114"/>
      <c r="O84" s="409"/>
      <c r="P84" s="510"/>
      <c r="Q84" s="510"/>
      <c r="R84" s="474"/>
      <c r="S84" s="474"/>
      <c r="T84" s="409"/>
      <c r="U84" s="497"/>
      <c r="V84" s="473"/>
      <c r="W84" s="473"/>
      <c r="X84" s="473"/>
      <c r="Y84" s="473"/>
      <c r="Z84" s="236"/>
      <c r="AA84" s="236"/>
    </row>
    <row r="85" spans="1:33" ht="18.5" customHeight="1">
      <c r="B85" s="240"/>
      <c r="E85" s="293"/>
      <c r="F85" s="538" t="s">
        <v>437</v>
      </c>
      <c r="G85" s="538"/>
      <c r="H85" s="538"/>
      <c r="I85" s="538"/>
      <c r="J85" s="538"/>
      <c r="K85" s="114"/>
      <c r="L85" s="509"/>
      <c r="M85" s="114"/>
      <c r="N85" s="114"/>
      <c r="O85" s="529"/>
      <c r="P85" s="530"/>
      <c r="Q85" s="114"/>
      <c r="R85" s="474"/>
      <c r="S85" s="474"/>
      <c r="T85" s="114"/>
      <c r="U85" s="236"/>
      <c r="V85" s="473"/>
      <c r="W85" s="473"/>
      <c r="X85" s="473"/>
      <c r="Y85" s="473"/>
      <c r="Z85" s="236"/>
      <c r="AA85" s="236"/>
    </row>
    <row r="86" spans="1:33" ht="18.5" customHeight="1">
      <c r="E86" s="293"/>
      <c r="F86" s="538" t="s">
        <v>438</v>
      </c>
      <c r="G86" s="538"/>
      <c r="H86" s="538"/>
      <c r="I86" s="538"/>
      <c r="J86" s="538"/>
      <c r="K86" s="234"/>
      <c r="L86" s="479"/>
      <c r="M86" s="114"/>
      <c r="N86" s="114"/>
      <c r="O86" s="114"/>
      <c r="P86" s="114"/>
      <c r="Q86" s="114"/>
      <c r="R86" s="114"/>
      <c r="S86" s="114"/>
      <c r="T86" s="114"/>
      <c r="U86" s="236"/>
      <c r="V86" s="236"/>
      <c r="W86" s="236"/>
      <c r="X86" s="236"/>
      <c r="Y86" s="236"/>
      <c r="Z86" s="236"/>
      <c r="AA86" s="236"/>
    </row>
    <row r="87" spans="1:33" ht="18.5" customHeight="1">
      <c r="B87" s="240"/>
      <c r="F87" s="538" t="s">
        <v>439</v>
      </c>
      <c r="G87" s="538"/>
      <c r="H87" s="538"/>
      <c r="I87" s="538"/>
      <c r="J87" s="538"/>
      <c r="K87" s="114"/>
      <c r="L87" s="264"/>
      <c r="M87" s="114"/>
      <c r="N87" s="114"/>
      <c r="O87" s="487"/>
      <c r="P87" s="114"/>
      <c r="Q87" s="114"/>
      <c r="R87" s="114"/>
      <c r="S87" s="114"/>
      <c r="T87" s="114"/>
      <c r="U87" s="236"/>
      <c r="V87" s="236"/>
      <c r="W87" s="236"/>
      <c r="X87" s="236"/>
      <c r="Y87" s="236"/>
      <c r="Z87" s="236"/>
      <c r="AA87" s="236"/>
    </row>
    <row r="88" spans="1:33" s="202" customFormat="1" ht="18.5" customHeight="1">
      <c r="A88" s="520"/>
      <c r="B88" s="521"/>
      <c r="C88" s="520"/>
      <c r="D88" s="520"/>
      <c r="E88" s="520"/>
      <c r="F88" s="505"/>
      <c r="G88" s="505"/>
      <c r="H88" s="505"/>
      <c r="I88" s="505"/>
      <c r="J88" s="522"/>
      <c r="K88" s="522"/>
      <c r="L88" s="522"/>
      <c r="O88" s="523"/>
      <c r="P88" s="523"/>
      <c r="Q88" s="523"/>
      <c r="R88" s="523"/>
      <c r="S88" s="523"/>
      <c r="T88" s="523"/>
      <c r="U88" s="524"/>
      <c r="V88" s="524"/>
      <c r="W88" s="524"/>
      <c r="X88" s="524"/>
      <c r="Y88" s="524"/>
      <c r="Z88" s="520"/>
      <c r="AA88" s="520"/>
      <c r="AC88" s="236"/>
      <c r="AD88" s="236"/>
      <c r="AE88" s="236"/>
      <c r="AF88" s="236"/>
      <c r="AG88" s="236"/>
    </row>
    <row r="89" spans="1:33" s="236" customFormat="1" ht="22">
      <c r="E89" s="295"/>
      <c r="F89" s="502"/>
      <c r="G89" s="502"/>
      <c r="H89" s="502"/>
      <c r="I89" s="502"/>
      <c r="J89" s="502"/>
      <c r="K89" s="502"/>
      <c r="L89" s="502"/>
      <c r="O89" s="508"/>
      <c r="P89" s="508"/>
      <c r="Q89" s="508"/>
      <c r="R89" s="473"/>
      <c r="S89" s="473"/>
      <c r="T89" s="473"/>
      <c r="U89" s="508"/>
      <c r="V89" s="508"/>
      <c r="W89" s="508"/>
      <c r="X89" s="508"/>
      <c r="Y89" s="508"/>
      <c r="Z89" s="244"/>
    </row>
    <row r="90" spans="1:33" ht="3.5" customHeight="1">
      <c r="E90" s="293"/>
      <c r="F90" s="505"/>
      <c r="G90" s="505"/>
      <c r="H90" s="505"/>
      <c r="I90" s="505"/>
      <c r="J90" s="503"/>
      <c r="K90" s="504"/>
      <c r="L90" s="503"/>
      <c r="M90" s="253"/>
      <c r="N90" s="114"/>
      <c r="O90" s="409"/>
      <c r="P90" s="513"/>
      <c r="Q90" s="513"/>
      <c r="R90" s="474"/>
      <c r="S90" s="474"/>
      <c r="T90" s="409"/>
      <c r="U90" s="497"/>
      <c r="V90" s="473"/>
      <c r="W90" s="473"/>
      <c r="X90" s="473"/>
      <c r="Y90" s="473"/>
      <c r="Z90" s="236"/>
      <c r="AA90" s="236"/>
    </row>
    <row r="91" spans="1:33" ht="24.5" customHeight="1">
      <c r="B91" s="240"/>
      <c r="E91" s="293"/>
      <c r="F91" s="335" t="s">
        <v>445</v>
      </c>
      <c r="G91" s="391"/>
      <c r="H91" s="114"/>
      <c r="I91" s="391"/>
      <c r="J91" s="504"/>
      <c r="K91" s="391" t="s">
        <v>289</v>
      </c>
      <c r="L91" s="504"/>
      <c r="M91" s="503"/>
      <c r="N91" s="114"/>
      <c r="O91" s="409"/>
      <c r="P91" s="510"/>
      <c r="Q91" s="510"/>
      <c r="R91" s="474"/>
      <c r="S91" s="474"/>
      <c r="T91" s="409"/>
      <c r="U91" s="497"/>
      <c r="V91" s="473"/>
      <c r="W91" s="473"/>
      <c r="X91" s="473"/>
      <c r="Y91" s="473"/>
      <c r="Z91" s="236"/>
      <c r="AA91" s="236"/>
    </row>
    <row r="92" spans="1:33" ht="18.5" customHeight="1">
      <c r="B92" s="240"/>
      <c r="E92" s="293"/>
      <c r="F92" s="538" t="s">
        <v>446</v>
      </c>
      <c r="G92" s="538"/>
      <c r="H92" s="538"/>
      <c r="I92" s="538"/>
      <c r="J92" s="538"/>
      <c r="K92" s="114"/>
      <c r="L92" s="509"/>
      <c r="M92" s="114"/>
      <c r="N92" s="114"/>
      <c r="O92" s="529"/>
      <c r="P92" s="530"/>
      <c r="Q92" s="114"/>
      <c r="R92" s="474"/>
      <c r="S92" s="474"/>
      <c r="T92" s="114"/>
      <c r="U92" s="236"/>
      <c r="V92" s="473"/>
      <c r="W92" s="473"/>
      <c r="X92" s="473"/>
      <c r="Y92" s="473"/>
      <c r="Z92" s="236"/>
      <c r="AA92" s="236"/>
    </row>
    <row r="93" spans="1:33" ht="18.5" customHeight="1">
      <c r="E93" s="293"/>
      <c r="F93" s="538" t="s">
        <v>447</v>
      </c>
      <c r="G93" s="538"/>
      <c r="H93" s="538"/>
      <c r="I93" s="538"/>
      <c r="J93" s="538"/>
      <c r="K93" s="234"/>
      <c r="L93" s="479"/>
      <c r="M93" s="114"/>
      <c r="N93" s="114"/>
      <c r="O93" s="114"/>
      <c r="P93" s="114"/>
      <c r="Q93" s="114"/>
      <c r="R93" s="114"/>
      <c r="S93" s="114"/>
      <c r="T93" s="114"/>
      <c r="U93" s="236"/>
      <c r="V93" s="236"/>
      <c r="W93" s="236"/>
      <c r="X93" s="236"/>
      <c r="Y93" s="236"/>
      <c r="Z93" s="236"/>
      <c r="AA93" s="236"/>
    </row>
    <row r="94" spans="1:33" ht="18.5" customHeight="1">
      <c r="B94" s="240"/>
      <c r="F94" s="538" t="s">
        <v>448</v>
      </c>
      <c r="G94" s="538"/>
      <c r="H94" s="538"/>
      <c r="I94" s="538"/>
      <c r="J94" s="538"/>
      <c r="K94" s="114"/>
      <c r="L94" s="264"/>
      <c r="M94" s="114"/>
      <c r="N94" s="114"/>
      <c r="O94" s="487"/>
      <c r="P94" s="114"/>
      <c r="Q94" s="114"/>
      <c r="R94" s="114"/>
      <c r="S94" s="114"/>
      <c r="T94" s="114"/>
      <c r="U94" s="236"/>
      <c r="V94" s="236"/>
      <c r="W94" s="236"/>
      <c r="X94" s="236"/>
      <c r="Y94" s="236"/>
      <c r="Z94" s="236"/>
      <c r="AA94" s="236"/>
    </row>
    <row r="95" spans="1:33" s="202" customFormat="1" ht="18.5" customHeight="1">
      <c r="A95" s="520"/>
      <c r="B95" s="521"/>
      <c r="C95" s="520"/>
      <c r="D95" s="520"/>
      <c r="E95" s="520"/>
      <c r="F95" s="505"/>
      <c r="G95" s="505"/>
      <c r="H95" s="505"/>
      <c r="I95" s="505"/>
      <c r="J95" s="522"/>
      <c r="K95" s="522"/>
      <c r="L95" s="522"/>
      <c r="O95" s="523"/>
      <c r="P95" s="523"/>
      <c r="Q95" s="523"/>
      <c r="R95" s="523"/>
      <c r="S95" s="523"/>
      <c r="T95" s="523"/>
      <c r="U95" s="524"/>
      <c r="V95" s="524"/>
      <c r="W95" s="524"/>
      <c r="X95" s="524"/>
      <c r="Y95" s="524"/>
      <c r="Z95" s="520"/>
      <c r="AA95" s="520"/>
      <c r="AC95" s="236"/>
      <c r="AD95" s="236"/>
      <c r="AE95" s="236"/>
      <c r="AF95" s="236"/>
      <c r="AG95" s="236"/>
    </row>
    <row r="96" spans="1:33" s="236" customFormat="1" ht="19">
      <c r="B96" s="469"/>
      <c r="E96" s="293"/>
      <c r="F96" s="502"/>
      <c r="G96" s="502"/>
      <c r="H96" s="502"/>
      <c r="I96" s="502"/>
      <c r="J96" s="502"/>
      <c r="K96" s="502"/>
      <c r="L96" s="502"/>
      <c r="O96" s="507"/>
      <c r="P96" s="508"/>
      <c r="Q96" s="508"/>
      <c r="R96" s="473"/>
      <c r="S96" s="473"/>
      <c r="T96" s="473"/>
      <c r="U96" s="508"/>
      <c r="V96" s="508"/>
      <c r="W96" s="508"/>
      <c r="X96" s="508"/>
      <c r="Y96" s="508"/>
    </row>
    <row r="97" spans="1:33" ht="3.5" customHeight="1">
      <c r="E97" s="293"/>
      <c r="F97" s="505"/>
      <c r="G97" s="505"/>
      <c r="H97" s="505"/>
      <c r="I97" s="505"/>
      <c r="J97" s="503"/>
      <c r="K97" s="504"/>
      <c r="L97" s="503"/>
      <c r="M97" s="253"/>
      <c r="N97" s="114"/>
      <c r="O97" s="409"/>
      <c r="P97" s="513"/>
      <c r="Q97" s="513"/>
      <c r="R97" s="474"/>
      <c r="S97" s="474"/>
      <c r="T97" s="409"/>
      <c r="U97" s="497"/>
      <c r="V97" s="473"/>
      <c r="W97" s="473"/>
      <c r="X97" s="473"/>
      <c r="Y97" s="473"/>
      <c r="Z97" s="236"/>
      <c r="AA97" s="236"/>
    </row>
    <row r="98" spans="1:33" ht="24.5" customHeight="1">
      <c r="B98" s="240"/>
      <c r="E98" s="293"/>
      <c r="F98" s="335" t="s">
        <v>449</v>
      </c>
      <c r="G98" s="391"/>
      <c r="H98" s="114"/>
      <c r="I98" s="391"/>
      <c r="J98" s="504"/>
      <c r="K98" s="391" t="s">
        <v>289</v>
      </c>
      <c r="L98" s="504"/>
      <c r="M98" s="503"/>
      <c r="N98" s="114"/>
      <c r="O98" s="409"/>
      <c r="P98" s="510"/>
      <c r="Q98" s="510"/>
      <c r="R98" s="474"/>
      <c r="S98" s="474"/>
      <c r="T98" s="409"/>
      <c r="U98" s="497"/>
      <c r="V98" s="473"/>
      <c r="W98" s="473"/>
      <c r="X98" s="473"/>
      <c r="Y98" s="473"/>
      <c r="Z98" s="236"/>
      <c r="AA98" s="236"/>
    </row>
    <row r="99" spans="1:33" ht="18.5" customHeight="1">
      <c r="B99" s="240"/>
      <c r="E99" s="293"/>
      <c r="F99" s="538" t="s">
        <v>450</v>
      </c>
      <c r="G99" s="538"/>
      <c r="H99" s="538"/>
      <c r="I99" s="538"/>
      <c r="J99" s="538"/>
      <c r="K99" s="114"/>
      <c r="L99" s="509"/>
      <c r="M99" s="114"/>
      <c r="N99" s="114"/>
      <c r="O99" s="529"/>
      <c r="P99" s="530"/>
      <c r="Q99" s="114"/>
      <c r="R99" s="474"/>
      <c r="S99" s="474"/>
      <c r="T99" s="114"/>
      <c r="U99" s="236"/>
      <c r="V99" s="473"/>
      <c r="W99" s="473"/>
      <c r="X99" s="473"/>
      <c r="Y99" s="473"/>
      <c r="Z99" s="236"/>
      <c r="AA99" s="236"/>
    </row>
    <row r="100" spans="1:33" ht="18.5" customHeight="1">
      <c r="E100" s="293"/>
      <c r="F100" s="538" t="s">
        <v>451</v>
      </c>
      <c r="G100" s="538"/>
      <c r="H100" s="538"/>
      <c r="I100" s="538"/>
      <c r="J100" s="538"/>
      <c r="K100" s="234"/>
      <c r="L100" s="479"/>
      <c r="M100" s="114"/>
      <c r="N100" s="114"/>
      <c r="O100" s="114"/>
      <c r="P100" s="114"/>
      <c r="Q100" s="114"/>
      <c r="R100" s="114"/>
      <c r="S100" s="114"/>
      <c r="T100" s="114"/>
      <c r="U100" s="236"/>
      <c r="V100" s="236"/>
      <c r="W100" s="236"/>
      <c r="X100" s="236"/>
      <c r="Y100" s="236"/>
      <c r="Z100" s="236"/>
      <c r="AA100" s="236"/>
    </row>
    <row r="101" spans="1:33" s="202" customFormat="1" ht="18.5" customHeight="1">
      <c r="A101" s="520"/>
      <c r="B101" s="521"/>
      <c r="C101" s="520"/>
      <c r="D101" s="520"/>
      <c r="E101" s="520"/>
      <c r="F101" s="505"/>
      <c r="G101" s="505"/>
      <c r="H101" s="505"/>
      <c r="I101" s="505"/>
      <c r="J101" s="522"/>
      <c r="K101" s="522"/>
      <c r="L101" s="522"/>
      <c r="O101" s="523"/>
      <c r="P101" s="523"/>
      <c r="Q101" s="523"/>
      <c r="R101" s="523"/>
      <c r="S101" s="523"/>
      <c r="T101" s="523"/>
      <c r="U101" s="524"/>
      <c r="V101" s="524"/>
      <c r="W101" s="524"/>
      <c r="X101" s="524"/>
      <c r="Y101" s="524"/>
      <c r="Z101" s="520"/>
      <c r="AA101" s="520"/>
      <c r="AC101" s="236"/>
      <c r="AD101" s="236"/>
      <c r="AE101" s="236"/>
      <c r="AF101" s="236"/>
      <c r="AG101" s="236"/>
    </row>
    <row r="102" spans="1:33" s="236" customFormat="1" ht="28.25" customHeight="1">
      <c r="B102" s="469"/>
      <c r="F102" s="536"/>
      <c r="G102" s="536"/>
      <c r="H102" s="559"/>
      <c r="I102" s="560"/>
      <c r="K102" s="265"/>
      <c r="O102" s="496"/>
      <c r="R102" s="473"/>
      <c r="S102" s="473"/>
      <c r="T102" s="473"/>
    </row>
    <row r="103" spans="1:33" s="236" customFormat="1" ht="19">
      <c r="B103" s="469"/>
      <c r="E103" s="293"/>
      <c r="F103" s="502"/>
      <c r="G103" s="502"/>
      <c r="H103" s="502"/>
      <c r="I103" s="502"/>
      <c r="J103" s="502"/>
      <c r="K103" s="502"/>
      <c r="L103" s="502"/>
      <c r="O103" s="507"/>
      <c r="P103" s="508"/>
      <c r="Q103" s="508"/>
      <c r="R103" s="473"/>
      <c r="S103" s="473"/>
      <c r="T103" s="473"/>
      <c r="U103" s="508"/>
      <c r="V103" s="508"/>
      <c r="W103" s="508"/>
      <c r="X103" s="508"/>
      <c r="Y103" s="508"/>
    </row>
    <row r="104" spans="1:33" s="236" customFormat="1" ht="22">
      <c r="E104" s="295"/>
      <c r="F104" s="502"/>
      <c r="G104" s="502"/>
      <c r="H104" s="502"/>
      <c r="I104" s="502"/>
      <c r="J104" s="502"/>
      <c r="K104" s="502"/>
      <c r="L104" s="502"/>
      <c r="O104" s="508"/>
      <c r="P104" s="508"/>
      <c r="Q104" s="508"/>
      <c r="R104" s="473"/>
      <c r="S104" s="473"/>
      <c r="T104" s="473"/>
      <c r="U104" s="508"/>
      <c r="V104" s="508"/>
      <c r="W104" s="508"/>
      <c r="X104" s="508"/>
      <c r="Y104" s="508"/>
      <c r="Z104" s="244"/>
    </row>
    <row r="105" spans="1:33" s="520" customFormat="1" ht="16.75" customHeight="1">
      <c r="B105" s="521"/>
      <c r="F105" s="556"/>
      <c r="G105" s="556"/>
      <c r="H105" s="556"/>
      <c r="I105" s="556"/>
      <c r="J105" s="556"/>
      <c r="K105" s="556"/>
      <c r="L105" s="556"/>
      <c r="O105" s="524"/>
      <c r="P105" s="524"/>
      <c r="Q105" s="524"/>
      <c r="R105" s="473"/>
      <c r="S105" s="473"/>
      <c r="T105" s="473"/>
      <c r="U105" s="244"/>
      <c r="V105" s="244"/>
      <c r="W105" s="244"/>
      <c r="X105" s="244"/>
      <c r="Y105" s="244"/>
    </row>
    <row r="106" spans="1:33" s="236" customFormat="1">
      <c r="F106" s="243"/>
      <c r="K106" s="265"/>
    </row>
    <row r="107" spans="1:33" s="236" customFormat="1" ht="24.5" customHeight="1">
      <c r="B107" s="469"/>
      <c r="E107" s="293"/>
      <c r="F107" s="418"/>
      <c r="G107" s="470"/>
      <c r="H107" s="470"/>
      <c r="I107" s="515"/>
      <c r="K107" s="470"/>
      <c r="L107" s="498"/>
      <c r="M107" s="497"/>
      <c r="O107" s="554"/>
      <c r="P107" s="555"/>
      <c r="Q107" s="501"/>
      <c r="R107" s="473"/>
      <c r="S107" s="473"/>
      <c r="T107" s="473"/>
      <c r="U107" s="473"/>
      <c r="V107" s="473"/>
      <c r="W107" s="473"/>
      <c r="X107" s="473"/>
      <c r="Y107" s="473"/>
    </row>
    <row r="108" spans="1:33" s="236" customFormat="1" ht="19">
      <c r="B108" s="469"/>
      <c r="E108" s="293"/>
      <c r="F108" s="772"/>
      <c r="G108" s="772"/>
      <c r="H108" s="772"/>
      <c r="I108" s="772"/>
      <c r="L108" s="535"/>
      <c r="N108" s="249"/>
      <c r="O108" s="558"/>
      <c r="P108" s="558"/>
      <c r="R108" s="473"/>
      <c r="S108" s="473"/>
      <c r="T108" s="473"/>
      <c r="U108" s="473"/>
      <c r="V108" s="473"/>
      <c r="W108" s="473"/>
      <c r="X108" s="473"/>
      <c r="Y108" s="473"/>
    </row>
    <row r="109" spans="1:33" s="236" customFormat="1">
      <c r="E109" s="293"/>
      <c r="F109" s="772"/>
      <c r="G109" s="772"/>
      <c r="H109" s="772"/>
      <c r="I109" s="772"/>
      <c r="K109" s="293"/>
      <c r="L109" s="480"/>
      <c r="R109" s="473"/>
      <c r="S109" s="473"/>
      <c r="T109" s="473"/>
      <c r="U109" s="473"/>
      <c r="V109" s="473"/>
      <c r="W109" s="473"/>
      <c r="X109" s="473"/>
      <c r="Y109" s="473"/>
    </row>
    <row r="110" spans="1:33" s="236" customFormat="1" ht="28.25" customHeight="1">
      <c r="B110" s="469"/>
      <c r="F110" s="536"/>
      <c r="G110" s="536"/>
      <c r="H110" s="559"/>
      <c r="K110" s="265"/>
      <c r="O110" s="496"/>
      <c r="R110" s="473"/>
      <c r="S110" s="473"/>
      <c r="T110" s="473"/>
    </row>
    <row r="111" spans="1:33" s="236" customFormat="1" ht="19">
      <c r="B111" s="469"/>
      <c r="E111" s="293"/>
      <c r="F111" s="502"/>
      <c r="G111" s="502"/>
      <c r="H111" s="502"/>
      <c r="I111" s="502"/>
      <c r="J111" s="502"/>
      <c r="K111" s="502"/>
      <c r="L111" s="502"/>
      <c r="O111" s="507"/>
      <c r="P111" s="508"/>
      <c r="Q111" s="508"/>
      <c r="R111" s="473"/>
      <c r="S111" s="473"/>
      <c r="T111" s="473"/>
      <c r="U111" s="508"/>
      <c r="V111" s="508"/>
      <c r="W111" s="508"/>
      <c r="X111" s="508"/>
      <c r="Y111" s="508"/>
    </row>
    <row r="112" spans="1:33" s="236" customFormat="1" ht="22">
      <c r="E112" s="295"/>
      <c r="F112" s="502"/>
      <c r="G112" s="502"/>
      <c r="H112" s="502"/>
      <c r="I112" s="502"/>
      <c r="J112" s="502"/>
      <c r="K112" s="502"/>
      <c r="L112" s="502"/>
      <c r="O112" s="508"/>
      <c r="P112" s="508"/>
      <c r="Q112" s="508"/>
      <c r="R112" s="473"/>
      <c r="S112" s="473"/>
      <c r="T112" s="473"/>
      <c r="U112" s="508"/>
      <c r="V112" s="508"/>
      <c r="W112" s="508"/>
      <c r="X112" s="508"/>
      <c r="Y112" s="508"/>
      <c r="Z112" s="244"/>
    </row>
    <row r="113" spans="2:25" s="520" customFormat="1" ht="16.75" customHeight="1">
      <c r="B113" s="521"/>
      <c r="F113" s="556"/>
      <c r="G113" s="556"/>
      <c r="H113" s="556"/>
      <c r="I113" s="556"/>
      <c r="J113" s="556"/>
      <c r="K113" s="556"/>
      <c r="L113" s="556"/>
      <c r="O113" s="524"/>
      <c r="P113" s="524"/>
      <c r="Q113" s="524"/>
      <c r="R113" s="473"/>
      <c r="S113" s="473"/>
      <c r="T113" s="473"/>
      <c r="U113" s="244"/>
      <c r="V113" s="244"/>
      <c r="W113" s="244"/>
      <c r="X113" s="244"/>
      <c r="Y113" s="244"/>
    </row>
    <row r="114" spans="2:25" s="236" customFormat="1">
      <c r="K114" s="265"/>
    </row>
    <row r="115" spans="2:25" s="236" customFormat="1">
      <c r="K115" s="265"/>
    </row>
    <row r="116" spans="2:25" s="236" customFormat="1">
      <c r="K116" s="265"/>
    </row>
    <row r="117" spans="2:25" s="236" customFormat="1">
      <c r="K117" s="265"/>
    </row>
    <row r="118" spans="2:25" s="236" customFormat="1">
      <c r="K118" s="265"/>
    </row>
    <row r="119" spans="2:25" s="236" customFormat="1">
      <c r="F119" s="243"/>
      <c r="K119" s="265"/>
    </row>
    <row r="120" spans="2:25" s="236" customFormat="1">
      <c r="F120" s="243"/>
      <c r="K120" s="265"/>
    </row>
    <row r="121" spans="2:25" s="236" customFormat="1">
      <c r="F121" s="243"/>
      <c r="K121" s="265"/>
    </row>
    <row r="122" spans="2:25" s="236" customFormat="1">
      <c r="F122" s="243"/>
      <c r="K122" s="265"/>
    </row>
    <row r="123" spans="2:25" s="236" customFormat="1">
      <c r="F123" s="243"/>
      <c r="K123" s="265"/>
    </row>
    <row r="124" spans="2:25" s="236" customFormat="1">
      <c r="F124" s="243"/>
      <c r="K124" s="265"/>
    </row>
    <row r="125" spans="2:25" s="236" customFormat="1">
      <c r="F125" s="243"/>
      <c r="K125" s="265"/>
    </row>
    <row r="126" spans="2:25" s="236" customFormat="1">
      <c r="F126" s="243"/>
      <c r="K126" s="265"/>
    </row>
    <row r="127" spans="2:25" s="236" customFormat="1">
      <c r="F127" s="243"/>
      <c r="K127" s="265"/>
    </row>
    <row r="128" spans="2:25" s="236" customFormat="1">
      <c r="F128" s="243"/>
      <c r="K128" s="265"/>
    </row>
    <row r="129" spans="6:11" s="236" customFormat="1">
      <c r="F129" s="243"/>
      <c r="K129" s="265"/>
    </row>
    <row r="130" spans="6:11" s="236" customFormat="1">
      <c r="F130" s="243"/>
      <c r="K130" s="265"/>
    </row>
    <row r="131" spans="6:11" s="236" customFormat="1">
      <c r="F131" s="243"/>
      <c r="K131" s="265"/>
    </row>
    <row r="132" spans="6:11" s="236" customFormat="1">
      <c r="F132" s="243"/>
      <c r="K132" s="265"/>
    </row>
    <row r="133" spans="6:11" s="236" customFormat="1">
      <c r="F133" s="243"/>
      <c r="K133" s="265"/>
    </row>
    <row r="134" spans="6:11" s="236" customFormat="1">
      <c r="F134" s="243"/>
      <c r="K134" s="265"/>
    </row>
    <row r="135" spans="6:11" s="236" customFormat="1">
      <c r="F135" s="243"/>
      <c r="K135" s="265"/>
    </row>
    <row r="136" spans="6:11" s="236" customFormat="1">
      <c r="F136" s="243"/>
      <c r="K136" s="265"/>
    </row>
    <row r="137" spans="6:11" s="236" customFormat="1">
      <c r="F137" s="243"/>
      <c r="K137" s="265"/>
    </row>
    <row r="138" spans="6:11" s="236" customFormat="1">
      <c r="F138" s="243"/>
      <c r="K138" s="265"/>
    </row>
    <row r="139" spans="6:11" s="236" customFormat="1">
      <c r="F139" s="243"/>
      <c r="K139" s="265"/>
    </row>
    <row r="140" spans="6:11" s="236" customFormat="1">
      <c r="F140" s="243"/>
      <c r="K140" s="265"/>
    </row>
    <row r="141" spans="6:11" s="236" customFormat="1">
      <c r="F141" s="243"/>
      <c r="K141" s="265"/>
    </row>
    <row r="142" spans="6:11" s="236" customFormat="1">
      <c r="F142" s="243"/>
      <c r="K142" s="265"/>
    </row>
    <row r="143" spans="6:11" s="236" customFormat="1">
      <c r="F143" s="243"/>
      <c r="K143" s="265"/>
    </row>
    <row r="144" spans="6:11" s="236" customFormat="1">
      <c r="F144" s="243"/>
      <c r="K144" s="265"/>
    </row>
    <row r="145" spans="6:11" s="236" customFormat="1">
      <c r="F145" s="243"/>
      <c r="K145" s="265"/>
    </row>
    <row r="146" spans="6:11" s="236" customFormat="1">
      <c r="F146" s="243"/>
      <c r="K146" s="265"/>
    </row>
    <row r="147" spans="6:11" s="236" customFormat="1">
      <c r="F147" s="243"/>
      <c r="K147" s="265"/>
    </row>
    <row r="148" spans="6:11" s="236" customFormat="1">
      <c r="F148" s="243"/>
      <c r="K148" s="265"/>
    </row>
    <row r="149" spans="6:11" s="236" customFormat="1">
      <c r="F149" s="243"/>
      <c r="K149" s="265"/>
    </row>
    <row r="150" spans="6:11" s="236" customFormat="1">
      <c r="F150" s="243"/>
      <c r="K150" s="265"/>
    </row>
    <row r="151" spans="6:11" s="236" customFormat="1">
      <c r="F151" s="243"/>
      <c r="K151" s="265"/>
    </row>
    <row r="152" spans="6:11" s="236" customFormat="1">
      <c r="F152" s="243"/>
      <c r="K152" s="265"/>
    </row>
    <row r="153" spans="6:11" s="236" customFormat="1">
      <c r="F153" s="243"/>
      <c r="K153" s="265"/>
    </row>
    <row r="154" spans="6:11" s="236" customFormat="1">
      <c r="F154" s="243"/>
      <c r="K154" s="265"/>
    </row>
    <row r="155" spans="6:11" s="236" customFormat="1">
      <c r="F155" s="243"/>
      <c r="K155" s="265"/>
    </row>
    <row r="156" spans="6:11" s="236" customFormat="1">
      <c r="F156" s="243"/>
      <c r="K156" s="265"/>
    </row>
    <row r="157" spans="6:11" s="236" customFormat="1">
      <c r="F157" s="243"/>
      <c r="K157" s="265"/>
    </row>
    <row r="158" spans="6:11" s="236" customFormat="1">
      <c r="F158" s="243"/>
      <c r="K158" s="265"/>
    </row>
    <row r="159" spans="6:11" s="236" customFormat="1">
      <c r="F159" s="243"/>
      <c r="K159" s="265"/>
    </row>
    <row r="160" spans="6:11" s="236" customFormat="1">
      <c r="F160" s="243"/>
      <c r="K160" s="265"/>
    </row>
    <row r="161" spans="6:11" s="236" customFormat="1">
      <c r="F161" s="243"/>
      <c r="K161" s="265"/>
    </row>
    <row r="162" spans="6:11" s="236" customFormat="1">
      <c r="F162" s="243"/>
      <c r="K162" s="265"/>
    </row>
    <row r="163" spans="6:11" s="236" customFormat="1">
      <c r="F163" s="243"/>
      <c r="K163" s="265"/>
    </row>
    <row r="164" spans="6:11" s="236" customFormat="1">
      <c r="F164" s="243"/>
      <c r="K164" s="265"/>
    </row>
    <row r="165" spans="6:11" s="236" customFormat="1">
      <c r="F165" s="243"/>
      <c r="K165" s="265"/>
    </row>
    <row r="166" spans="6:11" s="236" customFormat="1">
      <c r="F166" s="243"/>
      <c r="K166" s="265"/>
    </row>
    <row r="167" spans="6:11" s="236" customFormat="1">
      <c r="F167" s="243"/>
      <c r="K167" s="265"/>
    </row>
    <row r="168" spans="6:11" s="236" customFormat="1">
      <c r="F168" s="243"/>
      <c r="K168" s="265"/>
    </row>
    <row r="169" spans="6:11" s="236" customFormat="1">
      <c r="F169" s="243"/>
      <c r="K169" s="265"/>
    </row>
    <row r="170" spans="6:11" s="236" customFormat="1">
      <c r="F170" s="243"/>
      <c r="K170" s="265"/>
    </row>
    <row r="171" spans="6:11" s="236" customFormat="1">
      <c r="F171" s="243"/>
      <c r="K171" s="265"/>
    </row>
    <row r="172" spans="6:11" s="236" customFormat="1">
      <c r="F172" s="243"/>
      <c r="K172" s="265"/>
    </row>
    <row r="173" spans="6:11" s="236" customFormat="1">
      <c r="F173" s="243"/>
      <c r="K173" s="265"/>
    </row>
    <row r="174" spans="6:11" s="236" customFormat="1">
      <c r="F174" s="243"/>
      <c r="K174" s="265"/>
    </row>
    <row r="175" spans="6:11" s="236" customFormat="1">
      <c r="F175" s="243"/>
      <c r="K175" s="265"/>
    </row>
    <row r="176" spans="6:11" s="236" customFormat="1">
      <c r="F176" s="243"/>
      <c r="K176" s="265"/>
    </row>
    <row r="177" spans="6:11" s="236" customFormat="1">
      <c r="F177" s="243"/>
      <c r="K177" s="265"/>
    </row>
    <row r="178" spans="6:11" s="236" customFormat="1">
      <c r="F178" s="243"/>
      <c r="K178" s="265"/>
    </row>
    <row r="179" spans="6:11" s="236" customFormat="1">
      <c r="F179" s="243"/>
      <c r="K179" s="265"/>
    </row>
    <row r="180" spans="6:11" s="236" customFormat="1">
      <c r="F180" s="243"/>
      <c r="K180" s="265"/>
    </row>
    <row r="181" spans="6:11" s="236" customFormat="1">
      <c r="F181" s="243"/>
      <c r="K181" s="265"/>
    </row>
    <row r="182" spans="6:11" s="236" customFormat="1">
      <c r="F182" s="243"/>
      <c r="K182" s="265"/>
    </row>
    <row r="183" spans="6:11" s="236" customFormat="1">
      <c r="F183" s="243"/>
      <c r="K183" s="265"/>
    </row>
    <row r="184" spans="6:11" s="236" customFormat="1">
      <c r="F184" s="243"/>
      <c r="K184" s="265"/>
    </row>
    <row r="185" spans="6:11" s="236" customFormat="1">
      <c r="F185" s="243"/>
      <c r="K185" s="265"/>
    </row>
    <row r="186" spans="6:11" s="236" customFormat="1">
      <c r="F186" s="243"/>
      <c r="K186" s="265"/>
    </row>
    <row r="187" spans="6:11" s="236" customFormat="1">
      <c r="F187" s="243"/>
      <c r="K187" s="265"/>
    </row>
    <row r="188" spans="6:11" s="236" customFormat="1">
      <c r="F188" s="243"/>
      <c r="K188" s="265"/>
    </row>
    <row r="189" spans="6:11" s="236" customFormat="1">
      <c r="F189" s="243"/>
      <c r="K189" s="265"/>
    </row>
    <row r="190" spans="6:11" s="236" customFormat="1">
      <c r="F190" s="243"/>
      <c r="K190" s="265"/>
    </row>
    <row r="191" spans="6:11" s="236" customFormat="1">
      <c r="F191" s="243"/>
      <c r="K191" s="265"/>
    </row>
    <row r="192" spans="6:11" s="236" customFormat="1">
      <c r="F192" s="243"/>
      <c r="K192" s="265"/>
    </row>
    <row r="193" spans="6:11" s="236" customFormat="1">
      <c r="F193" s="243"/>
      <c r="K193" s="265"/>
    </row>
    <row r="194" spans="6:11" s="236" customFormat="1">
      <c r="F194" s="243"/>
      <c r="K194" s="265"/>
    </row>
    <row r="195" spans="6:11" s="236" customFormat="1">
      <c r="F195" s="243"/>
      <c r="K195" s="265"/>
    </row>
    <row r="196" spans="6:11" s="236" customFormat="1">
      <c r="F196" s="243"/>
      <c r="K196" s="265"/>
    </row>
    <row r="197" spans="6:11" s="236" customFormat="1">
      <c r="F197" s="243"/>
      <c r="K197" s="265"/>
    </row>
    <row r="198" spans="6:11" s="236" customFormat="1">
      <c r="F198" s="243"/>
      <c r="K198" s="265"/>
    </row>
    <row r="199" spans="6:11" s="236" customFormat="1">
      <c r="F199" s="243"/>
      <c r="K199" s="265"/>
    </row>
    <row r="200" spans="6:11" s="236" customFormat="1">
      <c r="F200" s="243"/>
      <c r="K200" s="265"/>
    </row>
    <row r="201" spans="6:11" s="236" customFormat="1">
      <c r="F201" s="243"/>
      <c r="K201" s="265"/>
    </row>
    <row r="202" spans="6:11" s="236" customFormat="1">
      <c r="F202" s="243"/>
      <c r="K202" s="265"/>
    </row>
    <row r="203" spans="6:11" s="236" customFormat="1">
      <c r="F203" s="243"/>
      <c r="K203" s="265"/>
    </row>
    <row r="204" spans="6:11" s="236" customFormat="1">
      <c r="F204" s="243"/>
      <c r="K204" s="265"/>
    </row>
    <row r="205" spans="6:11" s="236" customFormat="1">
      <c r="F205" s="243"/>
      <c r="K205" s="265"/>
    </row>
    <row r="206" spans="6:11" s="236" customFormat="1">
      <c r="F206" s="243"/>
      <c r="K206" s="265"/>
    </row>
    <row r="207" spans="6:11" s="236" customFormat="1">
      <c r="F207" s="243"/>
      <c r="K207" s="265"/>
    </row>
    <row r="208" spans="6:11" s="236" customFormat="1">
      <c r="F208" s="243"/>
      <c r="K208" s="265"/>
    </row>
    <row r="209" spans="6:11" s="236" customFormat="1">
      <c r="F209" s="243"/>
      <c r="K209" s="265"/>
    </row>
    <row r="210" spans="6:11" s="236" customFormat="1">
      <c r="F210" s="243"/>
      <c r="K210" s="265"/>
    </row>
    <row r="211" spans="6:11" s="236" customFormat="1">
      <c r="F211" s="243"/>
      <c r="K211" s="265"/>
    </row>
    <row r="212" spans="6:11" s="236" customFormat="1">
      <c r="F212" s="243"/>
      <c r="K212" s="265"/>
    </row>
    <row r="213" spans="6:11" s="236" customFormat="1">
      <c r="F213" s="243"/>
      <c r="K213" s="265"/>
    </row>
    <row r="214" spans="6:11" s="236" customFormat="1">
      <c r="F214" s="243"/>
      <c r="K214" s="265"/>
    </row>
    <row r="215" spans="6:11" s="236" customFormat="1">
      <c r="F215" s="243"/>
      <c r="K215" s="265"/>
    </row>
    <row r="216" spans="6:11" s="236" customFormat="1">
      <c r="F216" s="243"/>
      <c r="K216" s="265"/>
    </row>
    <row r="217" spans="6:11" s="236" customFormat="1">
      <c r="F217" s="243"/>
      <c r="K217" s="265"/>
    </row>
    <row r="218" spans="6:11" s="236" customFormat="1">
      <c r="F218" s="243"/>
      <c r="K218" s="265"/>
    </row>
    <row r="219" spans="6:11" s="236" customFormat="1">
      <c r="F219" s="243"/>
      <c r="K219" s="265"/>
    </row>
    <row r="220" spans="6:11" s="236" customFormat="1">
      <c r="F220" s="243"/>
      <c r="K220" s="265"/>
    </row>
    <row r="221" spans="6:11" s="236" customFormat="1">
      <c r="F221" s="243"/>
      <c r="K221" s="265"/>
    </row>
    <row r="222" spans="6:11" s="236" customFormat="1">
      <c r="F222" s="243"/>
      <c r="K222" s="265"/>
    </row>
    <row r="223" spans="6:11" s="236" customFormat="1">
      <c r="F223" s="243"/>
      <c r="K223" s="265"/>
    </row>
    <row r="224" spans="6:11" s="236" customFormat="1">
      <c r="F224" s="243"/>
      <c r="K224" s="265"/>
    </row>
    <row r="225" spans="6:11" s="236" customFormat="1">
      <c r="F225" s="243"/>
      <c r="K225" s="265"/>
    </row>
    <row r="226" spans="6:11" s="236" customFormat="1">
      <c r="F226" s="243"/>
      <c r="K226" s="265"/>
    </row>
    <row r="227" spans="6:11" s="236" customFormat="1">
      <c r="F227" s="243"/>
      <c r="K227" s="265"/>
    </row>
    <row r="228" spans="6:11" s="236" customFormat="1">
      <c r="F228" s="243"/>
      <c r="K228" s="265"/>
    </row>
    <row r="229" spans="6:11" s="236" customFormat="1">
      <c r="F229" s="243"/>
      <c r="K229" s="265"/>
    </row>
    <row r="230" spans="6:11" s="236" customFormat="1">
      <c r="F230" s="243"/>
      <c r="K230" s="265"/>
    </row>
    <row r="231" spans="6:11" s="236" customFormat="1">
      <c r="F231" s="243"/>
      <c r="K231" s="265"/>
    </row>
    <row r="232" spans="6:11" s="236" customFormat="1">
      <c r="F232" s="243"/>
      <c r="K232" s="265"/>
    </row>
    <row r="233" spans="6:11" s="236" customFormat="1">
      <c r="F233" s="243"/>
      <c r="K233" s="265"/>
    </row>
    <row r="234" spans="6:11" s="236" customFormat="1">
      <c r="F234" s="243"/>
      <c r="K234" s="265"/>
    </row>
    <row r="235" spans="6:11" s="236" customFormat="1">
      <c r="F235" s="243"/>
      <c r="K235" s="265"/>
    </row>
    <row r="236" spans="6:11" s="236" customFormat="1">
      <c r="F236" s="243"/>
      <c r="K236" s="265"/>
    </row>
    <row r="237" spans="6:11" s="236" customFormat="1">
      <c r="F237" s="243"/>
      <c r="K237" s="265"/>
    </row>
    <row r="238" spans="6:11" s="236" customFormat="1">
      <c r="F238" s="243"/>
      <c r="K238" s="265"/>
    </row>
    <row r="239" spans="6:11" s="236" customFormat="1">
      <c r="F239" s="243"/>
      <c r="K239" s="265"/>
    </row>
    <row r="240" spans="6:11" s="236" customFormat="1">
      <c r="F240" s="243"/>
      <c r="K240" s="265"/>
    </row>
    <row r="241" spans="6:27" s="236" customFormat="1">
      <c r="F241" s="243"/>
      <c r="K241" s="265"/>
    </row>
    <row r="242" spans="6:27" s="236" customFormat="1">
      <c r="F242" s="243"/>
      <c r="K242" s="265"/>
    </row>
    <row r="243" spans="6:27" s="236" customFormat="1">
      <c r="F243" s="243"/>
      <c r="K243" s="265"/>
    </row>
    <row r="244" spans="6:27" s="236" customFormat="1">
      <c r="F244" s="243"/>
      <c r="K244" s="265"/>
    </row>
    <row r="245" spans="6:27" s="236" customFormat="1">
      <c r="F245" s="243"/>
      <c r="K245" s="265"/>
    </row>
    <row r="246" spans="6:27" s="236" customFormat="1">
      <c r="F246" s="243"/>
      <c r="K246" s="265"/>
    </row>
    <row r="247" spans="6:27" s="236" customFormat="1">
      <c r="F247" s="243"/>
      <c r="K247" s="265"/>
    </row>
    <row r="248" spans="6:27">
      <c r="U248" s="236"/>
      <c r="V248" s="236"/>
      <c r="W248" s="236"/>
      <c r="X248" s="236"/>
      <c r="Y248" s="236"/>
      <c r="Z248" s="236"/>
      <c r="AA248" s="236"/>
    </row>
    <row r="249" spans="6:27">
      <c r="U249" s="236"/>
      <c r="V249" s="236"/>
      <c r="W249" s="236"/>
      <c r="X249" s="236"/>
      <c r="Y249" s="236"/>
      <c r="Z249" s="236"/>
      <c r="AA249" s="236"/>
    </row>
    <row r="250" spans="6:27">
      <c r="U250" s="236"/>
      <c r="V250" s="236"/>
      <c r="W250" s="236"/>
      <c r="X250" s="236"/>
      <c r="Y250" s="236"/>
      <c r="Z250" s="236"/>
      <c r="AA250" s="236"/>
    </row>
    <row r="251" spans="6:27">
      <c r="U251" s="236"/>
      <c r="V251" s="236"/>
      <c r="W251" s="236"/>
      <c r="X251" s="236"/>
      <c r="Y251" s="236"/>
      <c r="Z251" s="236"/>
      <c r="AA251" s="236"/>
    </row>
    <row r="252" spans="6:27">
      <c r="U252" s="236"/>
      <c r="V252" s="236"/>
      <c r="W252" s="236"/>
      <c r="X252" s="236"/>
      <c r="Y252" s="236"/>
      <c r="Z252" s="236"/>
      <c r="AA252" s="236"/>
    </row>
    <row r="253" spans="6:27">
      <c r="U253" s="236"/>
      <c r="V253" s="236"/>
      <c r="W253" s="236"/>
      <c r="X253" s="236"/>
      <c r="Y253" s="236"/>
      <c r="Z253" s="236"/>
      <c r="AA253" s="236"/>
    </row>
    <row r="254" spans="6:27">
      <c r="U254" s="236"/>
      <c r="V254" s="236"/>
      <c r="W254" s="236"/>
      <c r="X254" s="236"/>
      <c r="Y254" s="236"/>
      <c r="Z254" s="236"/>
      <c r="AA254" s="236"/>
    </row>
    <row r="255" spans="6:27">
      <c r="U255" s="236"/>
      <c r="V255" s="236"/>
      <c r="W255" s="236"/>
      <c r="X255" s="236"/>
      <c r="Y255" s="236"/>
      <c r="Z255" s="236"/>
      <c r="AA255" s="236"/>
    </row>
    <row r="256" spans="6:27">
      <c r="U256" s="236"/>
      <c r="V256" s="236"/>
      <c r="W256" s="236"/>
      <c r="X256" s="236"/>
      <c r="Y256" s="236"/>
      <c r="Z256" s="236"/>
      <c r="AA256" s="236"/>
    </row>
    <row r="257" spans="21:27">
      <c r="U257" s="236"/>
      <c r="V257" s="236"/>
      <c r="W257" s="236"/>
      <c r="X257" s="236"/>
      <c r="Y257" s="236"/>
      <c r="Z257" s="236"/>
      <c r="AA257" s="236"/>
    </row>
    <row r="258" spans="21:27">
      <c r="U258" s="236"/>
      <c r="V258" s="236"/>
      <c r="W258" s="236"/>
      <c r="X258" s="236"/>
      <c r="Y258" s="236"/>
      <c r="Z258" s="236"/>
      <c r="AA258" s="236"/>
    </row>
    <row r="259" spans="21:27">
      <c r="U259" s="236"/>
      <c r="V259" s="236"/>
      <c r="W259" s="236"/>
      <c r="X259" s="236"/>
      <c r="Y259" s="236"/>
      <c r="Z259" s="236"/>
      <c r="AA259" s="236"/>
    </row>
    <row r="260" spans="21:27">
      <c r="U260" s="236"/>
      <c r="V260" s="236"/>
      <c r="W260" s="236"/>
      <c r="X260" s="236"/>
      <c r="Y260" s="236"/>
      <c r="Z260" s="236"/>
      <c r="AA260" s="236"/>
    </row>
    <row r="261" spans="21:27">
      <c r="U261" s="236"/>
      <c r="V261" s="236"/>
      <c r="W261" s="236"/>
      <c r="X261" s="236"/>
      <c r="Y261" s="236"/>
      <c r="Z261" s="236"/>
      <c r="AA261" s="236"/>
    </row>
    <row r="262" spans="21:27">
      <c r="U262" s="236"/>
      <c r="V262" s="236"/>
      <c r="W262" s="236"/>
      <c r="X262" s="236"/>
      <c r="Y262" s="236"/>
      <c r="Z262" s="236"/>
      <c r="AA262" s="236"/>
    </row>
    <row r="263" spans="21:27">
      <c r="U263" s="236"/>
      <c r="V263" s="236"/>
      <c r="W263" s="236"/>
      <c r="X263" s="236"/>
      <c r="Y263" s="236"/>
      <c r="Z263" s="236"/>
      <c r="AA263" s="236"/>
    </row>
    <row r="264" spans="21:27">
      <c r="U264" s="236"/>
      <c r="V264" s="236"/>
      <c r="W264" s="236"/>
      <c r="X264" s="236"/>
      <c r="Y264" s="236"/>
      <c r="Z264" s="236"/>
      <c r="AA264" s="236"/>
    </row>
    <row r="265" spans="21:27">
      <c r="U265" s="236"/>
      <c r="V265" s="236"/>
      <c r="W265" s="236"/>
      <c r="X265" s="236"/>
      <c r="Y265" s="236"/>
      <c r="Z265" s="236"/>
      <c r="AA265" s="236"/>
    </row>
    <row r="266" spans="21:27">
      <c r="U266" s="236"/>
      <c r="V266" s="236"/>
      <c r="W266" s="236"/>
      <c r="X266" s="236"/>
      <c r="Y266" s="236"/>
      <c r="Z266" s="236"/>
      <c r="AA266" s="236"/>
    </row>
    <row r="267" spans="21:27">
      <c r="U267" s="236"/>
      <c r="V267" s="236"/>
      <c r="W267" s="236"/>
      <c r="X267" s="236"/>
      <c r="Y267" s="236"/>
      <c r="Z267" s="236"/>
      <c r="AA267" s="236"/>
    </row>
    <row r="268" spans="21:27">
      <c r="U268" s="236"/>
      <c r="V268" s="236"/>
      <c r="W268" s="236"/>
      <c r="X268" s="236"/>
      <c r="Y268" s="236"/>
      <c r="Z268" s="236"/>
      <c r="AA268" s="236"/>
    </row>
    <row r="269" spans="21:27">
      <c r="U269" s="236"/>
      <c r="V269" s="236"/>
      <c r="W269" s="236"/>
      <c r="X269" s="236"/>
      <c r="Y269" s="236"/>
      <c r="Z269" s="236"/>
      <c r="AA269" s="236"/>
    </row>
    <row r="270" spans="21:27">
      <c r="U270" s="236"/>
      <c r="V270" s="236"/>
      <c r="W270" s="236"/>
      <c r="X270" s="236"/>
      <c r="Y270" s="236"/>
      <c r="Z270" s="236"/>
      <c r="AA270" s="236"/>
    </row>
    <row r="271" spans="21:27">
      <c r="U271" s="236"/>
      <c r="V271" s="236"/>
      <c r="W271" s="236"/>
      <c r="X271" s="236"/>
      <c r="Y271" s="236"/>
      <c r="Z271" s="236"/>
      <c r="AA271" s="236"/>
    </row>
    <row r="272" spans="21:27">
      <c r="U272" s="236"/>
      <c r="V272" s="236"/>
      <c r="W272" s="236"/>
      <c r="X272" s="236"/>
      <c r="Y272" s="236"/>
      <c r="Z272" s="236"/>
      <c r="AA272" s="236"/>
    </row>
    <row r="273" spans="21:27">
      <c r="U273" s="236"/>
      <c r="V273" s="236"/>
      <c r="W273" s="236"/>
      <c r="X273" s="236"/>
      <c r="Y273" s="236"/>
      <c r="Z273" s="236"/>
      <c r="AA273" s="236"/>
    </row>
    <row r="274" spans="21:27">
      <c r="U274" s="236"/>
      <c r="V274" s="236"/>
      <c r="W274" s="236"/>
      <c r="X274" s="236"/>
      <c r="Y274" s="236"/>
      <c r="Z274" s="236"/>
      <c r="AA274" s="236"/>
    </row>
    <row r="275" spans="21:27">
      <c r="U275" s="236"/>
      <c r="V275" s="236"/>
      <c r="W275" s="236"/>
      <c r="X275" s="236"/>
      <c r="Y275" s="236"/>
      <c r="Z275" s="236"/>
      <c r="AA275" s="236"/>
    </row>
    <row r="276" spans="21:27">
      <c r="U276" s="236"/>
      <c r="V276" s="236"/>
      <c r="W276" s="236"/>
      <c r="X276" s="236"/>
      <c r="Y276" s="236"/>
      <c r="Z276" s="236"/>
      <c r="AA276" s="236"/>
    </row>
    <row r="277" spans="21:27">
      <c r="U277" s="236"/>
      <c r="V277" s="236"/>
      <c r="W277" s="236"/>
      <c r="X277" s="236"/>
      <c r="Y277" s="236"/>
      <c r="Z277" s="236"/>
      <c r="AA277" s="236"/>
    </row>
    <row r="278" spans="21:27">
      <c r="U278" s="236"/>
      <c r="V278" s="236"/>
      <c r="W278" s="236"/>
      <c r="X278" s="236"/>
      <c r="Y278" s="236"/>
      <c r="Z278" s="236"/>
      <c r="AA278" s="236"/>
    </row>
    <row r="279" spans="21:27">
      <c r="U279" s="236"/>
      <c r="V279" s="236"/>
      <c r="W279" s="236"/>
      <c r="X279" s="236"/>
      <c r="Y279" s="236"/>
      <c r="Z279" s="236"/>
      <c r="AA279" s="236"/>
    </row>
    <row r="280" spans="21:27">
      <c r="U280" s="236"/>
      <c r="V280" s="236"/>
      <c r="W280" s="236"/>
      <c r="X280" s="236"/>
      <c r="Y280" s="236"/>
      <c r="Z280" s="236"/>
      <c r="AA280" s="236"/>
    </row>
    <row r="281" spans="21:27">
      <c r="U281" s="236"/>
      <c r="V281" s="236"/>
      <c r="W281" s="236"/>
      <c r="X281" s="236"/>
      <c r="Y281" s="236"/>
      <c r="Z281" s="236"/>
      <c r="AA281" s="236"/>
    </row>
    <row r="282" spans="21:27">
      <c r="U282" s="236"/>
      <c r="V282" s="236"/>
      <c r="W282" s="236"/>
      <c r="X282" s="236"/>
      <c r="Y282" s="236"/>
      <c r="Z282" s="236"/>
      <c r="AA282" s="236"/>
    </row>
    <row r="283" spans="21:27">
      <c r="U283" s="236"/>
      <c r="V283" s="236"/>
      <c r="W283" s="236"/>
      <c r="X283" s="236"/>
      <c r="Y283" s="236"/>
      <c r="Z283" s="236"/>
      <c r="AA283" s="236"/>
    </row>
    <row r="284" spans="21:27">
      <c r="U284" s="236"/>
      <c r="V284" s="236"/>
      <c r="W284" s="236"/>
      <c r="X284" s="236"/>
      <c r="Y284" s="236"/>
      <c r="Z284" s="236"/>
      <c r="AA284" s="236"/>
    </row>
    <row r="285" spans="21:27">
      <c r="U285" s="236"/>
      <c r="V285" s="236"/>
      <c r="W285" s="236"/>
      <c r="X285" s="236"/>
      <c r="Y285" s="236"/>
      <c r="Z285" s="236"/>
      <c r="AA285" s="236"/>
    </row>
    <row r="286" spans="21:27">
      <c r="U286" s="236"/>
      <c r="V286" s="236"/>
      <c r="W286" s="236"/>
      <c r="X286" s="236"/>
      <c r="Y286" s="236"/>
      <c r="Z286" s="236"/>
      <c r="AA286" s="236"/>
    </row>
    <row r="287" spans="21:27">
      <c r="U287" s="236"/>
      <c r="V287" s="236"/>
      <c r="W287" s="236"/>
      <c r="X287" s="236"/>
      <c r="Y287" s="236"/>
      <c r="Z287" s="236"/>
      <c r="AA287" s="236"/>
    </row>
    <row r="288" spans="21:27">
      <c r="U288" s="236"/>
      <c r="V288" s="236"/>
      <c r="W288" s="236"/>
      <c r="X288" s="236"/>
      <c r="Y288" s="236"/>
      <c r="Z288" s="236"/>
      <c r="AA288" s="236"/>
    </row>
    <row r="289" spans="21:27">
      <c r="U289" s="236"/>
      <c r="V289" s="236"/>
      <c r="W289" s="236"/>
      <c r="X289" s="236"/>
      <c r="Y289" s="236"/>
      <c r="Z289" s="236"/>
      <c r="AA289" s="236"/>
    </row>
    <row r="290" spans="21:27">
      <c r="U290" s="236"/>
      <c r="V290" s="236"/>
      <c r="W290" s="236"/>
      <c r="X290" s="236"/>
      <c r="Y290" s="236"/>
      <c r="Z290" s="236"/>
      <c r="AA290" s="236"/>
    </row>
    <row r="291" spans="21:27">
      <c r="U291" s="236"/>
      <c r="V291" s="236"/>
      <c r="W291" s="236"/>
      <c r="X291" s="236"/>
      <c r="Y291" s="236"/>
      <c r="Z291" s="236"/>
      <c r="AA291" s="236"/>
    </row>
    <row r="292" spans="21:27">
      <c r="U292" s="236"/>
      <c r="V292" s="236"/>
      <c r="W292" s="236"/>
      <c r="X292" s="236"/>
      <c r="Y292" s="236"/>
      <c r="Z292" s="236"/>
      <c r="AA292" s="236"/>
    </row>
    <row r="293" spans="21:27">
      <c r="U293" s="236"/>
      <c r="V293" s="236"/>
      <c r="W293" s="236"/>
      <c r="X293" s="236"/>
      <c r="Y293" s="236"/>
      <c r="Z293" s="236"/>
      <c r="AA293" s="236"/>
    </row>
    <row r="294" spans="21:27">
      <c r="U294" s="236"/>
      <c r="V294" s="236"/>
      <c r="W294" s="236"/>
      <c r="X294" s="236"/>
      <c r="Y294" s="236"/>
      <c r="Z294" s="236"/>
      <c r="AA294" s="236"/>
    </row>
    <row r="295" spans="21:27">
      <c r="U295" s="236"/>
      <c r="V295" s="236"/>
      <c r="W295" s="236"/>
      <c r="X295" s="236"/>
      <c r="Y295" s="236"/>
      <c r="Z295" s="236"/>
      <c r="AA295" s="236"/>
    </row>
    <row r="296" spans="21:27">
      <c r="U296" s="236"/>
      <c r="V296" s="236"/>
      <c r="W296" s="236"/>
      <c r="X296" s="236"/>
      <c r="Y296" s="236"/>
      <c r="Z296" s="236"/>
      <c r="AA296" s="236"/>
    </row>
    <row r="297" spans="21:27">
      <c r="U297" s="236"/>
      <c r="V297" s="236"/>
      <c r="W297" s="236"/>
      <c r="X297" s="236"/>
      <c r="Y297" s="236"/>
      <c r="Z297" s="236"/>
      <c r="AA297" s="236"/>
    </row>
    <row r="298" spans="21:27">
      <c r="U298" s="236"/>
      <c r="V298" s="236"/>
      <c r="W298" s="236"/>
      <c r="X298" s="236"/>
      <c r="Y298" s="236"/>
      <c r="Z298" s="236"/>
      <c r="AA298" s="236"/>
    </row>
    <row r="299" spans="21:27">
      <c r="U299" s="236"/>
      <c r="V299" s="236"/>
      <c r="W299" s="236"/>
      <c r="X299" s="236"/>
      <c r="Y299" s="236"/>
      <c r="Z299" s="236"/>
      <c r="AA299" s="236"/>
    </row>
    <row r="300" spans="21:27">
      <c r="U300" s="236"/>
      <c r="V300" s="236"/>
      <c r="W300" s="236"/>
      <c r="X300" s="236"/>
      <c r="Y300" s="236"/>
      <c r="Z300" s="236"/>
      <c r="AA300" s="236"/>
    </row>
    <row r="301" spans="21:27">
      <c r="U301" s="236"/>
      <c r="V301" s="236"/>
      <c r="W301" s="236"/>
      <c r="X301" s="236"/>
      <c r="Y301" s="236"/>
      <c r="Z301" s="236"/>
      <c r="AA301" s="236"/>
    </row>
    <row r="302" spans="21:27">
      <c r="U302" s="236"/>
      <c r="V302" s="236"/>
      <c r="W302" s="236"/>
      <c r="X302" s="236"/>
      <c r="Y302" s="236"/>
      <c r="Z302" s="236"/>
      <c r="AA302" s="236"/>
    </row>
    <row r="303" spans="21:27">
      <c r="U303" s="236"/>
      <c r="V303" s="236"/>
      <c r="W303" s="236"/>
      <c r="X303" s="236"/>
      <c r="Y303" s="236"/>
      <c r="Z303" s="236"/>
      <c r="AA303" s="236"/>
    </row>
    <row r="304" spans="21:27">
      <c r="U304" s="236"/>
      <c r="V304" s="236"/>
      <c r="W304" s="236"/>
      <c r="X304" s="236"/>
      <c r="Y304" s="236"/>
      <c r="Z304" s="236"/>
      <c r="AA304" s="236"/>
    </row>
    <row r="305" spans="21:27">
      <c r="U305" s="236"/>
      <c r="V305" s="236"/>
      <c r="W305" s="236"/>
      <c r="X305" s="236"/>
      <c r="Y305" s="236"/>
      <c r="Z305" s="236"/>
      <c r="AA305" s="236"/>
    </row>
    <row r="306" spans="21:27">
      <c r="U306" s="236"/>
      <c r="V306" s="236"/>
      <c r="W306" s="236"/>
      <c r="X306" s="236"/>
      <c r="Y306" s="236"/>
      <c r="Z306" s="236"/>
      <c r="AA306" s="236"/>
    </row>
    <row r="307" spans="21:27">
      <c r="U307" s="236"/>
      <c r="V307" s="236"/>
      <c r="W307" s="236"/>
      <c r="X307" s="236"/>
      <c r="Y307" s="236"/>
      <c r="Z307" s="236"/>
      <c r="AA307" s="236"/>
    </row>
    <row r="308" spans="21:27">
      <c r="U308" s="236"/>
      <c r="V308" s="236"/>
      <c r="W308" s="236"/>
      <c r="X308" s="236"/>
      <c r="Y308" s="236"/>
      <c r="Z308" s="236"/>
      <c r="AA308" s="236"/>
    </row>
    <row r="309" spans="21:27">
      <c r="U309" s="236"/>
      <c r="V309" s="236"/>
      <c r="W309" s="236"/>
      <c r="X309" s="236"/>
      <c r="Y309" s="236"/>
      <c r="Z309" s="236"/>
      <c r="AA309" s="236"/>
    </row>
    <row r="310" spans="21:27">
      <c r="U310" s="236"/>
      <c r="V310" s="236"/>
      <c r="W310" s="236"/>
      <c r="X310" s="236"/>
      <c r="Y310" s="236"/>
      <c r="Z310" s="236"/>
      <c r="AA310" s="236"/>
    </row>
    <row r="311" spans="21:27">
      <c r="U311" s="236"/>
      <c r="V311" s="236"/>
      <c r="W311" s="236"/>
      <c r="X311" s="236"/>
      <c r="Y311" s="236"/>
      <c r="Z311" s="236"/>
      <c r="AA311" s="236"/>
    </row>
    <row r="312" spans="21:27">
      <c r="U312" s="236"/>
      <c r="V312" s="236"/>
      <c r="W312" s="236"/>
      <c r="X312" s="236"/>
      <c r="Y312" s="236"/>
      <c r="Z312" s="236"/>
      <c r="AA312" s="236"/>
    </row>
    <row r="313" spans="21:27">
      <c r="U313" s="236"/>
      <c r="V313" s="236"/>
      <c r="W313" s="236"/>
      <c r="X313" s="236"/>
      <c r="Y313" s="236"/>
      <c r="Z313" s="236"/>
      <c r="AA313" s="236"/>
    </row>
    <row r="314" spans="21:27">
      <c r="U314" s="236"/>
      <c r="V314" s="236"/>
      <c r="W314" s="236"/>
      <c r="X314" s="236"/>
      <c r="Y314" s="236"/>
      <c r="Z314" s="236"/>
      <c r="AA314" s="236"/>
    </row>
    <row r="315" spans="21:27">
      <c r="U315" s="236"/>
      <c r="V315" s="236"/>
      <c r="W315" s="236"/>
      <c r="X315" s="236"/>
      <c r="Y315" s="236"/>
      <c r="Z315" s="236"/>
      <c r="AA315" s="236"/>
    </row>
    <row r="316" spans="21:27">
      <c r="U316" s="236"/>
      <c r="V316" s="236"/>
      <c r="W316" s="236"/>
      <c r="X316" s="236"/>
      <c r="Y316" s="236"/>
      <c r="Z316" s="236"/>
      <c r="AA316" s="236"/>
    </row>
    <row r="317" spans="21:27">
      <c r="U317" s="236"/>
      <c r="V317" s="236"/>
      <c r="W317" s="236"/>
      <c r="X317" s="236"/>
      <c r="Y317" s="236"/>
      <c r="Z317" s="236"/>
      <c r="AA317" s="236"/>
    </row>
    <row r="318" spans="21:27">
      <c r="U318" s="236"/>
      <c r="V318" s="236"/>
      <c r="W318" s="236"/>
      <c r="X318" s="236"/>
      <c r="Y318" s="236"/>
      <c r="Z318" s="236"/>
      <c r="AA318" s="236"/>
    </row>
    <row r="319" spans="21:27">
      <c r="U319" s="236"/>
      <c r="V319" s="236"/>
      <c r="W319" s="236"/>
      <c r="X319" s="236"/>
      <c r="Y319" s="236"/>
      <c r="Z319" s="236"/>
      <c r="AA319" s="236"/>
    </row>
    <row r="320" spans="21:27">
      <c r="U320" s="236"/>
      <c r="V320" s="236"/>
      <c r="W320" s="236"/>
      <c r="X320" s="236"/>
      <c r="Y320" s="236"/>
      <c r="Z320" s="236"/>
      <c r="AA320" s="236"/>
    </row>
    <row r="321" spans="21:27">
      <c r="U321" s="236"/>
      <c r="V321" s="236"/>
      <c r="W321" s="236"/>
      <c r="X321" s="236"/>
      <c r="Y321" s="236"/>
      <c r="Z321" s="236"/>
      <c r="AA321" s="236"/>
    </row>
    <row r="322" spans="21:27">
      <c r="U322" s="236"/>
      <c r="V322" s="236"/>
      <c r="W322" s="236"/>
      <c r="X322" s="236"/>
      <c r="Y322" s="236"/>
      <c r="Z322" s="236"/>
      <c r="AA322" s="236"/>
    </row>
    <row r="323" spans="21:27">
      <c r="U323" s="236"/>
      <c r="V323" s="236"/>
      <c r="W323" s="236"/>
      <c r="X323" s="236"/>
      <c r="Y323" s="236"/>
      <c r="Z323" s="236"/>
      <c r="AA323" s="236"/>
    </row>
    <row r="324" spans="21:27">
      <c r="U324" s="236"/>
      <c r="V324" s="236"/>
      <c r="W324" s="236"/>
      <c r="X324" s="236"/>
      <c r="Y324" s="236"/>
      <c r="Z324" s="236"/>
      <c r="AA324" s="236"/>
    </row>
    <row r="325" spans="21:27">
      <c r="U325" s="236"/>
      <c r="V325" s="236"/>
      <c r="W325" s="236"/>
      <c r="X325" s="236"/>
      <c r="Y325" s="236"/>
      <c r="Z325" s="236"/>
      <c r="AA325" s="236"/>
    </row>
    <row r="326" spans="21:27">
      <c r="U326" s="236"/>
      <c r="V326" s="236"/>
      <c r="W326" s="236"/>
      <c r="X326" s="236"/>
      <c r="Y326" s="236"/>
      <c r="Z326" s="236"/>
      <c r="AA326" s="236"/>
    </row>
    <row r="327" spans="21:27">
      <c r="U327" s="236"/>
      <c r="V327" s="236"/>
      <c r="W327" s="236"/>
      <c r="X327" s="236"/>
      <c r="Y327" s="236"/>
      <c r="Z327" s="236"/>
      <c r="AA327" s="236"/>
    </row>
    <row r="328" spans="21:27">
      <c r="U328" s="236"/>
      <c r="V328" s="236"/>
      <c r="W328" s="236"/>
      <c r="X328" s="236"/>
      <c r="Y328" s="236"/>
      <c r="Z328" s="236"/>
      <c r="AA328" s="236"/>
    </row>
    <row r="329" spans="21:27">
      <c r="U329" s="236"/>
      <c r="V329" s="236"/>
      <c r="W329" s="236"/>
      <c r="X329" s="236"/>
      <c r="Y329" s="236"/>
      <c r="Z329" s="236"/>
      <c r="AA329" s="236"/>
    </row>
    <row r="330" spans="21:27">
      <c r="U330" s="236"/>
      <c r="V330" s="236"/>
      <c r="W330" s="236"/>
      <c r="X330" s="236"/>
      <c r="Y330" s="236"/>
      <c r="Z330" s="236"/>
      <c r="AA330" s="236"/>
    </row>
    <row r="331" spans="21:27">
      <c r="U331" s="236"/>
      <c r="V331" s="236"/>
      <c r="W331" s="236"/>
      <c r="X331" s="236"/>
      <c r="Y331" s="236"/>
      <c r="Z331" s="236"/>
      <c r="AA331" s="236"/>
    </row>
    <row r="332" spans="21:27">
      <c r="U332" s="236"/>
      <c r="V332" s="236"/>
      <c r="W332" s="236"/>
      <c r="X332" s="236"/>
      <c r="Y332" s="236"/>
      <c r="Z332" s="236"/>
      <c r="AA332" s="236"/>
    </row>
    <row r="333" spans="21:27">
      <c r="U333" s="236"/>
      <c r="V333" s="236"/>
      <c r="W333" s="236"/>
      <c r="X333" s="236"/>
      <c r="Y333" s="236"/>
      <c r="Z333" s="236"/>
      <c r="AA333" s="236"/>
    </row>
    <row r="334" spans="21:27">
      <c r="U334" s="236"/>
      <c r="V334" s="236"/>
      <c r="W334" s="236"/>
      <c r="X334" s="236"/>
      <c r="Y334" s="236"/>
      <c r="Z334" s="236"/>
      <c r="AA334" s="236"/>
    </row>
    <row r="335" spans="21:27">
      <c r="U335" s="236"/>
      <c r="V335" s="236"/>
      <c r="W335" s="236"/>
      <c r="X335" s="236"/>
      <c r="Y335" s="236"/>
      <c r="Z335" s="236"/>
      <c r="AA335" s="236"/>
    </row>
    <row r="336" spans="21:27">
      <c r="U336" s="236"/>
      <c r="V336" s="236"/>
      <c r="W336" s="236"/>
      <c r="X336" s="236"/>
      <c r="Y336" s="236"/>
      <c r="Z336" s="236"/>
      <c r="AA336" s="236"/>
    </row>
    <row r="337" spans="21:27">
      <c r="U337" s="236"/>
      <c r="V337" s="236"/>
      <c r="W337" s="236"/>
      <c r="X337" s="236"/>
      <c r="Y337" s="236"/>
      <c r="Z337" s="236"/>
      <c r="AA337" s="236"/>
    </row>
    <row r="338" spans="21:27">
      <c r="U338" s="236"/>
      <c r="V338" s="236"/>
      <c r="W338" s="236"/>
      <c r="X338" s="236"/>
      <c r="Y338" s="236"/>
      <c r="Z338" s="236"/>
      <c r="AA338" s="236"/>
    </row>
    <row r="339" spans="21:27">
      <c r="U339" s="236"/>
      <c r="V339" s="236"/>
      <c r="W339" s="236"/>
      <c r="X339" s="236"/>
      <c r="Y339" s="236"/>
      <c r="Z339" s="236"/>
      <c r="AA339" s="236"/>
    </row>
    <row r="340" spans="21:27">
      <c r="U340" s="236"/>
      <c r="V340" s="236"/>
      <c r="W340" s="236"/>
      <c r="X340" s="236"/>
      <c r="Y340" s="236"/>
      <c r="Z340" s="236"/>
      <c r="AA340" s="236"/>
    </row>
    <row r="341" spans="21:27">
      <c r="U341" s="236"/>
      <c r="V341" s="236"/>
      <c r="W341" s="236"/>
      <c r="X341" s="236"/>
      <c r="Y341" s="236"/>
      <c r="Z341" s="236"/>
      <c r="AA341" s="236"/>
    </row>
    <row r="342" spans="21:27">
      <c r="U342" s="236"/>
      <c r="V342" s="236"/>
      <c r="W342" s="236"/>
      <c r="X342" s="236"/>
      <c r="Y342" s="236"/>
      <c r="Z342" s="236"/>
      <c r="AA342" s="236"/>
    </row>
    <row r="343" spans="21:27">
      <c r="U343" s="236"/>
      <c r="V343" s="236"/>
      <c r="W343" s="236"/>
      <c r="X343" s="236"/>
      <c r="Y343" s="236"/>
      <c r="Z343" s="236"/>
      <c r="AA343" s="236"/>
    </row>
    <row r="344" spans="21:27">
      <c r="U344" s="236"/>
      <c r="V344" s="236"/>
      <c r="W344" s="236"/>
      <c r="X344" s="236"/>
      <c r="Y344" s="236"/>
      <c r="Z344" s="236"/>
      <c r="AA344" s="236"/>
    </row>
    <row r="345" spans="21:27">
      <c r="U345" s="236"/>
      <c r="V345" s="236"/>
      <c r="W345" s="236"/>
      <c r="X345" s="236"/>
      <c r="Y345" s="236"/>
      <c r="Z345" s="236"/>
      <c r="AA345" s="236"/>
    </row>
    <row r="346" spans="21:27">
      <c r="U346" s="236"/>
      <c r="V346" s="236"/>
      <c r="W346" s="236"/>
      <c r="X346" s="236"/>
      <c r="Y346" s="236"/>
      <c r="Z346" s="236"/>
      <c r="AA346" s="236"/>
    </row>
    <row r="347" spans="21:27">
      <c r="U347" s="236"/>
      <c r="V347" s="236"/>
      <c r="W347" s="236"/>
      <c r="X347" s="236"/>
      <c r="Y347" s="236"/>
      <c r="Z347" s="236"/>
      <c r="AA347" s="236"/>
    </row>
    <row r="348" spans="21:27">
      <c r="U348" s="236"/>
      <c r="V348" s="236"/>
      <c r="W348" s="236"/>
      <c r="X348" s="236"/>
      <c r="Y348" s="236"/>
      <c r="Z348" s="236"/>
      <c r="AA348" s="236"/>
    </row>
    <row r="349" spans="21:27">
      <c r="U349" s="236"/>
      <c r="V349" s="236"/>
      <c r="W349" s="236"/>
      <c r="X349" s="236"/>
      <c r="Y349" s="236"/>
      <c r="Z349" s="236"/>
      <c r="AA349" s="236"/>
    </row>
    <row r="350" spans="21:27">
      <c r="U350" s="236"/>
      <c r="V350" s="236"/>
      <c r="W350" s="236"/>
      <c r="X350" s="236"/>
      <c r="Y350" s="236"/>
      <c r="Z350" s="236"/>
      <c r="AA350" s="236"/>
    </row>
    <row r="351" spans="21:27">
      <c r="U351" s="236"/>
      <c r="V351" s="236"/>
      <c r="W351" s="236"/>
      <c r="X351" s="236"/>
      <c r="Y351" s="236"/>
      <c r="Z351" s="236"/>
      <c r="AA351" s="236"/>
    </row>
    <row r="352" spans="21:27">
      <c r="U352" s="236"/>
      <c r="V352" s="236"/>
      <c r="W352" s="236"/>
      <c r="X352" s="236"/>
      <c r="Y352" s="236"/>
      <c r="Z352" s="236"/>
      <c r="AA352" s="236"/>
    </row>
    <row r="353" spans="21:27">
      <c r="U353" s="236"/>
      <c r="V353" s="236"/>
      <c r="W353" s="236"/>
      <c r="X353" s="236"/>
      <c r="Y353" s="236"/>
      <c r="Z353" s="236"/>
      <c r="AA353" s="236"/>
    </row>
    <row r="354" spans="21:27">
      <c r="U354" s="236"/>
      <c r="V354" s="236"/>
      <c r="W354" s="236"/>
      <c r="X354" s="236"/>
      <c r="Y354" s="236"/>
      <c r="Z354" s="236"/>
      <c r="AA354" s="236"/>
    </row>
    <row r="355" spans="21:27">
      <c r="U355" s="236"/>
      <c r="V355" s="236"/>
      <c r="W355" s="236"/>
      <c r="X355" s="236"/>
      <c r="Y355" s="236"/>
      <c r="Z355" s="236"/>
      <c r="AA355" s="236"/>
    </row>
    <row r="356" spans="21:27">
      <c r="U356" s="236"/>
      <c r="V356" s="236"/>
      <c r="W356" s="236"/>
      <c r="X356" s="236"/>
      <c r="Y356" s="236"/>
      <c r="Z356" s="236"/>
      <c r="AA356" s="236"/>
    </row>
    <row r="357" spans="21:27">
      <c r="U357" s="236"/>
      <c r="V357" s="236"/>
      <c r="W357" s="236"/>
      <c r="X357" s="236"/>
      <c r="Y357" s="236"/>
      <c r="Z357" s="236"/>
      <c r="AA357" s="236"/>
    </row>
    <row r="358" spans="21:27">
      <c r="U358" s="236"/>
      <c r="V358" s="236"/>
      <c r="W358" s="236"/>
      <c r="X358" s="236"/>
      <c r="Y358" s="236"/>
      <c r="Z358" s="236"/>
      <c r="AA358" s="236"/>
    </row>
    <row r="359" spans="21:27">
      <c r="U359" s="236"/>
      <c r="V359" s="236"/>
      <c r="W359" s="236"/>
      <c r="X359" s="236"/>
      <c r="Y359" s="236"/>
      <c r="Z359" s="236"/>
      <c r="AA359" s="236"/>
    </row>
    <row r="360" spans="21:27">
      <c r="U360" s="236"/>
      <c r="V360" s="236"/>
      <c r="W360" s="236"/>
      <c r="X360" s="236"/>
      <c r="Y360" s="236"/>
      <c r="Z360" s="236"/>
      <c r="AA360" s="236"/>
    </row>
    <row r="361" spans="21:27">
      <c r="U361" s="236"/>
      <c r="V361" s="236"/>
      <c r="W361" s="236"/>
      <c r="X361" s="236"/>
      <c r="Y361" s="236"/>
      <c r="Z361" s="236"/>
      <c r="AA361" s="236"/>
    </row>
    <row r="362" spans="21:27">
      <c r="U362" s="236"/>
      <c r="V362" s="236"/>
      <c r="W362" s="236"/>
      <c r="X362" s="236"/>
      <c r="Y362" s="236"/>
      <c r="Z362" s="236"/>
      <c r="AA362" s="236"/>
    </row>
    <row r="363" spans="21:27">
      <c r="U363" s="236"/>
      <c r="V363" s="236"/>
      <c r="W363" s="236"/>
      <c r="X363" s="236"/>
      <c r="Y363" s="236"/>
      <c r="Z363" s="236"/>
      <c r="AA363" s="236"/>
    </row>
    <row r="364" spans="21:27">
      <c r="U364" s="236"/>
      <c r="V364" s="236"/>
      <c r="W364" s="236"/>
      <c r="X364" s="236"/>
      <c r="Y364" s="236"/>
      <c r="Z364" s="236"/>
      <c r="AA364" s="236"/>
    </row>
    <row r="365" spans="21:27">
      <c r="U365" s="236"/>
      <c r="V365" s="236"/>
      <c r="W365" s="236"/>
      <c r="X365" s="236"/>
      <c r="Y365" s="236"/>
      <c r="Z365" s="236"/>
      <c r="AA365" s="236"/>
    </row>
    <row r="366" spans="21:27">
      <c r="U366" s="236"/>
      <c r="V366" s="236"/>
      <c r="W366" s="236"/>
      <c r="X366" s="236"/>
      <c r="Y366" s="236"/>
      <c r="Z366" s="236"/>
      <c r="AA366" s="236"/>
    </row>
    <row r="367" spans="21:27">
      <c r="U367" s="236"/>
      <c r="V367" s="236"/>
      <c r="W367" s="236"/>
      <c r="X367" s="236"/>
      <c r="Y367" s="236"/>
      <c r="Z367" s="236"/>
      <c r="AA367" s="236"/>
    </row>
    <row r="368" spans="21:27">
      <c r="U368" s="236"/>
      <c r="V368" s="236"/>
      <c r="W368" s="236"/>
      <c r="X368" s="236"/>
      <c r="Y368" s="236"/>
      <c r="Z368" s="236"/>
      <c r="AA368" s="236"/>
    </row>
    <row r="369" spans="21:27">
      <c r="U369" s="236"/>
      <c r="V369" s="236"/>
      <c r="W369" s="236"/>
      <c r="X369" s="236"/>
      <c r="Y369" s="236"/>
      <c r="Z369" s="236"/>
      <c r="AA369" s="236"/>
    </row>
    <row r="370" spans="21:27">
      <c r="U370" s="236"/>
      <c r="V370" s="236"/>
      <c r="W370" s="236"/>
      <c r="X370" s="236"/>
      <c r="Y370" s="236"/>
      <c r="Z370" s="236"/>
      <c r="AA370" s="236"/>
    </row>
    <row r="371" spans="21:27">
      <c r="U371" s="236"/>
      <c r="V371" s="236"/>
      <c r="W371" s="236"/>
      <c r="X371" s="236"/>
      <c r="Y371" s="236"/>
      <c r="Z371" s="236"/>
      <c r="AA371" s="236"/>
    </row>
    <row r="372" spans="21:27">
      <c r="U372" s="236"/>
      <c r="V372" s="236"/>
      <c r="W372" s="236"/>
      <c r="X372" s="236"/>
      <c r="Y372" s="236"/>
      <c r="Z372" s="236"/>
      <c r="AA372" s="236"/>
    </row>
    <row r="373" spans="21:27">
      <c r="U373" s="236"/>
      <c r="V373" s="236"/>
      <c r="W373" s="236"/>
      <c r="X373" s="236"/>
      <c r="Y373" s="236"/>
      <c r="Z373" s="236"/>
      <c r="AA373" s="236"/>
    </row>
    <row r="374" spans="21:27">
      <c r="U374" s="236"/>
      <c r="V374" s="236"/>
      <c r="W374" s="236"/>
      <c r="X374" s="236"/>
      <c r="Y374" s="236"/>
      <c r="Z374" s="236"/>
      <c r="AA374" s="236"/>
    </row>
    <row r="375" spans="21:27">
      <c r="U375" s="236"/>
      <c r="V375" s="236"/>
      <c r="W375" s="236"/>
      <c r="X375" s="236"/>
      <c r="Y375" s="236"/>
      <c r="Z375" s="236"/>
      <c r="AA375" s="236"/>
    </row>
    <row r="376" spans="21:27">
      <c r="U376" s="236"/>
      <c r="V376" s="236"/>
      <c r="W376" s="236"/>
      <c r="X376" s="236"/>
      <c r="Y376" s="236"/>
      <c r="Z376" s="236"/>
      <c r="AA376" s="236"/>
    </row>
    <row r="377" spans="21:27">
      <c r="U377" s="236"/>
      <c r="V377" s="236"/>
      <c r="W377" s="236"/>
      <c r="X377" s="236"/>
      <c r="Y377" s="236"/>
      <c r="Z377" s="236"/>
      <c r="AA377" s="236"/>
    </row>
    <row r="378" spans="21:27">
      <c r="U378" s="236"/>
      <c r="V378" s="236"/>
      <c r="W378" s="236"/>
      <c r="X378" s="236"/>
      <c r="Y378" s="236"/>
      <c r="Z378" s="236"/>
      <c r="AA378" s="236"/>
    </row>
    <row r="379" spans="21:27">
      <c r="U379" s="236"/>
      <c r="V379" s="236"/>
      <c r="W379" s="236"/>
      <c r="X379" s="236"/>
      <c r="Y379" s="236"/>
      <c r="Z379" s="236"/>
      <c r="AA379" s="236"/>
    </row>
    <row r="380" spans="21:27">
      <c r="U380" s="236"/>
      <c r="V380" s="236"/>
      <c r="W380" s="236"/>
      <c r="X380" s="236"/>
      <c r="Y380" s="236"/>
      <c r="Z380" s="236"/>
      <c r="AA380" s="236"/>
    </row>
    <row r="381" spans="21:27">
      <c r="U381" s="236"/>
      <c r="V381" s="236"/>
      <c r="W381" s="236"/>
      <c r="X381" s="236"/>
      <c r="Y381" s="236"/>
      <c r="Z381" s="236"/>
      <c r="AA381" s="236"/>
    </row>
    <row r="382" spans="21:27">
      <c r="U382" s="236"/>
      <c r="V382" s="236"/>
      <c r="W382" s="236"/>
      <c r="X382" s="236"/>
      <c r="Y382" s="236"/>
      <c r="Z382" s="236"/>
      <c r="AA382" s="236"/>
    </row>
    <row r="383" spans="21:27">
      <c r="U383" s="236"/>
      <c r="V383" s="236"/>
      <c r="W383" s="236"/>
      <c r="X383" s="236"/>
      <c r="Y383" s="236"/>
      <c r="Z383" s="236"/>
      <c r="AA383" s="236"/>
    </row>
    <row r="384" spans="21:27">
      <c r="U384" s="236"/>
      <c r="V384" s="236"/>
      <c r="W384" s="236"/>
      <c r="X384" s="236"/>
      <c r="Y384" s="236"/>
      <c r="Z384" s="236"/>
      <c r="AA384" s="236"/>
    </row>
    <row r="385" spans="21:27">
      <c r="U385" s="236"/>
      <c r="V385" s="236"/>
      <c r="W385" s="236"/>
      <c r="X385" s="236"/>
      <c r="Y385" s="236"/>
      <c r="Z385" s="236"/>
      <c r="AA385" s="236"/>
    </row>
    <row r="386" spans="21:27">
      <c r="U386" s="236"/>
      <c r="V386" s="236"/>
      <c r="W386" s="236"/>
      <c r="X386" s="236"/>
      <c r="Y386" s="236"/>
      <c r="Z386" s="236"/>
      <c r="AA386" s="236"/>
    </row>
    <row r="387" spans="21:27">
      <c r="U387" s="236"/>
      <c r="V387" s="236"/>
      <c r="W387" s="236"/>
      <c r="X387" s="236"/>
      <c r="Y387" s="236"/>
      <c r="Z387" s="236"/>
      <c r="AA387" s="236"/>
    </row>
    <row r="388" spans="21:27">
      <c r="U388" s="236"/>
      <c r="V388" s="236"/>
      <c r="W388" s="236"/>
      <c r="X388" s="236"/>
      <c r="Y388" s="236"/>
      <c r="Z388" s="236"/>
      <c r="AA388" s="236"/>
    </row>
    <row r="389" spans="21:27">
      <c r="U389" s="236"/>
      <c r="V389" s="236"/>
      <c r="W389" s="236"/>
      <c r="X389" s="236"/>
      <c r="Y389" s="236"/>
      <c r="Z389" s="236"/>
      <c r="AA389" s="236"/>
    </row>
    <row r="390" spans="21:27">
      <c r="U390" s="236"/>
      <c r="V390" s="236"/>
      <c r="W390" s="236"/>
      <c r="X390" s="236"/>
      <c r="Y390" s="236"/>
      <c r="Z390" s="236"/>
      <c r="AA390" s="236"/>
    </row>
    <row r="391" spans="21:27">
      <c r="U391" s="236"/>
      <c r="V391" s="236"/>
      <c r="W391" s="236"/>
      <c r="X391" s="236"/>
      <c r="Y391" s="236"/>
      <c r="Z391" s="236"/>
      <c r="AA391" s="236"/>
    </row>
    <row r="392" spans="21:27">
      <c r="U392" s="236"/>
      <c r="V392" s="236"/>
      <c r="W392" s="236"/>
      <c r="X392" s="236"/>
      <c r="Y392" s="236"/>
      <c r="Z392" s="236"/>
      <c r="AA392" s="236"/>
    </row>
    <row r="393" spans="21:27">
      <c r="U393" s="236"/>
      <c r="V393" s="236"/>
      <c r="W393" s="236"/>
      <c r="X393" s="236"/>
      <c r="Y393" s="236"/>
      <c r="Z393" s="236"/>
      <c r="AA393" s="236"/>
    </row>
    <row r="394" spans="21:27">
      <c r="U394" s="236"/>
      <c r="V394" s="236"/>
      <c r="W394" s="236"/>
      <c r="X394" s="236"/>
      <c r="Y394" s="236"/>
      <c r="Z394" s="236"/>
      <c r="AA394" s="236"/>
    </row>
    <row r="395" spans="21:27">
      <c r="U395" s="236"/>
      <c r="V395" s="236"/>
      <c r="W395" s="236"/>
      <c r="X395" s="236"/>
      <c r="Y395" s="236"/>
      <c r="Z395" s="236"/>
      <c r="AA395" s="236"/>
    </row>
    <row r="396" spans="21:27">
      <c r="U396" s="236"/>
      <c r="V396" s="236"/>
      <c r="W396" s="236"/>
      <c r="X396" s="236"/>
      <c r="Y396" s="236"/>
      <c r="Z396" s="236"/>
      <c r="AA396" s="236"/>
    </row>
    <row r="397" spans="21:27">
      <c r="U397" s="236"/>
      <c r="V397" s="236"/>
      <c r="W397" s="236"/>
      <c r="X397" s="236"/>
      <c r="Y397" s="236"/>
      <c r="Z397" s="236"/>
      <c r="AA397" s="236"/>
    </row>
    <row r="398" spans="21:27">
      <c r="U398" s="236"/>
      <c r="V398" s="236"/>
      <c r="W398" s="236"/>
      <c r="X398" s="236"/>
      <c r="Y398" s="236"/>
      <c r="Z398" s="236"/>
      <c r="AA398" s="236"/>
    </row>
    <row r="399" spans="21:27">
      <c r="U399" s="236"/>
      <c r="V399" s="236"/>
      <c r="W399" s="236"/>
      <c r="X399" s="236"/>
      <c r="Y399" s="236"/>
      <c r="Z399" s="236"/>
      <c r="AA399" s="236"/>
    </row>
    <row r="400" spans="21:27">
      <c r="U400" s="236"/>
      <c r="V400" s="236"/>
      <c r="W400" s="236"/>
      <c r="X400" s="236"/>
      <c r="Y400" s="236"/>
      <c r="Z400" s="236"/>
      <c r="AA400" s="236"/>
    </row>
    <row r="401" spans="21:27">
      <c r="U401" s="236"/>
      <c r="V401" s="236"/>
      <c r="W401" s="236"/>
      <c r="X401" s="236"/>
      <c r="Y401" s="236"/>
      <c r="Z401" s="236"/>
      <c r="AA401" s="236"/>
    </row>
    <row r="402" spans="21:27">
      <c r="U402" s="236"/>
      <c r="V402" s="236"/>
      <c r="W402" s="236"/>
      <c r="X402" s="236"/>
      <c r="Y402" s="236"/>
      <c r="Z402" s="236"/>
      <c r="AA402" s="236"/>
    </row>
    <row r="403" spans="21:27">
      <c r="U403" s="236"/>
      <c r="V403" s="236"/>
      <c r="W403" s="236"/>
      <c r="X403" s="236"/>
      <c r="Y403" s="236"/>
      <c r="Z403" s="236"/>
      <c r="AA403" s="236"/>
    </row>
    <row r="404" spans="21:27">
      <c r="U404" s="236"/>
      <c r="V404" s="236"/>
      <c r="W404" s="236"/>
      <c r="X404" s="236"/>
      <c r="Y404" s="236"/>
      <c r="Z404" s="236"/>
      <c r="AA404" s="236"/>
    </row>
    <row r="405" spans="21:27">
      <c r="U405" s="236"/>
      <c r="V405" s="236"/>
      <c r="W405" s="236"/>
      <c r="X405" s="236"/>
      <c r="Y405" s="236"/>
      <c r="Z405" s="236"/>
      <c r="AA405" s="236"/>
    </row>
    <row r="406" spans="21:27">
      <c r="U406" s="236"/>
      <c r="V406" s="236"/>
      <c r="W406" s="236"/>
      <c r="X406" s="236"/>
      <c r="Y406" s="236"/>
      <c r="Z406" s="236"/>
      <c r="AA406" s="236"/>
    </row>
    <row r="407" spans="21:27">
      <c r="U407" s="236"/>
      <c r="V407" s="236"/>
      <c r="W407" s="236"/>
      <c r="X407" s="236"/>
      <c r="Y407" s="236"/>
      <c r="Z407" s="236"/>
      <c r="AA407" s="236"/>
    </row>
    <row r="408" spans="21:27">
      <c r="U408" s="236"/>
      <c r="V408" s="236"/>
      <c r="W408" s="236"/>
      <c r="X408" s="236"/>
      <c r="Y408" s="236"/>
      <c r="Z408" s="236"/>
      <c r="AA408" s="236"/>
    </row>
    <row r="409" spans="21:27">
      <c r="U409" s="236"/>
      <c r="V409" s="236"/>
      <c r="W409" s="236"/>
      <c r="X409" s="236"/>
      <c r="Y409" s="236"/>
      <c r="Z409" s="236"/>
      <c r="AA409" s="236"/>
    </row>
    <row r="410" spans="21:27">
      <c r="U410" s="236"/>
      <c r="V410" s="236"/>
      <c r="W410" s="236"/>
      <c r="X410" s="236"/>
      <c r="Y410" s="236"/>
      <c r="Z410" s="236"/>
      <c r="AA410" s="236"/>
    </row>
    <row r="411" spans="21:27">
      <c r="U411" s="236"/>
      <c r="V411" s="236"/>
      <c r="W411" s="236"/>
      <c r="X411" s="236"/>
      <c r="Y411" s="236"/>
      <c r="Z411" s="236"/>
      <c r="AA411" s="236"/>
    </row>
    <row r="412" spans="21:27">
      <c r="U412" s="236"/>
      <c r="V412" s="236"/>
      <c r="W412" s="236"/>
      <c r="X412" s="236"/>
      <c r="Y412" s="236"/>
      <c r="Z412" s="236"/>
      <c r="AA412" s="236"/>
    </row>
    <row r="413" spans="21:27">
      <c r="U413" s="236"/>
      <c r="V413" s="236"/>
      <c r="W413" s="236"/>
      <c r="X413" s="236"/>
      <c r="Y413" s="236"/>
      <c r="Z413" s="236"/>
      <c r="AA413" s="236"/>
    </row>
    <row r="414" spans="21:27">
      <c r="U414" s="236"/>
      <c r="V414" s="236"/>
      <c r="W414" s="236"/>
      <c r="X414" s="236"/>
      <c r="Y414" s="236"/>
      <c r="Z414" s="236"/>
      <c r="AA414" s="236"/>
    </row>
    <row r="415" spans="21:27">
      <c r="U415" s="236"/>
      <c r="V415" s="236"/>
      <c r="W415" s="236"/>
      <c r="X415" s="236"/>
      <c r="Y415" s="236"/>
      <c r="Z415" s="236"/>
      <c r="AA415" s="236"/>
    </row>
    <row r="416" spans="21:27">
      <c r="U416" s="236"/>
      <c r="V416" s="236"/>
      <c r="W416" s="236"/>
      <c r="X416" s="236"/>
      <c r="Y416" s="236"/>
      <c r="Z416" s="236"/>
      <c r="AA416" s="236"/>
    </row>
    <row r="417" spans="21:27">
      <c r="U417" s="236"/>
      <c r="V417" s="236"/>
      <c r="W417" s="236"/>
      <c r="X417" s="236"/>
      <c r="Y417" s="236"/>
      <c r="Z417" s="236"/>
      <c r="AA417" s="236"/>
    </row>
    <row r="418" spans="21:27">
      <c r="U418" s="236"/>
      <c r="V418" s="236"/>
      <c r="W418" s="236"/>
      <c r="X418" s="236"/>
      <c r="Y418" s="236"/>
      <c r="Z418" s="236"/>
      <c r="AA418" s="236"/>
    </row>
    <row r="419" spans="21:27">
      <c r="U419" s="236"/>
      <c r="V419" s="236"/>
      <c r="W419" s="236"/>
      <c r="X419" s="236"/>
      <c r="Y419" s="236"/>
      <c r="Z419" s="236"/>
      <c r="AA419" s="236"/>
    </row>
    <row r="420" spans="21:27">
      <c r="U420" s="236"/>
      <c r="V420" s="236"/>
      <c r="W420" s="236"/>
      <c r="X420" s="236"/>
      <c r="Y420" s="236"/>
      <c r="Z420" s="236"/>
      <c r="AA420" s="236"/>
    </row>
    <row r="421" spans="21:27">
      <c r="U421" s="236"/>
      <c r="V421" s="236"/>
      <c r="W421" s="236"/>
      <c r="X421" s="236"/>
      <c r="Y421" s="236"/>
      <c r="Z421" s="236"/>
      <c r="AA421" s="236"/>
    </row>
    <row r="422" spans="21:27">
      <c r="U422" s="236"/>
      <c r="V422" s="236"/>
      <c r="W422" s="236"/>
      <c r="X422" s="236"/>
      <c r="Y422" s="236"/>
      <c r="Z422" s="236"/>
      <c r="AA422" s="236"/>
    </row>
    <row r="423" spans="21:27">
      <c r="U423" s="236"/>
      <c r="V423" s="236"/>
      <c r="W423" s="236"/>
      <c r="X423" s="236"/>
      <c r="Y423" s="236"/>
      <c r="Z423" s="236"/>
      <c r="AA423" s="236"/>
    </row>
    <row r="424" spans="21:27">
      <c r="U424" s="236"/>
      <c r="V424" s="236"/>
      <c r="W424" s="236"/>
      <c r="X424" s="236"/>
      <c r="Y424" s="236"/>
      <c r="Z424" s="236"/>
      <c r="AA424" s="236"/>
    </row>
    <row r="425" spans="21:27">
      <c r="U425" s="236"/>
      <c r="V425" s="236"/>
      <c r="W425" s="236"/>
      <c r="X425" s="236"/>
      <c r="Y425" s="236"/>
      <c r="Z425" s="236"/>
      <c r="AA425" s="236"/>
    </row>
    <row r="426" spans="21:27">
      <c r="U426" s="236"/>
      <c r="V426" s="236"/>
      <c r="W426" s="236"/>
      <c r="X426" s="236"/>
      <c r="Y426" s="236"/>
      <c r="Z426" s="236"/>
      <c r="AA426" s="236"/>
    </row>
    <row r="427" spans="21:27">
      <c r="U427" s="236"/>
      <c r="V427" s="236"/>
      <c r="W427" s="236"/>
      <c r="X427" s="236"/>
      <c r="Y427" s="236"/>
      <c r="Z427" s="236"/>
      <c r="AA427" s="236"/>
    </row>
    <row r="428" spans="21:27">
      <c r="U428" s="236"/>
      <c r="V428" s="236"/>
      <c r="W428" s="236"/>
      <c r="X428" s="236"/>
      <c r="Y428" s="236"/>
      <c r="Z428" s="236"/>
      <c r="AA428" s="236"/>
    </row>
    <row r="429" spans="21:27">
      <c r="U429" s="236"/>
      <c r="V429" s="236"/>
      <c r="W429" s="236"/>
      <c r="X429" s="236"/>
      <c r="Y429" s="236"/>
      <c r="Z429" s="236"/>
      <c r="AA429" s="236"/>
    </row>
    <row r="430" spans="21:27">
      <c r="U430" s="236"/>
      <c r="V430" s="236"/>
      <c r="W430" s="236"/>
      <c r="X430" s="236"/>
      <c r="Y430" s="236"/>
      <c r="Z430" s="236"/>
      <c r="AA430" s="236"/>
    </row>
    <row r="431" spans="21:27">
      <c r="U431" s="236"/>
      <c r="V431" s="236"/>
      <c r="W431" s="236"/>
      <c r="X431" s="236"/>
      <c r="Y431" s="236"/>
      <c r="Z431" s="236"/>
      <c r="AA431" s="236"/>
    </row>
    <row r="432" spans="21:27">
      <c r="U432" s="236"/>
      <c r="V432" s="236"/>
      <c r="W432" s="236"/>
      <c r="X432" s="236"/>
      <c r="Y432" s="236"/>
      <c r="Z432" s="236"/>
      <c r="AA432" s="236"/>
    </row>
    <row r="433" spans="21:27">
      <c r="U433" s="236"/>
      <c r="V433" s="236"/>
      <c r="W433" s="236"/>
      <c r="X433" s="236"/>
      <c r="Y433" s="236"/>
      <c r="Z433" s="236"/>
      <c r="AA433" s="236"/>
    </row>
    <row r="434" spans="21:27">
      <c r="U434" s="236"/>
      <c r="V434" s="236"/>
      <c r="W434" s="236"/>
      <c r="X434" s="236"/>
      <c r="Y434" s="236"/>
      <c r="Z434" s="236"/>
      <c r="AA434" s="236"/>
    </row>
    <row r="435" spans="21:27">
      <c r="U435" s="236"/>
      <c r="V435" s="236"/>
      <c r="W435" s="236"/>
      <c r="X435" s="236"/>
      <c r="Y435" s="236"/>
      <c r="Z435" s="236"/>
      <c r="AA435" s="236"/>
    </row>
    <row r="436" spans="21:27">
      <c r="U436" s="236"/>
      <c r="V436" s="236"/>
      <c r="W436" s="236"/>
      <c r="X436" s="236"/>
      <c r="Y436" s="236"/>
      <c r="Z436" s="236"/>
      <c r="AA436" s="236"/>
    </row>
    <row r="437" spans="21:27">
      <c r="U437" s="236"/>
      <c r="V437" s="236"/>
      <c r="W437" s="236"/>
      <c r="X437" s="236"/>
      <c r="Y437" s="236"/>
      <c r="Z437" s="236"/>
      <c r="AA437" s="236"/>
    </row>
    <row r="438" spans="21:27">
      <c r="U438" s="236"/>
      <c r="V438" s="236"/>
      <c r="W438" s="236"/>
      <c r="X438" s="236"/>
      <c r="Y438" s="236"/>
      <c r="Z438" s="236"/>
      <c r="AA438" s="236"/>
    </row>
    <row r="439" spans="21:27">
      <c r="U439" s="236"/>
      <c r="V439" s="236"/>
      <c r="W439" s="236"/>
      <c r="X439" s="236"/>
      <c r="Y439" s="236"/>
      <c r="Z439" s="236"/>
      <c r="AA439" s="236"/>
    </row>
    <row r="440" spans="21:27">
      <c r="U440" s="236"/>
      <c r="V440" s="236"/>
      <c r="W440" s="236"/>
      <c r="X440" s="236"/>
      <c r="Y440" s="236"/>
      <c r="Z440" s="236"/>
      <c r="AA440" s="236"/>
    </row>
    <row r="441" spans="21:27">
      <c r="U441" s="236"/>
      <c r="V441" s="236"/>
      <c r="W441" s="236"/>
      <c r="X441" s="236"/>
      <c r="Y441" s="236"/>
      <c r="Z441" s="236"/>
      <c r="AA441" s="236"/>
    </row>
    <row r="442" spans="21:27">
      <c r="U442" s="236"/>
      <c r="V442" s="236"/>
      <c r="W442" s="236"/>
      <c r="X442" s="236"/>
      <c r="Y442" s="236"/>
      <c r="Z442" s="236"/>
      <c r="AA442" s="236"/>
    </row>
    <row r="443" spans="21:27">
      <c r="U443" s="236"/>
      <c r="V443" s="236"/>
      <c r="W443" s="236"/>
      <c r="X443" s="236"/>
      <c r="Y443" s="236"/>
      <c r="Z443" s="236"/>
      <c r="AA443" s="236"/>
    </row>
    <row r="444" spans="21:27">
      <c r="U444" s="236"/>
      <c r="V444" s="236"/>
      <c r="W444" s="236"/>
      <c r="X444" s="236"/>
      <c r="Y444" s="236"/>
      <c r="Z444" s="236"/>
      <c r="AA444" s="236"/>
    </row>
    <row r="445" spans="21:27">
      <c r="U445" s="236"/>
      <c r="V445" s="236"/>
      <c r="W445" s="236"/>
      <c r="X445" s="236"/>
      <c r="Y445" s="236"/>
      <c r="Z445" s="236"/>
      <c r="AA445" s="236"/>
    </row>
    <row r="446" spans="21:27">
      <c r="U446" s="236"/>
      <c r="V446" s="236"/>
      <c r="W446" s="236"/>
      <c r="X446" s="236"/>
      <c r="Y446" s="236"/>
      <c r="Z446" s="236"/>
      <c r="AA446" s="236"/>
    </row>
    <row r="447" spans="21:27">
      <c r="U447" s="236"/>
      <c r="V447" s="236"/>
      <c r="W447" s="236"/>
      <c r="X447" s="236"/>
      <c r="Y447" s="236"/>
      <c r="Z447" s="236"/>
      <c r="AA447" s="236"/>
    </row>
    <row r="448" spans="21:27">
      <c r="U448" s="236"/>
      <c r="V448" s="236"/>
      <c r="W448" s="236"/>
      <c r="X448" s="236"/>
      <c r="Y448" s="236"/>
      <c r="Z448" s="236"/>
      <c r="AA448" s="236"/>
    </row>
    <row r="449" spans="21:27">
      <c r="U449" s="236"/>
      <c r="V449" s="236"/>
      <c r="W449" s="236"/>
      <c r="X449" s="236"/>
      <c r="Y449" s="236"/>
      <c r="Z449" s="236"/>
      <c r="AA449" s="236"/>
    </row>
    <row r="450" spans="21:27">
      <c r="U450" s="236"/>
      <c r="V450" s="236"/>
      <c r="W450" s="236"/>
      <c r="X450" s="236"/>
      <c r="Y450" s="236"/>
      <c r="Z450" s="236"/>
      <c r="AA450" s="236"/>
    </row>
    <row r="451" spans="21:27">
      <c r="U451" s="236"/>
      <c r="V451" s="236"/>
      <c r="W451" s="236"/>
      <c r="X451" s="236"/>
      <c r="Y451" s="236"/>
      <c r="Z451" s="236"/>
      <c r="AA451" s="236"/>
    </row>
    <row r="452" spans="21:27">
      <c r="U452" s="236"/>
      <c r="V452" s="236"/>
      <c r="W452" s="236"/>
      <c r="X452" s="236"/>
      <c r="Y452" s="236"/>
      <c r="Z452" s="236"/>
      <c r="AA452" s="236"/>
    </row>
    <row r="453" spans="21:27">
      <c r="U453" s="236"/>
      <c r="V453" s="236"/>
      <c r="W453" s="236"/>
      <c r="X453" s="236"/>
      <c r="Y453" s="236"/>
      <c r="Z453" s="236"/>
      <c r="AA453" s="236"/>
    </row>
    <row r="454" spans="21:27">
      <c r="U454" s="236"/>
      <c r="V454" s="236"/>
      <c r="W454" s="236"/>
      <c r="X454" s="236"/>
      <c r="Y454" s="236"/>
      <c r="Z454" s="236"/>
      <c r="AA454" s="236"/>
    </row>
    <row r="455" spans="21:27">
      <c r="U455" s="236"/>
      <c r="V455" s="236"/>
      <c r="W455" s="236"/>
      <c r="X455" s="236"/>
      <c r="Y455" s="236"/>
      <c r="Z455" s="236"/>
      <c r="AA455" s="236"/>
    </row>
    <row r="456" spans="21:27">
      <c r="U456" s="236"/>
      <c r="V456" s="236"/>
      <c r="W456" s="236"/>
      <c r="X456" s="236"/>
      <c r="Y456" s="236"/>
      <c r="Z456" s="236"/>
      <c r="AA456" s="236"/>
    </row>
    <row r="457" spans="21:27">
      <c r="U457" s="236"/>
      <c r="V457" s="236"/>
      <c r="W457" s="236"/>
      <c r="X457" s="236"/>
      <c r="Y457" s="236"/>
      <c r="Z457" s="236"/>
      <c r="AA457" s="236"/>
    </row>
    <row r="458" spans="21:27">
      <c r="U458" s="236"/>
      <c r="V458" s="236"/>
      <c r="W458" s="236"/>
      <c r="X458" s="236"/>
      <c r="Y458" s="236"/>
      <c r="Z458" s="236"/>
      <c r="AA458" s="236"/>
    </row>
    <row r="459" spans="21:27">
      <c r="U459" s="236"/>
      <c r="V459" s="236"/>
      <c r="W459" s="236"/>
      <c r="X459" s="236"/>
      <c r="Y459" s="236"/>
      <c r="Z459" s="236"/>
      <c r="AA459" s="236"/>
    </row>
    <row r="460" spans="21:27">
      <c r="U460" s="236"/>
      <c r="V460" s="236"/>
      <c r="W460" s="236"/>
      <c r="X460" s="236"/>
      <c r="Y460" s="236"/>
      <c r="Z460" s="236"/>
      <c r="AA460" s="236"/>
    </row>
    <row r="461" spans="21:27">
      <c r="U461" s="236"/>
      <c r="V461" s="236"/>
      <c r="W461" s="236"/>
      <c r="X461" s="236"/>
      <c r="Y461" s="236"/>
      <c r="Z461" s="236"/>
      <c r="AA461" s="236"/>
    </row>
    <row r="462" spans="21:27">
      <c r="U462" s="236"/>
      <c r="V462" s="236"/>
      <c r="W462" s="236"/>
      <c r="X462" s="236"/>
      <c r="Y462" s="236"/>
      <c r="Z462" s="236"/>
      <c r="AA462" s="236"/>
    </row>
    <row r="463" spans="21:27">
      <c r="U463" s="236"/>
      <c r="V463" s="236"/>
      <c r="W463" s="236"/>
      <c r="X463" s="236"/>
      <c r="Y463" s="236"/>
      <c r="Z463" s="236"/>
      <c r="AA463" s="236"/>
    </row>
    <row r="464" spans="21:27">
      <c r="U464" s="236"/>
      <c r="V464" s="236"/>
      <c r="W464" s="236"/>
      <c r="X464" s="236"/>
      <c r="Y464" s="236"/>
      <c r="Z464" s="236"/>
      <c r="AA464" s="236"/>
    </row>
    <row r="465" spans="21:27">
      <c r="U465" s="236"/>
      <c r="V465" s="236"/>
      <c r="W465" s="236"/>
      <c r="X465" s="236"/>
      <c r="Y465" s="236"/>
      <c r="Z465" s="236"/>
      <c r="AA465" s="236"/>
    </row>
    <row r="466" spans="21:27">
      <c r="U466" s="236"/>
      <c r="V466" s="236"/>
      <c r="W466" s="236"/>
      <c r="X466" s="236"/>
      <c r="Y466" s="236"/>
      <c r="Z466" s="236"/>
      <c r="AA466" s="236"/>
    </row>
    <row r="467" spans="21:27">
      <c r="U467" s="236"/>
      <c r="V467" s="236"/>
      <c r="W467" s="236"/>
      <c r="X467" s="236"/>
      <c r="Y467" s="236"/>
      <c r="Z467" s="236"/>
      <c r="AA467" s="236"/>
    </row>
    <row r="468" spans="21:27">
      <c r="U468" s="236"/>
      <c r="V468" s="236"/>
      <c r="W468" s="236"/>
      <c r="X468" s="236"/>
      <c r="Y468" s="236"/>
      <c r="Z468" s="236"/>
      <c r="AA468" s="236"/>
    </row>
    <row r="469" spans="21:27">
      <c r="U469" s="236"/>
      <c r="V469" s="236"/>
      <c r="W469" s="236"/>
      <c r="X469" s="236"/>
      <c r="Y469" s="236"/>
      <c r="Z469" s="236"/>
      <c r="AA469" s="236"/>
    </row>
    <row r="470" spans="21:27">
      <c r="U470" s="236"/>
      <c r="V470" s="236"/>
      <c r="W470" s="236"/>
      <c r="X470" s="236"/>
      <c r="Y470" s="236"/>
      <c r="Z470" s="236"/>
      <c r="AA470" s="236"/>
    </row>
    <row r="471" spans="21:27">
      <c r="U471" s="236"/>
      <c r="V471" s="236"/>
      <c r="W471" s="236"/>
      <c r="X471" s="236"/>
      <c r="Y471" s="236"/>
      <c r="Z471" s="236"/>
      <c r="AA471" s="236"/>
    </row>
    <row r="472" spans="21:27">
      <c r="U472" s="236"/>
      <c r="V472" s="236"/>
      <c r="W472" s="236"/>
      <c r="X472" s="236"/>
      <c r="Y472" s="236"/>
      <c r="Z472" s="236"/>
      <c r="AA472" s="236"/>
    </row>
    <row r="473" spans="21:27">
      <c r="U473" s="236"/>
      <c r="V473" s="236"/>
      <c r="W473" s="236"/>
      <c r="X473" s="236"/>
      <c r="Y473" s="236"/>
      <c r="Z473" s="236"/>
      <c r="AA473" s="236"/>
    </row>
    <row r="474" spans="21:27">
      <c r="U474" s="236"/>
      <c r="V474" s="236"/>
      <c r="W474" s="236"/>
      <c r="X474" s="236"/>
      <c r="Y474" s="236"/>
      <c r="Z474" s="236"/>
      <c r="AA474" s="236"/>
    </row>
    <row r="475" spans="21:27">
      <c r="U475" s="236"/>
      <c r="V475" s="236"/>
      <c r="W475" s="236"/>
      <c r="X475" s="236"/>
      <c r="Y475" s="236"/>
      <c r="Z475" s="236"/>
      <c r="AA475" s="236"/>
    </row>
    <row r="476" spans="21:27">
      <c r="U476" s="236"/>
      <c r="V476" s="236"/>
      <c r="W476" s="236"/>
      <c r="X476" s="236"/>
      <c r="Y476" s="236"/>
      <c r="Z476" s="236"/>
      <c r="AA476" s="236"/>
    </row>
    <row r="477" spans="21:27">
      <c r="U477" s="236"/>
      <c r="V477" s="236"/>
      <c r="W477" s="236"/>
      <c r="X477" s="236"/>
      <c r="Y477" s="236"/>
      <c r="Z477" s="236"/>
      <c r="AA477" s="236"/>
    </row>
    <row r="478" spans="21:27">
      <c r="U478" s="236"/>
      <c r="V478" s="236"/>
      <c r="W478" s="236"/>
      <c r="X478" s="236"/>
      <c r="Y478" s="236"/>
      <c r="Z478" s="236"/>
      <c r="AA478" s="236"/>
    </row>
    <row r="479" spans="21:27">
      <c r="U479" s="236"/>
      <c r="V479" s="236"/>
      <c r="W479" s="236"/>
      <c r="X479" s="236"/>
      <c r="Y479" s="236"/>
      <c r="Z479" s="236"/>
      <c r="AA479" s="236"/>
    </row>
    <row r="480" spans="21:27">
      <c r="U480" s="236"/>
      <c r="V480" s="236"/>
      <c r="W480" s="236"/>
      <c r="X480" s="236"/>
      <c r="Y480" s="236"/>
      <c r="Z480" s="236"/>
      <c r="AA480" s="236"/>
    </row>
    <row r="481" spans="21:27">
      <c r="U481" s="236"/>
      <c r="V481" s="236"/>
      <c r="W481" s="236"/>
      <c r="X481" s="236"/>
      <c r="Y481" s="236"/>
      <c r="Z481" s="236"/>
      <c r="AA481" s="236"/>
    </row>
    <row r="482" spans="21:27">
      <c r="U482" s="236"/>
      <c r="V482" s="236"/>
      <c r="W482" s="236"/>
      <c r="X482" s="236"/>
      <c r="Y482" s="236"/>
      <c r="Z482" s="236"/>
      <c r="AA482" s="236"/>
    </row>
    <row r="483" spans="21:27">
      <c r="U483" s="236"/>
      <c r="V483" s="236"/>
      <c r="W483" s="236"/>
      <c r="X483" s="236"/>
      <c r="Y483" s="236"/>
      <c r="Z483" s="236"/>
      <c r="AA483" s="236"/>
    </row>
    <row r="484" spans="21:27">
      <c r="U484" s="236"/>
      <c r="V484" s="236"/>
      <c r="W484" s="236"/>
      <c r="X484" s="236"/>
      <c r="Y484" s="236"/>
      <c r="Z484" s="236"/>
      <c r="AA484" s="236"/>
    </row>
    <row r="485" spans="21:27">
      <c r="U485" s="236"/>
      <c r="V485" s="236"/>
      <c r="W485" s="236"/>
      <c r="X485" s="236"/>
      <c r="Y485" s="236"/>
      <c r="Z485" s="236"/>
      <c r="AA485" s="236"/>
    </row>
    <row r="486" spans="21:27">
      <c r="U486" s="236"/>
      <c r="V486" s="236"/>
      <c r="W486" s="236"/>
      <c r="X486" s="236"/>
      <c r="Y486" s="236"/>
      <c r="Z486" s="236"/>
      <c r="AA486" s="236"/>
    </row>
    <row r="487" spans="21:27">
      <c r="U487" s="236"/>
      <c r="V487" s="236"/>
      <c r="W487" s="236"/>
      <c r="X487" s="236"/>
      <c r="Y487" s="236"/>
      <c r="Z487" s="236"/>
      <c r="AA487" s="236"/>
    </row>
    <row r="488" spans="21:27">
      <c r="U488" s="236"/>
      <c r="V488" s="236"/>
      <c r="W488" s="236"/>
      <c r="X488" s="236"/>
      <c r="Y488" s="236"/>
      <c r="Z488" s="236"/>
      <c r="AA488" s="236"/>
    </row>
    <row r="489" spans="21:27">
      <c r="U489" s="236"/>
      <c r="V489" s="236"/>
      <c r="W489" s="236"/>
      <c r="X489" s="236"/>
      <c r="Y489" s="236"/>
      <c r="Z489" s="236"/>
      <c r="AA489" s="236"/>
    </row>
    <row r="490" spans="21:27">
      <c r="U490" s="236"/>
      <c r="V490" s="236"/>
      <c r="W490" s="236"/>
      <c r="X490" s="236"/>
      <c r="Y490" s="236"/>
      <c r="Z490" s="236"/>
      <c r="AA490" s="236"/>
    </row>
    <row r="491" spans="21:27">
      <c r="U491" s="236"/>
      <c r="V491" s="236"/>
      <c r="W491" s="236"/>
      <c r="X491" s="236"/>
      <c r="Y491" s="236"/>
      <c r="Z491" s="236"/>
      <c r="AA491" s="236"/>
    </row>
  </sheetData>
  <mergeCells count="6">
    <mergeCell ref="AC65:AG67"/>
    <mergeCell ref="J21:K21"/>
    <mergeCell ref="F108:F109"/>
    <mergeCell ref="G108:G109"/>
    <mergeCell ref="H108:H109"/>
    <mergeCell ref="I108:I109"/>
  </mergeCells>
  <conditionalFormatting sqref="I33">
    <cfRule type="iconSet" priority="96">
      <iconSet iconSet="3Arrows">
        <cfvo type="percent" val="0"/>
        <cfvo type="num" val="0"/>
        <cfvo type="num" val="0"/>
      </iconSet>
    </cfRule>
  </conditionalFormatting>
  <conditionalFormatting sqref="I42">
    <cfRule type="iconSet" priority="48">
      <iconSet iconSet="3Arrows">
        <cfvo type="percent" val="0"/>
        <cfvo type="num" val="0"/>
        <cfvo type="num" val="0"/>
      </iconSet>
    </cfRule>
  </conditionalFormatting>
  <conditionalFormatting sqref="I52">
    <cfRule type="iconSet" priority="42">
      <iconSet iconSet="3Arrows">
        <cfvo type="percent" val="0"/>
        <cfvo type="num" val="0"/>
        <cfvo type="num" val="0"/>
      </iconSet>
    </cfRule>
  </conditionalFormatting>
  <conditionalFormatting sqref="I60">
    <cfRule type="iconSet" priority="36">
      <iconSet iconSet="3Arrows">
        <cfvo type="percent" val="0"/>
        <cfvo type="num" val="0"/>
        <cfvo type="num" val="0"/>
      </iconSet>
    </cfRule>
  </conditionalFormatting>
  <conditionalFormatting sqref="I68">
    <cfRule type="iconSet" priority="30">
      <iconSet iconSet="3Arrows">
        <cfvo type="percent" val="0"/>
        <cfvo type="num" val="0"/>
        <cfvo type="num" val="0"/>
      </iconSet>
    </cfRule>
  </conditionalFormatting>
  <conditionalFormatting sqref="I76">
    <cfRule type="iconSet" priority="24">
      <iconSet iconSet="3Arrows">
        <cfvo type="percent" val="0"/>
        <cfvo type="num" val="0"/>
        <cfvo type="num" val="0"/>
      </iconSet>
    </cfRule>
  </conditionalFormatting>
  <conditionalFormatting sqref="I83">
    <cfRule type="iconSet" priority="18">
      <iconSet iconSet="3Arrows">
        <cfvo type="percent" val="0"/>
        <cfvo type="num" val="0"/>
        <cfvo type="num" val="0"/>
      </iconSet>
    </cfRule>
  </conditionalFormatting>
  <conditionalFormatting sqref="I90">
    <cfRule type="iconSet" priority="12">
      <iconSet iconSet="3Arrows">
        <cfvo type="percent" val="0"/>
        <cfvo type="num" val="0"/>
        <cfvo type="num" val="0"/>
      </iconSet>
    </cfRule>
  </conditionalFormatting>
  <conditionalFormatting sqref="I97">
    <cfRule type="iconSet" priority="6">
      <iconSet iconSet="3Arrows">
        <cfvo type="percent" val="0"/>
        <cfvo type="num" val="0"/>
        <cfvo type="num" val="0"/>
      </iconSet>
    </cfRule>
  </conditionalFormatting>
  <conditionalFormatting sqref="I107">
    <cfRule type="iconSet" priority="56">
      <iconSet iconSet="3Arrows">
        <cfvo type="percent" val="0"/>
        <cfvo type="num" val="0"/>
        <cfvo type="num" val="0"/>
      </iconSet>
    </cfRule>
  </conditionalFormatting>
  <conditionalFormatting sqref="J25 I22:I24">
    <cfRule type="iconSet" priority="100">
      <iconSet iconSet="3Arrows">
        <cfvo type="percent" val="0"/>
        <cfvo type="num" val="0"/>
        <cfvo type="num" val="0"/>
      </iconSet>
    </cfRule>
  </conditionalFormatting>
  <conditionalFormatting sqref="J34">
    <cfRule type="iconSet" priority="52">
      <iconSet iconSet="3Arrows">
        <cfvo type="percent" val="0"/>
        <cfvo type="num" val="0"/>
        <cfvo type="num" val="0"/>
      </iconSet>
    </cfRule>
  </conditionalFormatting>
  <conditionalFormatting sqref="J43">
    <cfRule type="iconSet" priority="46">
      <iconSet iconSet="3Arrows">
        <cfvo type="percent" val="0"/>
        <cfvo type="num" val="0"/>
        <cfvo type="num" val="0"/>
      </iconSet>
    </cfRule>
  </conditionalFormatting>
  <conditionalFormatting sqref="J53">
    <cfRule type="iconSet" priority="40">
      <iconSet iconSet="3Arrows">
        <cfvo type="percent" val="0"/>
        <cfvo type="num" val="0"/>
        <cfvo type="num" val="0"/>
      </iconSet>
    </cfRule>
  </conditionalFormatting>
  <conditionalFormatting sqref="J61">
    <cfRule type="iconSet" priority="34">
      <iconSet iconSet="3Arrows">
        <cfvo type="percent" val="0"/>
        <cfvo type="num" val="0"/>
        <cfvo type="num" val="0"/>
      </iconSet>
    </cfRule>
  </conditionalFormatting>
  <conditionalFormatting sqref="J69">
    <cfRule type="iconSet" priority="28">
      <iconSet iconSet="3Arrows">
        <cfvo type="percent" val="0"/>
        <cfvo type="num" val="0"/>
        <cfvo type="num" val="0"/>
      </iconSet>
    </cfRule>
  </conditionalFormatting>
  <conditionalFormatting sqref="J77">
    <cfRule type="iconSet" priority="22">
      <iconSet iconSet="3Arrows">
        <cfvo type="percent" val="0"/>
        <cfvo type="num" val="0"/>
        <cfvo type="num" val="0"/>
      </iconSet>
    </cfRule>
  </conditionalFormatting>
  <conditionalFormatting sqref="J84">
    <cfRule type="iconSet" priority="16">
      <iconSet iconSet="3Arrows">
        <cfvo type="percent" val="0"/>
        <cfvo type="num" val="0"/>
        <cfvo type="num" val="0"/>
      </iconSet>
    </cfRule>
  </conditionalFormatting>
  <conditionalFormatting sqref="J91">
    <cfRule type="iconSet" priority="10">
      <iconSet iconSet="3Arrows">
        <cfvo type="percent" val="0"/>
        <cfvo type="num" val="0"/>
        <cfvo type="num" val="0"/>
      </iconSet>
    </cfRule>
  </conditionalFormatting>
  <conditionalFormatting sqref="J98">
    <cfRule type="iconSet" priority="4">
      <iconSet iconSet="3Arrows">
        <cfvo type="percent" val="0"/>
        <cfvo type="num" val="0"/>
        <cfvo type="num" val="0"/>
      </iconSet>
    </cfRule>
  </conditionalFormatting>
  <conditionalFormatting sqref="K33">
    <cfRule type="iconSet" priority="95">
      <iconSet iconSet="3Arrows">
        <cfvo type="percent" val="0"/>
        <cfvo type="num" val="0"/>
        <cfvo type="num" val="0"/>
      </iconSet>
    </cfRule>
  </conditionalFormatting>
  <conditionalFormatting sqref="K42">
    <cfRule type="iconSet" priority="47">
      <iconSet iconSet="3Arrows">
        <cfvo type="percent" val="0"/>
        <cfvo type="num" val="0"/>
        <cfvo type="num" val="0"/>
      </iconSet>
    </cfRule>
  </conditionalFormatting>
  <conditionalFormatting sqref="K52">
    <cfRule type="iconSet" priority="41">
      <iconSet iconSet="3Arrows">
        <cfvo type="percent" val="0"/>
        <cfvo type="num" val="0"/>
        <cfvo type="num" val="0"/>
      </iconSet>
    </cfRule>
  </conditionalFormatting>
  <conditionalFormatting sqref="K60">
    <cfRule type="iconSet" priority="35">
      <iconSet iconSet="3Arrows">
        <cfvo type="percent" val="0"/>
        <cfvo type="num" val="0"/>
        <cfvo type="num" val="0"/>
      </iconSet>
    </cfRule>
  </conditionalFormatting>
  <conditionalFormatting sqref="K68">
    <cfRule type="iconSet" priority="29">
      <iconSet iconSet="3Arrows">
        <cfvo type="percent" val="0"/>
        <cfvo type="num" val="0"/>
        <cfvo type="num" val="0"/>
      </iconSet>
    </cfRule>
  </conditionalFormatting>
  <conditionalFormatting sqref="K76">
    <cfRule type="iconSet" priority="23">
      <iconSet iconSet="3Arrows">
        <cfvo type="percent" val="0"/>
        <cfvo type="num" val="0"/>
        <cfvo type="num" val="0"/>
      </iconSet>
    </cfRule>
  </conditionalFormatting>
  <conditionalFormatting sqref="K83">
    <cfRule type="iconSet" priority="17">
      <iconSet iconSet="3Arrows">
        <cfvo type="percent" val="0"/>
        <cfvo type="num" val="0"/>
        <cfvo type="num" val="0"/>
      </iconSet>
    </cfRule>
  </conditionalFormatting>
  <conditionalFormatting sqref="K90">
    <cfRule type="iconSet" priority="11">
      <iconSet iconSet="3Arrows">
        <cfvo type="percent" val="0"/>
        <cfvo type="num" val="0"/>
        <cfvo type="num" val="0"/>
      </iconSet>
    </cfRule>
  </conditionalFormatting>
  <conditionalFormatting sqref="K97">
    <cfRule type="iconSet" priority="5">
      <iconSet iconSet="3Arrows">
        <cfvo type="percent" val="0"/>
        <cfvo type="num" val="0"/>
        <cfvo type="num" val="0"/>
      </iconSet>
    </cfRule>
  </conditionalFormatting>
  <conditionalFormatting sqref="L25 K22:K24">
    <cfRule type="iconSet" priority="99">
      <iconSet iconSet="3Arrows">
        <cfvo type="percent" val="0"/>
        <cfvo type="num" val="0"/>
        <cfvo type="num" val="0"/>
      </iconSet>
    </cfRule>
  </conditionalFormatting>
  <conditionalFormatting sqref="L34">
    <cfRule type="iconSet" priority="51">
      <iconSet iconSet="3Arrows">
        <cfvo type="percent" val="0"/>
        <cfvo type="num" val="0"/>
        <cfvo type="num" val="0"/>
      </iconSet>
    </cfRule>
  </conditionalFormatting>
  <conditionalFormatting sqref="L35">
    <cfRule type="containsText" dxfId="118" priority="49" operator="containsText" text="Lower than competition">
      <formula>NOT(ISERROR(SEARCH("Lower than competition",L35)))</formula>
    </cfRule>
    <cfRule type="containsText" dxfId="117" priority="50" operator="containsText" text="Better than competition">
      <formula>NOT(ISERROR(SEARCH("Better than competition",L35)))</formula>
    </cfRule>
  </conditionalFormatting>
  <conditionalFormatting sqref="L43">
    <cfRule type="iconSet" priority="45">
      <iconSet iconSet="3Arrows">
        <cfvo type="percent" val="0"/>
        <cfvo type="num" val="0"/>
        <cfvo type="num" val="0"/>
      </iconSet>
    </cfRule>
  </conditionalFormatting>
  <conditionalFormatting sqref="L44">
    <cfRule type="containsText" dxfId="116" priority="43" operator="containsText" text="Lower than competition">
      <formula>NOT(ISERROR(SEARCH("Lower than competition",L44)))</formula>
    </cfRule>
    <cfRule type="containsText" dxfId="115" priority="44" operator="containsText" text="Better than competition">
      <formula>NOT(ISERROR(SEARCH("Better than competition",L44)))</formula>
    </cfRule>
  </conditionalFormatting>
  <conditionalFormatting sqref="L53">
    <cfRule type="iconSet" priority="39">
      <iconSet iconSet="3Arrows">
        <cfvo type="percent" val="0"/>
        <cfvo type="num" val="0"/>
        <cfvo type="num" val="0"/>
      </iconSet>
    </cfRule>
  </conditionalFormatting>
  <conditionalFormatting sqref="L54">
    <cfRule type="containsText" dxfId="114" priority="37" operator="containsText" text="Lower than competition">
      <formula>NOT(ISERROR(SEARCH("Lower than competition",L54)))</formula>
    </cfRule>
    <cfRule type="containsText" dxfId="113" priority="38" operator="containsText" text="Better than competition">
      <formula>NOT(ISERROR(SEARCH("Better than competition",L54)))</formula>
    </cfRule>
  </conditionalFormatting>
  <conditionalFormatting sqref="L59">
    <cfRule type="containsText" dxfId="112" priority="81" operator="containsText" text="Lower than competition">
      <formula>NOT(ISERROR(SEARCH("Lower than competition",L59)))</formula>
    </cfRule>
    <cfRule type="containsText" dxfId="111" priority="82" operator="containsText" text="Better than competition">
      <formula>NOT(ISERROR(SEARCH("Better than competition",L59)))</formula>
    </cfRule>
  </conditionalFormatting>
  <conditionalFormatting sqref="L61">
    <cfRule type="iconSet" priority="33">
      <iconSet iconSet="3Arrows">
        <cfvo type="percent" val="0"/>
        <cfvo type="num" val="0"/>
        <cfvo type="num" val="0"/>
      </iconSet>
    </cfRule>
  </conditionalFormatting>
  <conditionalFormatting sqref="L62">
    <cfRule type="containsText" dxfId="110" priority="31" operator="containsText" text="Lower than competition">
      <formula>NOT(ISERROR(SEARCH("Lower than competition",L62)))</formula>
    </cfRule>
    <cfRule type="containsText" dxfId="109" priority="32" operator="containsText" text="Better than competition">
      <formula>NOT(ISERROR(SEARCH("Better than competition",L62)))</formula>
    </cfRule>
  </conditionalFormatting>
  <conditionalFormatting sqref="L69">
    <cfRule type="iconSet" priority="27">
      <iconSet iconSet="3Arrows">
        <cfvo type="percent" val="0"/>
        <cfvo type="num" val="0"/>
        <cfvo type="num" val="0"/>
      </iconSet>
    </cfRule>
  </conditionalFormatting>
  <conditionalFormatting sqref="L70">
    <cfRule type="containsText" dxfId="108" priority="25" operator="containsText" text="Lower than competition">
      <formula>NOT(ISERROR(SEARCH("Lower than competition",L70)))</formula>
    </cfRule>
    <cfRule type="containsText" dxfId="107" priority="26" operator="containsText" text="Better than competition">
      <formula>NOT(ISERROR(SEARCH("Better than competition",L70)))</formula>
    </cfRule>
  </conditionalFormatting>
  <conditionalFormatting sqref="L77">
    <cfRule type="iconSet" priority="21">
      <iconSet iconSet="3Arrows">
        <cfvo type="percent" val="0"/>
        <cfvo type="num" val="0"/>
        <cfvo type="num" val="0"/>
      </iconSet>
    </cfRule>
  </conditionalFormatting>
  <conditionalFormatting sqref="L78">
    <cfRule type="containsText" dxfId="106" priority="19" operator="containsText" text="Lower than competition">
      <formula>NOT(ISERROR(SEARCH("Lower than competition",L78)))</formula>
    </cfRule>
    <cfRule type="containsText" dxfId="105" priority="20" operator="containsText" text="Better than competition">
      <formula>NOT(ISERROR(SEARCH("Better than competition",L78)))</formula>
    </cfRule>
  </conditionalFormatting>
  <conditionalFormatting sqref="L84">
    <cfRule type="iconSet" priority="15">
      <iconSet iconSet="3Arrows">
        <cfvo type="percent" val="0"/>
        <cfvo type="num" val="0"/>
        <cfvo type="num" val="0"/>
      </iconSet>
    </cfRule>
  </conditionalFormatting>
  <conditionalFormatting sqref="L85">
    <cfRule type="containsText" dxfId="104" priority="13" operator="containsText" text="Lower than competition">
      <formula>NOT(ISERROR(SEARCH("Lower than competition",L85)))</formula>
    </cfRule>
    <cfRule type="containsText" dxfId="103" priority="14" operator="containsText" text="Better than competition">
      <formula>NOT(ISERROR(SEARCH("Better than competition",L85)))</formula>
    </cfRule>
  </conditionalFormatting>
  <conditionalFormatting sqref="L91">
    <cfRule type="iconSet" priority="9">
      <iconSet iconSet="3Arrows">
        <cfvo type="percent" val="0"/>
        <cfvo type="num" val="0"/>
        <cfvo type="num" val="0"/>
      </iconSet>
    </cfRule>
  </conditionalFormatting>
  <conditionalFormatting sqref="L92">
    <cfRule type="containsText" dxfId="102" priority="7" operator="containsText" text="Lower than competition">
      <formula>NOT(ISERROR(SEARCH("Lower than competition",L92)))</formula>
    </cfRule>
    <cfRule type="containsText" dxfId="101" priority="8" operator="containsText" text="Better than competition">
      <formula>NOT(ISERROR(SEARCH("Better than competition",L92)))</formula>
    </cfRule>
  </conditionalFormatting>
  <conditionalFormatting sqref="L98">
    <cfRule type="iconSet" priority="3">
      <iconSet iconSet="3Arrows">
        <cfvo type="percent" val="0"/>
        <cfvo type="num" val="0"/>
        <cfvo type="num" val="0"/>
      </iconSet>
    </cfRule>
  </conditionalFormatting>
  <conditionalFormatting sqref="L99">
    <cfRule type="containsText" dxfId="100" priority="1" operator="containsText" text="Lower than competition">
      <formula>NOT(ISERROR(SEARCH("Lower than competition",L99)))</formula>
    </cfRule>
    <cfRule type="containsText" dxfId="99" priority="2" operator="containsText" text="Better than competition">
      <formula>NOT(ISERROR(SEARCH("Better than competition",L99)))</formula>
    </cfRule>
  </conditionalFormatting>
  <conditionalFormatting sqref="L107">
    <cfRule type="iconSet" priority="55">
      <iconSet iconSet="3Arrows">
        <cfvo type="percent" val="0"/>
        <cfvo type="num" val="0"/>
        <cfvo type="num" val="0"/>
      </iconSet>
    </cfRule>
  </conditionalFormatting>
  <conditionalFormatting sqref="L108">
    <cfRule type="containsText" dxfId="98" priority="53" operator="containsText" text="Lower than competition">
      <formula>NOT(ISERROR(SEARCH("Lower than competition",L108)))</formula>
    </cfRule>
    <cfRule type="containsText" dxfId="97" priority="54" operator="containsText" text="Better than competition">
      <formula>NOT(ISERROR(SEARCH("Better than competition",L108)))</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86E81F0-0330-45EF-B189-2FD98B0FD01F}">
          <x14:formula1>
            <xm:f>Reference!$A$2:$A$13</xm:f>
          </x14:formula1>
          <xm:sqref>G17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5860F-1663-450E-9083-EC0520FB8217}">
  <sheetPr codeName="Sheet11">
    <tabColor theme="4" tint="0.79998168889431442"/>
  </sheetPr>
  <dimension ref="A1:AH498"/>
  <sheetViews>
    <sheetView showGridLines="0" topLeftCell="D1" zoomScale="85" zoomScaleNormal="85" workbookViewId="0">
      <selection activeCell="F85" sqref="F85"/>
    </sheetView>
  </sheetViews>
  <sheetFormatPr baseColWidth="10" defaultColWidth="8.83203125" defaultRowHeight="15"/>
  <cols>
    <col min="1" max="1" width="2.1640625" style="7" hidden="1" customWidth="1"/>
    <col min="2" max="2" width="33.1640625" style="7" hidden="1" customWidth="1"/>
    <col min="3" max="3" width="2.83203125" style="7" hidden="1" customWidth="1"/>
    <col min="4" max="5" width="2.1640625" style="236" customWidth="1"/>
    <col min="6" max="6" width="26.83203125" style="243" bestFit="1" customWidth="1"/>
    <col min="7" max="9" width="21.6640625" style="236" customWidth="1"/>
    <col min="10" max="10" width="11.5" style="236" customWidth="1"/>
    <col min="11" max="11" width="12.5" style="265" customWidth="1"/>
    <col min="12" max="12" width="21.1640625" style="236" customWidth="1"/>
    <col min="13" max="13" width="2.1640625" style="236" customWidth="1"/>
    <col min="14" max="14" width="2.6640625" style="236" customWidth="1"/>
    <col min="15" max="15" width="12" style="236" customWidth="1"/>
    <col min="16" max="16" width="9.5" style="236" bestFit="1" customWidth="1"/>
    <col min="17" max="17" width="13.1640625" style="236" bestFit="1" customWidth="1"/>
    <col min="18" max="18" width="4.5" style="236" customWidth="1"/>
    <col min="19" max="19" width="3.1640625" style="236" customWidth="1"/>
    <col min="20" max="20" width="26.1640625" style="236" customWidth="1"/>
    <col min="21" max="21" width="14.83203125" style="114" bestFit="1" customWidth="1"/>
    <col min="22" max="22" width="4.33203125" style="114" customWidth="1"/>
    <col min="23" max="23" width="13.6640625" style="114" bestFit="1" customWidth="1"/>
    <col min="24" max="24" width="8.83203125" style="114"/>
    <col min="25" max="25" width="5.83203125" style="114" customWidth="1"/>
    <col min="26" max="26" width="3.1640625" style="114" customWidth="1"/>
    <col min="27" max="27" width="9.1640625" style="114" customWidth="1"/>
    <col min="28" max="16384" width="8.83203125" style="114"/>
  </cols>
  <sheetData>
    <row r="1" spans="1:20">
      <c r="A1" s="114"/>
      <c r="B1" s="114"/>
      <c r="C1" s="114"/>
      <c r="D1" s="114"/>
      <c r="E1" s="114"/>
      <c r="F1" s="118"/>
      <c r="G1" s="114"/>
      <c r="H1" s="114"/>
      <c r="I1" s="114"/>
      <c r="J1" s="114"/>
      <c r="K1" s="264"/>
      <c r="L1" s="114"/>
      <c r="M1" s="114"/>
      <c r="N1" s="114"/>
      <c r="O1" s="114"/>
      <c r="P1" s="114"/>
      <c r="Q1" s="114"/>
      <c r="R1" s="114"/>
      <c r="S1" s="114"/>
      <c r="T1" s="114"/>
    </row>
    <row r="2" spans="1:20">
      <c r="A2" s="114"/>
      <c r="B2" s="114"/>
      <c r="C2" s="114"/>
      <c r="D2" s="114"/>
      <c r="E2" s="114"/>
      <c r="F2" s="118"/>
      <c r="G2" s="114"/>
      <c r="H2" s="114"/>
      <c r="I2" s="114"/>
      <c r="J2" s="114"/>
      <c r="K2" s="264"/>
      <c r="L2" s="114"/>
      <c r="M2" s="114"/>
      <c r="N2" s="114"/>
      <c r="O2" s="114"/>
      <c r="P2" s="114"/>
      <c r="Q2" s="114"/>
      <c r="R2" s="114"/>
      <c r="S2" s="114"/>
      <c r="T2" s="114"/>
    </row>
    <row r="3" spans="1:20">
      <c r="A3" s="114"/>
      <c r="B3" s="114"/>
      <c r="C3" s="114"/>
      <c r="D3" s="114"/>
      <c r="E3" s="114"/>
      <c r="F3" s="118"/>
      <c r="G3" s="114"/>
      <c r="H3" s="114"/>
      <c r="I3" s="114"/>
      <c r="J3" s="114"/>
      <c r="K3" s="264"/>
      <c r="L3" s="114"/>
      <c r="M3" s="114"/>
      <c r="N3" s="114"/>
      <c r="O3" s="114"/>
      <c r="P3" s="114"/>
      <c r="Q3" s="114"/>
      <c r="R3" s="114"/>
      <c r="S3" s="114"/>
      <c r="T3" s="114"/>
    </row>
    <row r="4" spans="1:20">
      <c r="A4" s="114"/>
      <c r="B4" s="114"/>
      <c r="C4" s="114"/>
      <c r="D4" s="114"/>
      <c r="E4" s="114"/>
      <c r="F4" s="118"/>
      <c r="G4" s="114"/>
      <c r="H4" s="114"/>
      <c r="I4" s="114"/>
      <c r="J4" s="114"/>
      <c r="K4" s="264"/>
      <c r="L4" s="114"/>
      <c r="M4" s="114"/>
      <c r="N4" s="114"/>
      <c r="O4" s="114"/>
      <c r="P4" s="114"/>
      <c r="Q4" s="114"/>
      <c r="R4" s="114"/>
      <c r="S4" s="114"/>
      <c r="T4" s="114"/>
    </row>
    <row r="5" spans="1:20">
      <c r="A5" s="114"/>
      <c r="B5" s="114"/>
      <c r="C5" s="114"/>
      <c r="D5" s="114"/>
      <c r="E5" s="114"/>
      <c r="F5" s="118"/>
      <c r="G5" s="114"/>
      <c r="H5" s="114"/>
      <c r="I5" s="114"/>
      <c r="J5" s="114"/>
      <c r="K5" s="264"/>
      <c r="L5" s="114"/>
      <c r="M5" s="114"/>
      <c r="N5" s="114"/>
      <c r="O5" s="114"/>
      <c r="P5" s="114"/>
      <c r="Q5" s="114"/>
      <c r="R5" s="114"/>
      <c r="S5" s="114"/>
      <c r="T5" s="114"/>
    </row>
    <row r="6" spans="1:20">
      <c r="A6" s="114"/>
      <c r="B6" s="114"/>
      <c r="C6" s="114"/>
      <c r="D6" s="114"/>
      <c r="E6" s="114"/>
      <c r="F6" s="118"/>
      <c r="G6" s="114"/>
      <c r="H6" s="114"/>
      <c r="I6" s="114"/>
      <c r="J6" s="114"/>
      <c r="K6" s="264"/>
      <c r="L6" s="114"/>
      <c r="M6" s="114"/>
      <c r="N6" s="114"/>
      <c r="O6" s="114"/>
      <c r="P6" s="114"/>
      <c r="Q6" s="114"/>
      <c r="R6" s="114"/>
      <c r="S6" s="114"/>
      <c r="T6" s="114"/>
    </row>
    <row r="7" spans="1:20">
      <c r="A7" s="114"/>
      <c r="B7" s="114"/>
      <c r="C7" s="114"/>
      <c r="D7" s="114"/>
      <c r="E7" s="114"/>
      <c r="F7" s="118"/>
      <c r="G7" s="114"/>
      <c r="H7" s="114"/>
      <c r="I7" s="114"/>
      <c r="J7" s="114"/>
      <c r="K7" s="264"/>
      <c r="L7" s="114"/>
      <c r="M7" s="114"/>
      <c r="N7" s="114"/>
      <c r="O7" s="114"/>
      <c r="P7" s="114"/>
      <c r="Q7" s="114"/>
      <c r="R7" s="114"/>
      <c r="S7" s="114"/>
      <c r="T7" s="114"/>
    </row>
    <row r="8" spans="1:20">
      <c r="A8" s="114"/>
      <c r="B8" s="114"/>
      <c r="C8" s="114"/>
      <c r="D8" s="114"/>
      <c r="E8" s="114"/>
      <c r="F8" s="118"/>
      <c r="G8" s="114"/>
      <c r="H8" s="114"/>
      <c r="I8" s="114"/>
      <c r="J8" s="114"/>
      <c r="K8" s="264"/>
      <c r="L8" s="114"/>
      <c r="M8" s="114"/>
      <c r="N8" s="114"/>
      <c r="O8" s="114"/>
      <c r="P8" s="114"/>
      <c r="Q8" s="114"/>
      <c r="R8" s="114"/>
      <c r="S8" s="114"/>
      <c r="T8" s="114"/>
    </row>
    <row r="9" spans="1:20">
      <c r="A9" s="114"/>
      <c r="B9" s="114"/>
      <c r="C9" s="114"/>
      <c r="D9" s="114"/>
      <c r="E9" s="114"/>
      <c r="F9" s="118"/>
      <c r="G9" s="114"/>
      <c r="H9" s="114"/>
      <c r="I9" s="114"/>
      <c r="J9" s="114"/>
      <c r="K9" s="264"/>
      <c r="L9" s="114"/>
      <c r="M9" s="114"/>
      <c r="N9" s="114"/>
      <c r="O9" s="114"/>
      <c r="P9" s="114"/>
      <c r="Q9" s="114"/>
      <c r="R9" s="114"/>
      <c r="S9" s="114"/>
      <c r="T9" s="114"/>
    </row>
    <row r="10" spans="1:20">
      <c r="A10" s="114"/>
      <c r="B10" s="114"/>
      <c r="C10" s="114"/>
      <c r="D10" s="114"/>
      <c r="E10" s="114"/>
      <c r="F10" s="118"/>
      <c r="G10" s="114"/>
      <c r="H10" s="114"/>
      <c r="I10" s="114"/>
      <c r="J10" s="114"/>
      <c r="K10" s="264"/>
      <c r="L10" s="114"/>
      <c r="M10" s="114"/>
      <c r="N10" s="114"/>
      <c r="O10" s="114"/>
      <c r="P10" s="114"/>
      <c r="Q10" s="114"/>
      <c r="R10" s="114"/>
      <c r="S10" s="114"/>
      <c r="T10" s="114"/>
    </row>
    <row r="11" spans="1:20">
      <c r="A11" s="114"/>
      <c r="B11" s="114"/>
      <c r="C11" s="114"/>
      <c r="D11" s="114"/>
      <c r="E11" s="114"/>
      <c r="F11" s="118"/>
      <c r="G11" s="114"/>
      <c r="H11" s="114"/>
      <c r="I11" s="114"/>
      <c r="J11" s="114"/>
      <c r="K11" s="264"/>
      <c r="L11" s="114"/>
      <c r="M11" s="114"/>
      <c r="N11" s="114"/>
      <c r="O11" s="114"/>
      <c r="P11" s="114"/>
      <c r="Q11" s="114"/>
      <c r="R11" s="114"/>
      <c r="S11" s="114"/>
      <c r="T11" s="114"/>
    </row>
    <row r="12" spans="1:20">
      <c r="A12" s="114"/>
      <c r="B12" s="114"/>
      <c r="C12" s="114"/>
      <c r="D12" s="114"/>
      <c r="E12" s="114"/>
      <c r="F12" s="118"/>
      <c r="G12" s="114"/>
      <c r="H12" s="114"/>
      <c r="I12" s="114"/>
      <c r="J12" s="114"/>
      <c r="K12" s="264"/>
      <c r="L12" s="114"/>
      <c r="M12" s="114"/>
      <c r="N12" s="114"/>
      <c r="O12" s="114"/>
      <c r="P12" s="114"/>
      <c r="Q12" s="114"/>
      <c r="R12" s="114"/>
      <c r="S12" s="114"/>
      <c r="T12" s="114"/>
    </row>
    <row r="13" spans="1:20">
      <c r="A13" s="114"/>
      <c r="B13" s="114"/>
      <c r="C13" s="114"/>
      <c r="D13" s="114"/>
      <c r="E13" s="114"/>
      <c r="F13" s="118"/>
      <c r="G13" s="114"/>
      <c r="H13" s="114"/>
      <c r="I13" s="114"/>
      <c r="J13" s="114"/>
      <c r="K13" s="264"/>
      <c r="L13" s="114"/>
      <c r="M13" s="114"/>
      <c r="N13" s="114"/>
      <c r="O13" s="114"/>
      <c r="P13" s="114"/>
      <c r="Q13" s="114"/>
      <c r="R13" s="114"/>
      <c r="S13" s="114"/>
      <c r="T13" s="114"/>
    </row>
    <row r="14" spans="1:20">
      <c r="A14" s="114"/>
      <c r="B14" s="114"/>
      <c r="C14" s="114"/>
      <c r="D14" s="114"/>
      <c r="E14" s="114"/>
      <c r="F14" s="118"/>
      <c r="G14" s="114"/>
      <c r="H14" s="114"/>
      <c r="I14" s="114"/>
      <c r="J14" s="114"/>
      <c r="K14" s="264"/>
      <c r="L14" s="114"/>
      <c r="M14" s="114"/>
      <c r="N14" s="114"/>
      <c r="O14" s="114"/>
      <c r="P14" s="114"/>
      <c r="Q14" s="114"/>
      <c r="R14" s="114"/>
      <c r="S14" s="114"/>
      <c r="T14" s="114"/>
    </row>
    <row r="15" spans="1:20" ht="16" thickBot="1">
      <c r="A15" s="114"/>
      <c r="B15" s="114"/>
      <c r="C15" s="114"/>
      <c r="D15" s="114"/>
      <c r="E15" s="114"/>
      <c r="F15" s="118"/>
      <c r="G15" s="114"/>
      <c r="H15" s="114"/>
      <c r="I15" s="114"/>
      <c r="J15" s="114"/>
      <c r="K15" s="264"/>
      <c r="L15" s="114"/>
      <c r="M15" s="114"/>
      <c r="N15" s="114"/>
      <c r="O15" s="114"/>
      <c r="P15" s="114"/>
      <c r="Q15" s="114"/>
      <c r="R15" s="114"/>
      <c r="S15" s="114"/>
      <c r="T15" s="114"/>
    </row>
    <row r="16" spans="1:20" s="287" customFormat="1" ht="26.5" customHeight="1" thickBot="1">
      <c r="A16" s="286"/>
      <c r="B16" s="286"/>
      <c r="C16" s="286"/>
      <c r="F16" s="643" t="s">
        <v>174</v>
      </c>
      <c r="G16" s="644" t="str">
        <f>+'Dashboard Aifina'!G16</f>
        <v>October</v>
      </c>
      <c r="H16" s="675">
        <f>+VLOOKUP(G16,Reference!A2:B13,2,0)</f>
        <v>10</v>
      </c>
      <c r="I16" s="676"/>
      <c r="J16" s="676">
        <v>2023</v>
      </c>
      <c r="K16" s="478"/>
    </row>
    <row r="17" spans="1:27">
      <c r="D17" s="114"/>
      <c r="E17" s="114"/>
      <c r="F17" s="118"/>
      <c r="G17" s="114"/>
      <c r="H17" s="114"/>
      <c r="I17" s="114"/>
      <c r="J17" s="114"/>
      <c r="K17" s="264"/>
      <c r="L17" s="114"/>
      <c r="M17" s="114"/>
      <c r="N17" s="114"/>
      <c r="O17" s="114"/>
      <c r="P17" s="114"/>
      <c r="Q17" s="114"/>
      <c r="R17" s="114"/>
      <c r="S17" s="114"/>
      <c r="T17" s="114"/>
    </row>
    <row r="18" spans="1:27">
      <c r="A18" s="236"/>
      <c r="B18" s="236"/>
      <c r="C18" s="236"/>
      <c r="U18" s="236"/>
      <c r="V18" s="236"/>
      <c r="W18" s="236"/>
      <c r="X18" s="236"/>
      <c r="Y18" s="236"/>
      <c r="Z18" s="236"/>
      <c r="AA18" s="236"/>
    </row>
    <row r="19" spans="1:27" ht="19" thickBot="1">
      <c r="O19" s="418"/>
      <c r="P19" s="418"/>
      <c r="Q19" s="418"/>
      <c r="U19" s="236"/>
      <c r="V19" s="236"/>
      <c r="W19" s="236"/>
      <c r="X19" s="236"/>
      <c r="Y19" s="236"/>
      <c r="Z19" s="236"/>
      <c r="AA19" s="236"/>
    </row>
    <row r="20" spans="1:27" s="204" customFormat="1" ht="21" customHeight="1" thickBot="1">
      <c r="A20" s="241"/>
      <c r="B20" s="241"/>
      <c r="C20" s="241"/>
      <c r="D20" s="244"/>
      <c r="E20" s="295"/>
      <c r="F20" s="525" t="s">
        <v>365</v>
      </c>
      <c r="G20" s="526" t="s">
        <v>366</v>
      </c>
      <c r="H20" s="470"/>
      <c r="I20" s="525" t="s">
        <v>376</v>
      </c>
      <c r="J20" s="770" t="s">
        <v>377</v>
      </c>
      <c r="K20" s="771"/>
      <c r="L20" s="495"/>
      <c r="M20" s="289"/>
      <c r="N20" s="289"/>
      <c r="O20" s="494"/>
      <c r="P20" s="292"/>
      <c r="Q20" s="292"/>
      <c r="R20" s="236"/>
      <c r="S20" s="236"/>
      <c r="T20" s="485"/>
      <c r="U20" s="244"/>
      <c r="V20" s="244"/>
      <c r="W20" s="244"/>
      <c r="X20" s="244"/>
      <c r="Y20" s="244"/>
      <c r="Z20" s="244"/>
      <c r="AA20" s="244"/>
    </row>
    <row r="21" spans="1:27" ht="24.5" customHeight="1">
      <c r="B21" s="420" t="s">
        <v>163</v>
      </c>
      <c r="E21" s="293"/>
      <c r="F21" s="470"/>
      <c r="G21" s="497"/>
      <c r="H21" s="514"/>
      <c r="I21" s="515"/>
      <c r="J21" s="497"/>
      <c r="K21" s="498"/>
      <c r="L21" s="497"/>
      <c r="M21" s="249"/>
      <c r="N21" s="248"/>
      <c r="O21" s="495"/>
      <c r="P21" s="499"/>
      <c r="Q21" s="499"/>
      <c r="R21" s="473"/>
      <c r="S21" s="473"/>
      <c r="T21" s="495"/>
      <c r="U21" s="497"/>
      <c r="V21" s="473"/>
      <c r="W21" s="473"/>
      <c r="X21" s="473"/>
      <c r="Y21" s="473"/>
      <c r="Z21" s="236"/>
      <c r="AA21" s="236"/>
    </row>
    <row r="22" spans="1:27" ht="24.5" customHeight="1">
      <c r="B22" s="240"/>
      <c r="E22" s="293"/>
      <c r="F22" s="470" t="s">
        <v>367</v>
      </c>
      <c r="G22" s="500"/>
      <c r="H22" s="515"/>
      <c r="I22" s="515"/>
      <c r="J22" s="500"/>
      <c r="K22" s="498"/>
      <c r="L22" s="500"/>
      <c r="M22" s="249"/>
      <c r="O22" s="495"/>
      <c r="P22" s="499"/>
      <c r="Q22" s="499"/>
      <c r="R22" s="473"/>
      <c r="S22" s="473"/>
      <c r="T22" s="495"/>
      <c r="U22" s="497"/>
      <c r="V22" s="473"/>
      <c r="W22" s="473"/>
      <c r="X22" s="473"/>
      <c r="Y22" s="473"/>
      <c r="Z22" s="236"/>
      <c r="AA22" s="236"/>
    </row>
    <row r="23" spans="1:27" ht="3.5" customHeight="1">
      <c r="E23" s="293"/>
      <c r="F23" s="391"/>
      <c r="G23" s="503"/>
      <c r="H23" s="516"/>
      <c r="I23" s="517"/>
      <c r="J23" s="503"/>
      <c r="K23" s="504"/>
      <c r="L23" s="503"/>
      <c r="M23" s="253"/>
      <c r="N23" s="114"/>
      <c r="O23" s="409"/>
      <c r="P23" s="513"/>
      <c r="Q23" s="513"/>
      <c r="R23" s="474"/>
      <c r="S23" s="474"/>
      <c r="T23" s="409"/>
      <c r="U23" s="497"/>
      <c r="V23" s="473"/>
      <c r="W23" s="473"/>
      <c r="X23" s="473"/>
      <c r="Y23" s="473"/>
      <c r="Z23" s="236"/>
      <c r="AA23" s="236"/>
    </row>
    <row r="24" spans="1:27" ht="24.5" customHeight="1">
      <c r="B24" s="240"/>
      <c r="E24" s="293"/>
      <c r="F24" s="335" t="s">
        <v>372</v>
      </c>
      <c r="G24" s="391"/>
      <c r="H24" s="114"/>
      <c r="I24" s="391"/>
      <c r="J24" s="504"/>
      <c r="K24" s="391" t="s">
        <v>289</v>
      </c>
      <c r="L24" s="504"/>
      <c r="M24" s="503"/>
      <c r="N24" s="114"/>
      <c r="O24" s="409"/>
      <c r="P24" s="510"/>
      <c r="Q24" s="510"/>
      <c r="R24" s="474"/>
      <c r="S24" s="474"/>
      <c r="T24" s="409"/>
      <c r="U24" s="497"/>
      <c r="V24" s="473"/>
      <c r="W24" s="473"/>
      <c r="X24" s="473"/>
      <c r="Y24" s="473"/>
      <c r="Z24" s="236"/>
      <c r="AA24" s="236"/>
    </row>
    <row r="25" spans="1:27" ht="19">
      <c r="B25" s="240"/>
      <c r="E25" s="293"/>
      <c r="F25" s="775" t="s">
        <v>368</v>
      </c>
      <c r="G25" s="775" t="s">
        <v>239</v>
      </c>
      <c r="H25" s="775" t="s">
        <v>178</v>
      </c>
      <c r="I25" s="775" t="s">
        <v>370</v>
      </c>
      <c r="J25" s="264"/>
      <c r="K25" s="114" t="s">
        <v>371</v>
      </c>
      <c r="L25" s="509" t="str">
        <f ca="1">IF(F27&gt;I27,"Better than competition","Lower than competition")</f>
        <v>Better than competition</v>
      </c>
      <c r="M25" s="114"/>
      <c r="N25" s="114"/>
      <c r="O25" s="529" t="s">
        <v>382</v>
      </c>
      <c r="P25" s="530">
        <f ca="1">F27-I27</f>
        <v>2.6961865842726224E-2</v>
      </c>
      <c r="Q25" s="114"/>
      <c r="R25" s="474"/>
      <c r="S25" s="474"/>
      <c r="T25" s="114"/>
      <c r="U25" s="236"/>
      <c r="V25" s="473"/>
      <c r="W25" s="473"/>
      <c r="X25" s="473"/>
      <c r="Y25" s="473"/>
      <c r="Z25" s="236"/>
      <c r="AA25" s="236"/>
    </row>
    <row r="26" spans="1:27">
      <c r="E26" s="293"/>
      <c r="F26" s="775"/>
      <c r="G26" s="775"/>
      <c r="H26" s="775"/>
      <c r="I26" s="775"/>
      <c r="J26" s="479"/>
      <c r="K26" s="234" t="s">
        <v>373</v>
      </c>
      <c r="L26" s="479"/>
      <c r="M26" s="114"/>
      <c r="N26" s="114"/>
      <c r="O26" s="114"/>
      <c r="P26" s="114"/>
      <c r="Q26" s="114"/>
      <c r="R26" s="114"/>
      <c r="S26" s="114"/>
      <c r="T26" s="114"/>
      <c r="U26" s="236"/>
      <c r="V26" s="236"/>
      <c r="W26" s="236"/>
      <c r="X26" s="236"/>
      <c r="Y26" s="236"/>
      <c r="Z26" s="236"/>
      <c r="AA26" s="236"/>
    </row>
    <row r="27" spans="1:27" ht="28.25" customHeight="1">
      <c r="B27" s="240"/>
      <c r="F27" s="506">
        <f ca="1">'Dashboard Aifina'!G35</f>
        <v>0.25696186584272623</v>
      </c>
      <c r="G27" s="506">
        <f ca="1">F27+(RANDBETWEEN(-10%,1%))</f>
        <v>0.25696186584272623</v>
      </c>
      <c r="H27" s="506">
        <f>'Fomulas ExecSum'!B24</f>
        <v>0.25194296859980292</v>
      </c>
      <c r="I27" s="506">
        <f>HLOOKUP(H16,'Benchmark database'!B5:M13,8,0)</f>
        <v>0.23</v>
      </c>
      <c r="J27" s="264"/>
      <c r="K27" s="774" t="str">
        <f>HLOOKUP(H16,'Benchmark database'!$B$5:$M$13,9,0)</f>
        <v xml:space="preserve"> Margins are aligned with market expectations.</v>
      </c>
      <c r="L27" s="774"/>
      <c r="M27" s="774"/>
      <c r="N27" s="774"/>
      <c r="O27" s="774"/>
      <c r="P27" s="774"/>
      <c r="Q27" s="774"/>
      <c r="R27" s="774"/>
      <c r="S27" s="774"/>
      <c r="T27" s="114"/>
      <c r="U27" s="236"/>
      <c r="V27" s="236"/>
      <c r="W27" s="236"/>
      <c r="X27" s="236"/>
      <c r="Y27" s="236"/>
      <c r="Z27" s="236"/>
      <c r="AA27" s="236"/>
    </row>
    <row r="28" spans="1:27" ht="19">
      <c r="A28" s="236"/>
      <c r="B28" s="469"/>
      <c r="C28" s="236"/>
      <c r="E28" s="293"/>
      <c r="F28" s="490"/>
      <c r="G28" s="490"/>
      <c r="H28" s="114"/>
      <c r="I28" s="490"/>
      <c r="J28" s="490"/>
      <c r="K28" s="774"/>
      <c r="L28" s="774"/>
      <c r="M28" s="774"/>
      <c r="N28" s="774"/>
      <c r="O28" s="774"/>
      <c r="P28" s="774"/>
      <c r="Q28" s="774"/>
      <c r="R28" s="774"/>
      <c r="S28" s="774"/>
      <c r="T28" s="512"/>
      <c r="U28" s="508"/>
      <c r="V28" s="508"/>
      <c r="W28" s="508"/>
      <c r="X28" s="508"/>
      <c r="Y28" s="508"/>
      <c r="Z28" s="236"/>
      <c r="AA28" s="236"/>
    </row>
    <row r="29" spans="1:27" ht="22">
      <c r="A29" s="236"/>
      <c r="B29" s="236"/>
      <c r="C29" s="236"/>
      <c r="E29" s="295"/>
      <c r="F29" s="490"/>
      <c r="G29" s="490"/>
      <c r="H29" s="114"/>
      <c r="I29" s="490"/>
      <c r="J29" s="490"/>
      <c r="K29" s="774"/>
      <c r="L29" s="774"/>
      <c r="M29" s="774"/>
      <c r="N29" s="774"/>
      <c r="O29" s="774"/>
      <c r="P29" s="774"/>
      <c r="Q29" s="774"/>
      <c r="R29" s="774"/>
      <c r="S29" s="774"/>
      <c r="T29" s="512"/>
      <c r="U29" s="508"/>
      <c r="V29" s="508"/>
      <c r="W29" s="508"/>
      <c r="X29" s="508"/>
      <c r="Y29" s="508"/>
      <c r="Z29" s="244"/>
      <c r="AA29" s="236"/>
    </row>
    <row r="30" spans="1:27" s="202" customFormat="1" ht="16.75" customHeight="1">
      <c r="A30" s="520"/>
      <c r="B30" s="521"/>
      <c r="C30" s="520"/>
      <c r="D30" s="520"/>
      <c r="E30" s="520"/>
      <c r="F30" s="522"/>
      <c r="G30" s="522"/>
      <c r="H30" s="522"/>
      <c r="I30" s="522"/>
      <c r="J30" s="522"/>
      <c r="K30" s="522" t="s">
        <v>375</v>
      </c>
      <c r="L30" s="522"/>
      <c r="O30" s="523"/>
      <c r="P30" s="523"/>
      <c r="Q30" s="523"/>
      <c r="R30" s="523"/>
      <c r="S30" s="523"/>
      <c r="T30" s="523"/>
      <c r="U30" s="524"/>
      <c r="V30" s="524"/>
      <c r="W30" s="524"/>
      <c r="X30" s="524"/>
      <c r="Y30" s="524"/>
      <c r="Z30" s="520"/>
      <c r="AA30" s="520"/>
    </row>
    <row r="31" spans="1:27" s="236" customFormat="1" ht="21" customHeight="1">
      <c r="E31" s="293"/>
      <c r="F31" s="502"/>
      <c r="G31" s="502"/>
      <c r="H31" s="502"/>
      <c r="I31" s="502"/>
      <c r="J31" s="502"/>
      <c r="K31" s="502"/>
      <c r="L31" s="502"/>
      <c r="O31" s="508"/>
      <c r="P31" s="508"/>
      <c r="Q31" s="508"/>
      <c r="R31" s="508"/>
      <c r="S31" s="508"/>
      <c r="T31" s="508"/>
      <c r="U31" s="508"/>
      <c r="V31" s="508"/>
      <c r="W31" s="508"/>
      <c r="X31" s="508"/>
      <c r="Y31" s="508"/>
    </row>
    <row r="32" spans="1:27" ht="3.5" customHeight="1">
      <c r="E32" s="293"/>
      <c r="F32" s="391"/>
      <c r="G32" s="503"/>
      <c r="H32" s="516"/>
      <c r="I32" s="517"/>
      <c r="J32" s="503"/>
      <c r="K32" s="504"/>
      <c r="L32" s="503"/>
      <c r="M32" s="253"/>
      <c r="N32" s="114"/>
      <c r="O32" s="409"/>
      <c r="P32" s="513"/>
      <c r="Q32" s="513"/>
      <c r="R32" s="474"/>
      <c r="S32" s="474"/>
      <c r="T32" s="409"/>
      <c r="U32" s="497"/>
      <c r="V32" s="473"/>
      <c r="W32" s="473"/>
      <c r="X32" s="473"/>
      <c r="Y32" s="473"/>
      <c r="Z32" s="236"/>
      <c r="AA32" s="236"/>
    </row>
    <row r="33" spans="1:27" ht="24.5" customHeight="1">
      <c r="B33" s="240"/>
      <c r="E33" s="293"/>
      <c r="F33" s="335" t="s">
        <v>374</v>
      </c>
      <c r="G33" s="391"/>
      <c r="H33" s="391"/>
      <c r="I33" s="517"/>
      <c r="J33" s="114"/>
      <c r="K33" s="391" t="s">
        <v>289</v>
      </c>
      <c r="L33" s="504"/>
      <c r="M33" s="503"/>
      <c r="N33" s="114"/>
      <c r="O33" s="529" t="s">
        <v>382</v>
      </c>
      <c r="P33" s="530">
        <f>F36-I36</f>
        <v>-2.5153706389683724E-2</v>
      </c>
      <c r="Q33" s="510"/>
      <c r="R33" s="474"/>
      <c r="S33" s="474"/>
      <c r="T33" s="409"/>
      <c r="U33" s="497"/>
      <c r="V33" s="473"/>
      <c r="W33" s="473"/>
      <c r="X33" s="473"/>
      <c r="Y33" s="473"/>
      <c r="Z33" s="236"/>
      <c r="AA33" s="236"/>
    </row>
    <row r="34" spans="1:27" ht="19">
      <c r="B34" s="240"/>
      <c r="E34" s="293"/>
      <c r="F34" s="775" t="s">
        <v>368</v>
      </c>
      <c r="G34" s="775" t="s">
        <v>369</v>
      </c>
      <c r="H34" s="775" t="s">
        <v>178</v>
      </c>
      <c r="I34" s="775" t="s">
        <v>370</v>
      </c>
      <c r="J34" s="114"/>
      <c r="K34" s="114" t="s">
        <v>371</v>
      </c>
      <c r="L34" s="509" t="str">
        <f>IF(F36&gt;I36,"Better than competition","Lower than competition")</f>
        <v>Lower than competition</v>
      </c>
      <c r="M34" s="114"/>
      <c r="N34" s="253"/>
      <c r="O34" s="114"/>
      <c r="P34" s="114"/>
      <c r="Q34" s="114"/>
      <c r="R34" s="474"/>
      <c r="S34" s="474"/>
      <c r="T34" s="114"/>
      <c r="U34" s="236"/>
      <c r="V34" s="473"/>
      <c r="W34" s="473"/>
      <c r="X34" s="473"/>
      <c r="Y34" s="473"/>
      <c r="Z34" s="236"/>
      <c r="AA34" s="236"/>
    </row>
    <row r="35" spans="1:27">
      <c r="E35" s="293"/>
      <c r="F35" s="775"/>
      <c r="G35" s="775"/>
      <c r="H35" s="775"/>
      <c r="I35" s="775"/>
      <c r="J35" s="114"/>
      <c r="K35" s="234" t="s">
        <v>373</v>
      </c>
      <c r="L35" s="479"/>
      <c r="M35" s="114"/>
      <c r="N35" s="114"/>
      <c r="O35" s="114"/>
      <c r="P35" s="114"/>
      <c r="Q35" s="114"/>
      <c r="R35" s="114"/>
      <c r="S35" s="114"/>
      <c r="T35" s="114"/>
      <c r="U35" s="236"/>
      <c r="V35" s="236"/>
      <c r="W35" s="236"/>
      <c r="X35" s="236"/>
      <c r="Y35" s="236"/>
      <c r="Z35" s="236"/>
      <c r="AA35" s="236"/>
    </row>
    <row r="36" spans="1:27" ht="28.25" customHeight="1">
      <c r="B36" s="240"/>
      <c r="F36" s="506">
        <f>'Fomulas ExecSum'!B5</f>
        <v>2.9846293610316276E-2</v>
      </c>
      <c r="G36" s="506">
        <f ca="1">F36+(RANDBETWEEN(-5%,1%))</f>
        <v>2.9846293610316276E-2</v>
      </c>
      <c r="H36" s="506">
        <f>'Fomulas ExecSum'!B8</f>
        <v>1.5227753034031505E-2</v>
      </c>
      <c r="I36" s="506">
        <f>HLOOKUP(H16,'Benchmark database'!$B$5:$M$15,10,0)</f>
        <v>5.5E-2</v>
      </c>
      <c r="J36" s="114"/>
      <c r="K36" s="450" t="str">
        <f>HLOOKUP(H16,'Benchmark database'!$B$5:$M$15,11,0)</f>
        <v xml:space="preserve"> Slightly below market averages, but not alarming.</v>
      </c>
      <c r="L36" s="114"/>
      <c r="M36" s="114"/>
      <c r="N36" s="114"/>
      <c r="O36" s="487"/>
      <c r="P36" s="114"/>
      <c r="Q36" s="114"/>
      <c r="R36" s="114"/>
      <c r="S36" s="114"/>
      <c r="T36" s="114"/>
      <c r="U36" s="236"/>
      <c r="V36" s="236"/>
      <c r="W36" s="236"/>
      <c r="X36" s="236"/>
      <c r="Y36" s="236"/>
      <c r="Z36" s="236"/>
      <c r="AA36" s="236"/>
    </row>
    <row r="37" spans="1:27" ht="19">
      <c r="A37" s="236"/>
      <c r="B37" s="469"/>
      <c r="C37" s="236"/>
      <c r="E37" s="293"/>
      <c r="F37" s="490"/>
      <c r="G37" s="490"/>
      <c r="H37" s="490"/>
      <c r="I37" s="490"/>
      <c r="J37" s="490"/>
      <c r="K37" s="490"/>
      <c r="L37" s="490"/>
      <c r="M37" s="114"/>
      <c r="N37" s="114"/>
      <c r="O37" s="511"/>
      <c r="P37" s="512"/>
      <c r="Q37" s="512"/>
      <c r="R37" s="512"/>
      <c r="S37" s="512"/>
      <c r="T37" s="512"/>
      <c r="U37" s="508"/>
      <c r="V37" s="508"/>
      <c r="W37" s="508"/>
      <c r="X37" s="508"/>
      <c r="Y37" s="508"/>
      <c r="Z37" s="236"/>
      <c r="AA37" s="236"/>
    </row>
    <row r="38" spans="1:27" ht="22">
      <c r="A38" s="236"/>
      <c r="B38" s="236"/>
      <c r="C38" s="236"/>
      <c r="E38" s="295"/>
      <c r="F38" s="490"/>
      <c r="G38" s="490"/>
      <c r="H38" s="490"/>
      <c r="I38" s="490"/>
      <c r="J38" s="490"/>
      <c r="K38" s="490"/>
      <c r="L38" s="490"/>
      <c r="M38" s="114"/>
      <c r="N38" s="114"/>
      <c r="O38" s="512"/>
      <c r="P38" s="512"/>
      <c r="Q38" s="512"/>
      <c r="R38" s="512"/>
      <c r="S38" s="512"/>
      <c r="T38" s="512"/>
      <c r="U38" s="508"/>
      <c r="V38" s="508"/>
      <c r="W38" s="508"/>
      <c r="X38" s="508"/>
      <c r="Y38" s="508"/>
      <c r="Z38" s="244"/>
      <c r="AA38" s="236"/>
    </row>
    <row r="39" spans="1:27" s="202" customFormat="1" ht="16.75" customHeight="1">
      <c r="A39" s="520"/>
      <c r="B39" s="521"/>
      <c r="C39" s="520"/>
      <c r="D39" s="520"/>
      <c r="E39" s="520"/>
      <c r="F39" s="522"/>
      <c r="G39" s="522"/>
      <c r="H39" s="522"/>
      <c r="I39" s="522"/>
      <c r="J39" s="522"/>
      <c r="K39" s="522" t="s">
        <v>375</v>
      </c>
      <c r="L39" s="522"/>
      <c r="O39" s="523"/>
      <c r="P39" s="523"/>
      <c r="Q39" s="523"/>
      <c r="R39" s="523"/>
      <c r="S39" s="523"/>
      <c r="T39" s="523"/>
      <c r="U39" s="524"/>
      <c r="V39" s="524"/>
      <c r="W39" s="524"/>
      <c r="X39" s="524"/>
      <c r="Y39" s="524"/>
      <c r="Z39" s="520"/>
      <c r="AA39" s="520"/>
    </row>
    <row r="40" spans="1:27" ht="21" customHeight="1">
      <c r="A40" s="236"/>
      <c r="B40" s="469"/>
      <c r="C40" s="236"/>
      <c r="E40" s="293"/>
      <c r="K40" s="480"/>
      <c r="U40" s="236"/>
      <c r="V40" s="236"/>
      <c r="W40" s="236"/>
      <c r="X40" s="236"/>
      <c r="Y40" s="236"/>
      <c r="Z40" s="236"/>
      <c r="AA40" s="236"/>
    </row>
    <row r="41" spans="1:27" ht="3.5" customHeight="1">
      <c r="E41" s="293"/>
      <c r="F41" s="391"/>
      <c r="G41" s="503"/>
      <c r="H41" s="516"/>
      <c r="I41" s="517"/>
      <c r="J41" s="503"/>
      <c r="K41" s="504"/>
      <c r="L41" s="503"/>
      <c r="M41" s="253"/>
      <c r="N41" s="114"/>
      <c r="O41" s="409"/>
      <c r="P41" s="513"/>
      <c r="Q41" s="513"/>
      <c r="R41" s="474"/>
      <c r="S41" s="474"/>
      <c r="T41" s="409"/>
      <c r="U41" s="497"/>
      <c r="V41" s="473"/>
      <c r="W41" s="473"/>
      <c r="X41" s="473"/>
      <c r="Y41" s="473"/>
      <c r="Z41" s="236"/>
      <c r="AA41" s="236"/>
    </row>
    <row r="42" spans="1:27" ht="24.5" customHeight="1">
      <c r="B42" s="240"/>
      <c r="E42" s="293"/>
      <c r="F42" s="335" t="s">
        <v>399</v>
      </c>
      <c r="G42" s="391"/>
      <c r="H42" s="391"/>
      <c r="I42" s="517"/>
      <c r="J42" s="114"/>
      <c r="K42" s="391" t="s">
        <v>289</v>
      </c>
      <c r="L42" s="504"/>
      <c r="M42" s="503"/>
      <c r="N42" s="114"/>
      <c r="O42" s="529" t="s">
        <v>382</v>
      </c>
      <c r="P42" s="530">
        <f>F45-I45</f>
        <v>-5.0696002274955694E-2</v>
      </c>
      <c r="Q42" s="510"/>
      <c r="R42" s="474"/>
      <c r="S42" s="474"/>
      <c r="T42" s="409"/>
      <c r="U42" s="497"/>
      <c r="V42" s="473"/>
      <c r="W42" s="473"/>
      <c r="X42" s="473"/>
      <c r="Y42" s="473"/>
      <c r="Z42" s="236"/>
      <c r="AA42" s="236"/>
    </row>
    <row r="43" spans="1:27" ht="19">
      <c r="B43" s="240"/>
      <c r="E43" s="293"/>
      <c r="F43" s="775" t="s">
        <v>368</v>
      </c>
      <c r="G43" s="775" t="s">
        <v>369</v>
      </c>
      <c r="H43" s="775" t="s">
        <v>178</v>
      </c>
      <c r="I43" s="775" t="s">
        <v>370</v>
      </c>
      <c r="J43" s="114"/>
      <c r="K43" s="114" t="s">
        <v>371</v>
      </c>
      <c r="L43" s="509" t="str">
        <f>IF(F45&gt;I45,"Better than competition","Lower than competition")</f>
        <v>Lower than competition</v>
      </c>
      <c r="M43" s="114"/>
      <c r="N43" s="253"/>
      <c r="O43" s="114"/>
      <c r="P43" s="114"/>
      <c r="Q43" s="114"/>
      <c r="R43" s="474"/>
      <c r="S43" s="474"/>
      <c r="T43" s="114"/>
      <c r="U43" s="236"/>
      <c r="V43" s="473"/>
      <c r="W43" s="473"/>
      <c r="X43" s="473"/>
      <c r="Y43" s="473"/>
      <c r="Z43" s="236"/>
      <c r="AA43" s="236"/>
    </row>
    <row r="44" spans="1:27">
      <c r="E44" s="293"/>
      <c r="F44" s="775"/>
      <c r="G44" s="775"/>
      <c r="H44" s="775"/>
      <c r="I44" s="775"/>
      <c r="J44" s="114"/>
      <c r="K44" s="234" t="s">
        <v>373</v>
      </c>
      <c r="L44" s="479"/>
      <c r="M44" s="114"/>
      <c r="N44" s="114"/>
      <c r="O44" s="114"/>
      <c r="P44" s="114"/>
      <c r="Q44" s="114"/>
      <c r="R44" s="114"/>
      <c r="S44" s="114"/>
      <c r="T44" s="114"/>
      <c r="U44" s="236"/>
      <c r="V44" s="236"/>
      <c r="W44" s="236"/>
      <c r="X44" s="236"/>
      <c r="Y44" s="236"/>
      <c r="Z44" s="236"/>
      <c r="AA44" s="236"/>
    </row>
    <row r="45" spans="1:27" ht="28.25" customHeight="1">
      <c r="B45" s="240"/>
      <c r="F45" s="506">
        <f>'Fomulas ExecSum'!B36</f>
        <v>1.4303997725044308E-2</v>
      </c>
      <c r="G45" s="506">
        <f ca="1">F45+(RANDBETWEEN(-5%,1%))</f>
        <v>1.4303997725044308E-2</v>
      </c>
      <c r="H45" s="506">
        <f>'Fomulas ExecSum'!B39</f>
        <v>1.3976826811133341E-2</v>
      </c>
      <c r="I45" s="506">
        <v>6.5000000000000002E-2</v>
      </c>
      <c r="J45" s="114"/>
      <c r="K45" s="264"/>
      <c r="L45" s="114"/>
      <c r="M45" s="114"/>
      <c r="N45" s="114"/>
      <c r="O45" s="487"/>
      <c r="P45" s="114"/>
      <c r="Q45" s="114"/>
      <c r="R45" s="114"/>
      <c r="S45" s="114"/>
      <c r="T45" s="114"/>
      <c r="U45" s="236"/>
      <c r="V45" s="236"/>
      <c r="W45" s="236"/>
      <c r="X45" s="236"/>
      <c r="Y45" s="236"/>
      <c r="Z45" s="236"/>
      <c r="AA45" s="236"/>
    </row>
    <row r="46" spans="1:27" ht="19">
      <c r="A46" s="236"/>
      <c r="B46" s="469"/>
      <c r="C46" s="236"/>
      <c r="E46" s="293"/>
      <c r="F46" s="490"/>
      <c r="G46" s="490"/>
      <c r="H46" s="490"/>
      <c r="I46" s="490"/>
      <c r="J46" s="490"/>
      <c r="K46" s="490"/>
      <c r="L46" s="490"/>
      <c r="M46" s="114"/>
      <c r="N46" s="114"/>
      <c r="O46" s="511"/>
      <c r="P46" s="512"/>
      <c r="Q46" s="512"/>
      <c r="R46" s="512"/>
      <c r="S46" s="512"/>
      <c r="T46" s="512"/>
      <c r="U46" s="508"/>
      <c r="V46" s="508"/>
      <c r="W46" s="508"/>
      <c r="X46" s="508"/>
      <c r="Y46" s="508"/>
      <c r="Z46" s="236"/>
      <c r="AA46" s="236"/>
    </row>
    <row r="47" spans="1:27" ht="22">
      <c r="A47" s="236"/>
      <c r="B47" s="236"/>
      <c r="C47" s="236"/>
      <c r="E47" s="295"/>
      <c r="F47" s="490"/>
      <c r="G47" s="490"/>
      <c r="H47" s="490"/>
      <c r="I47" s="490"/>
      <c r="J47" s="490"/>
      <c r="K47" s="490"/>
      <c r="L47" s="490"/>
      <c r="M47" s="114"/>
      <c r="N47" s="114"/>
      <c r="O47" s="512"/>
      <c r="P47" s="512"/>
      <c r="Q47" s="512"/>
      <c r="R47" s="512"/>
      <c r="S47" s="512"/>
      <c r="T47" s="512"/>
      <c r="U47" s="508"/>
      <c r="V47" s="508"/>
      <c r="W47" s="508"/>
      <c r="X47" s="508"/>
      <c r="Y47" s="508"/>
      <c r="Z47" s="244"/>
      <c r="AA47" s="236"/>
    </row>
    <row r="48" spans="1:27" s="202" customFormat="1" ht="16.75" customHeight="1">
      <c r="A48" s="520"/>
      <c r="B48" s="521"/>
      <c r="C48" s="520"/>
      <c r="D48" s="520"/>
      <c r="E48" s="520"/>
      <c r="F48" s="522"/>
      <c r="G48" s="522"/>
      <c r="H48" s="522"/>
      <c r="I48" s="522"/>
      <c r="J48" s="522"/>
      <c r="K48" s="522" t="s">
        <v>375</v>
      </c>
      <c r="L48" s="522"/>
      <c r="O48" s="523"/>
      <c r="P48" s="523"/>
      <c r="Q48" s="523"/>
      <c r="R48" s="523"/>
      <c r="S48" s="523"/>
      <c r="T48" s="523"/>
      <c r="U48" s="524"/>
      <c r="V48" s="524"/>
      <c r="W48" s="524"/>
      <c r="X48" s="524"/>
      <c r="Y48" s="524"/>
      <c r="Z48" s="520"/>
      <c r="AA48" s="520"/>
    </row>
    <row r="49" spans="1:27" ht="21" customHeight="1">
      <c r="A49" s="236"/>
      <c r="B49" s="469"/>
      <c r="C49" s="236"/>
      <c r="E49" s="293"/>
      <c r="K49" s="480"/>
      <c r="U49" s="236"/>
      <c r="V49" s="236"/>
      <c r="W49" s="236"/>
      <c r="X49" s="236"/>
      <c r="Y49" s="236"/>
      <c r="Z49" s="236"/>
      <c r="AA49" s="236"/>
    </row>
    <row r="50" spans="1:27" ht="24.5" customHeight="1">
      <c r="B50" s="240"/>
      <c r="E50" s="293"/>
      <c r="F50" s="335" t="s">
        <v>378</v>
      </c>
      <c r="G50" s="391"/>
      <c r="H50" s="391"/>
      <c r="I50" s="517"/>
      <c r="J50" s="114"/>
      <c r="K50" s="391" t="s">
        <v>289</v>
      </c>
      <c r="L50" s="504"/>
      <c r="M50" s="503"/>
      <c r="N50" s="114"/>
      <c r="O50" s="529" t="s">
        <v>382</v>
      </c>
      <c r="P50" s="530">
        <f>F54-I54</f>
        <v>0</v>
      </c>
      <c r="Q50" s="510"/>
      <c r="R50" s="474"/>
      <c r="S50" s="474"/>
      <c r="T50" s="409"/>
      <c r="U50" s="497"/>
      <c r="V50" s="473"/>
      <c r="W50" s="473"/>
      <c r="X50" s="473"/>
      <c r="Y50" s="473"/>
      <c r="Z50" s="236"/>
      <c r="AA50" s="236"/>
    </row>
    <row r="51" spans="1:27" ht="19">
      <c r="B51" s="240"/>
      <c r="E51" s="293"/>
      <c r="F51" s="775" t="s">
        <v>368</v>
      </c>
      <c r="G51" s="775" t="s">
        <v>369</v>
      </c>
      <c r="H51" s="775" t="s">
        <v>178</v>
      </c>
      <c r="I51" s="775" t="s">
        <v>370</v>
      </c>
      <c r="J51" s="114"/>
      <c r="K51" s="114" t="s">
        <v>371</v>
      </c>
      <c r="L51" s="509" t="str">
        <f>IF(F53&gt;I53,"Lower than competition","Better than competition")</f>
        <v>Better than competition</v>
      </c>
      <c r="M51" s="114"/>
      <c r="N51" s="253"/>
      <c r="O51" s="114"/>
      <c r="P51" s="114"/>
      <c r="Q51" s="114"/>
      <c r="R51" s="474"/>
      <c r="S51" s="474"/>
      <c r="T51" s="114"/>
      <c r="U51" s="236"/>
      <c r="V51" s="473"/>
      <c r="W51" s="473"/>
      <c r="X51" s="473"/>
      <c r="Y51" s="473"/>
      <c r="Z51" s="236"/>
      <c r="AA51" s="236"/>
    </row>
    <row r="52" spans="1:27">
      <c r="E52" s="293"/>
      <c r="F52" s="775"/>
      <c r="G52" s="775"/>
      <c r="H52" s="775"/>
      <c r="I52" s="775"/>
      <c r="J52" s="114"/>
      <c r="K52" s="234" t="s">
        <v>373</v>
      </c>
      <c r="L52" s="479"/>
      <c r="M52" s="114"/>
      <c r="N52" s="114"/>
      <c r="O52" s="114"/>
      <c r="P52" s="114"/>
      <c r="Q52" s="114"/>
      <c r="R52" s="114"/>
      <c r="S52" s="114"/>
      <c r="T52" s="114"/>
      <c r="U52" s="236"/>
      <c r="V52" s="236"/>
      <c r="W52" s="236"/>
      <c r="X52" s="236"/>
      <c r="Y52" s="236"/>
      <c r="Z52" s="236"/>
      <c r="AA52" s="236"/>
    </row>
    <row r="53" spans="1:27" ht="28.25" customHeight="1">
      <c r="B53" s="240"/>
      <c r="F53" s="527">
        <f>'Dashboard Aifina'!F49</f>
        <v>-17.528482545509974</v>
      </c>
      <c r="G53" s="527">
        <f ca="1">F53+RANDBETWEEN(-2,2)</f>
        <v>-17.528482545509974</v>
      </c>
      <c r="H53" s="527">
        <f ca="1">F53+RANDBETWEEN(-3,3)</f>
        <v>-16.528482545509974</v>
      </c>
      <c r="I53" s="527">
        <f>I61+I77-I69</f>
        <v>14</v>
      </c>
      <c r="J53" s="114"/>
      <c r="K53" s="264"/>
      <c r="L53" s="114"/>
      <c r="M53" s="114"/>
      <c r="N53" s="114"/>
      <c r="O53" s="487"/>
      <c r="P53" s="114"/>
      <c r="Q53" s="114"/>
      <c r="R53" s="114"/>
      <c r="S53" s="114"/>
      <c r="T53" s="114"/>
      <c r="U53" s="236"/>
      <c r="V53" s="236"/>
      <c r="W53" s="236"/>
      <c r="X53" s="236"/>
      <c r="Y53" s="236"/>
      <c r="Z53" s="236"/>
      <c r="AA53" s="236"/>
    </row>
    <row r="54" spans="1:27" ht="19">
      <c r="A54" s="236"/>
      <c r="B54" s="469"/>
      <c r="C54" s="236"/>
      <c r="E54" s="293"/>
      <c r="F54" s="490"/>
      <c r="G54" s="490"/>
      <c r="H54" s="490"/>
      <c r="I54" s="490"/>
      <c r="J54" s="490"/>
      <c r="K54" s="490"/>
      <c r="L54" s="490"/>
      <c r="M54" s="114"/>
      <c r="N54" s="114"/>
      <c r="O54" s="511"/>
      <c r="P54" s="512"/>
      <c r="Q54" s="512"/>
      <c r="R54" s="512"/>
      <c r="S54" s="512"/>
      <c r="T54" s="512"/>
      <c r="U54" s="508"/>
      <c r="V54" s="508"/>
      <c r="W54" s="508"/>
      <c r="X54" s="508"/>
      <c r="Y54" s="508"/>
      <c r="Z54" s="236"/>
      <c r="AA54" s="236"/>
    </row>
    <row r="55" spans="1:27" ht="22">
      <c r="A55" s="236"/>
      <c r="B55" s="236"/>
      <c r="C55" s="236"/>
      <c r="E55" s="295"/>
      <c r="F55" s="490"/>
      <c r="G55" s="490"/>
      <c r="H55" s="490"/>
      <c r="I55" s="490"/>
      <c r="J55" s="490"/>
      <c r="K55" s="490"/>
      <c r="L55" s="490"/>
      <c r="M55" s="114"/>
      <c r="N55" s="114"/>
      <c r="O55" s="512"/>
      <c r="P55" s="512"/>
      <c r="Q55" s="512"/>
      <c r="R55" s="512"/>
      <c r="S55" s="512"/>
      <c r="T55" s="512"/>
      <c r="U55" s="508"/>
      <c r="V55" s="508"/>
      <c r="W55" s="508"/>
      <c r="X55" s="508"/>
      <c r="Y55" s="508"/>
      <c r="Z55" s="244"/>
      <c r="AA55" s="236"/>
    </row>
    <row r="56" spans="1:27" s="202" customFormat="1" ht="16.75" customHeight="1">
      <c r="A56" s="520"/>
      <c r="B56" s="521"/>
      <c r="C56" s="520"/>
      <c r="D56" s="520"/>
      <c r="E56" s="520"/>
      <c r="F56" s="522"/>
      <c r="G56" s="522"/>
      <c r="H56" s="522"/>
      <c r="I56" s="522"/>
      <c r="J56" s="522"/>
      <c r="K56" s="522" t="s">
        <v>375</v>
      </c>
      <c r="L56" s="522"/>
      <c r="O56" s="523"/>
      <c r="P56" s="523"/>
      <c r="Q56" s="523"/>
      <c r="R56" s="528"/>
      <c r="S56" s="528"/>
      <c r="T56" s="474"/>
      <c r="U56" s="473"/>
      <c r="V56" s="473"/>
      <c r="W56" s="473"/>
      <c r="X56" s="473"/>
      <c r="Y56" s="473"/>
      <c r="Z56" s="520"/>
      <c r="AA56" s="520"/>
    </row>
    <row r="57" spans="1:27" ht="21" customHeight="1">
      <c r="A57" s="236"/>
      <c r="B57" s="236"/>
      <c r="C57" s="236"/>
      <c r="E57" s="293"/>
      <c r="F57" s="249"/>
      <c r="G57" s="769"/>
      <c r="H57" s="769"/>
      <c r="I57" s="293"/>
      <c r="J57" s="293"/>
      <c r="K57" s="480"/>
      <c r="R57" s="473"/>
      <c r="S57" s="473"/>
      <c r="T57" s="473"/>
      <c r="U57" s="473"/>
      <c r="V57" s="473"/>
      <c r="W57" s="473"/>
      <c r="X57" s="473"/>
      <c r="Y57" s="473"/>
      <c r="Z57" s="236"/>
      <c r="AA57" s="236"/>
    </row>
    <row r="58" spans="1:27" ht="24.5" customHeight="1">
      <c r="B58" s="240"/>
      <c r="E58" s="293"/>
      <c r="F58" s="335" t="s">
        <v>379</v>
      </c>
      <c r="G58" s="391"/>
      <c r="H58" s="391"/>
      <c r="I58" s="517"/>
      <c r="J58" s="114"/>
      <c r="K58" s="391" t="s">
        <v>289</v>
      </c>
      <c r="L58" s="504"/>
      <c r="M58" s="503"/>
      <c r="N58" s="114"/>
      <c r="O58" s="529" t="s">
        <v>382</v>
      </c>
      <c r="P58" s="567">
        <f>F61-I61</f>
        <v>14.614582982194293</v>
      </c>
      <c r="Q58" s="510"/>
      <c r="R58" s="474"/>
      <c r="S58" s="474"/>
      <c r="T58" s="474"/>
      <c r="U58" s="473"/>
      <c r="V58" s="473"/>
      <c r="W58" s="473"/>
      <c r="X58" s="473"/>
      <c r="Y58" s="473"/>
      <c r="Z58" s="236"/>
      <c r="AA58" s="236"/>
    </row>
    <row r="59" spans="1:27" ht="19">
      <c r="B59" s="240"/>
      <c r="E59" s="293"/>
      <c r="F59" s="775" t="s">
        <v>368</v>
      </c>
      <c r="G59" s="775" t="s">
        <v>369</v>
      </c>
      <c r="H59" s="775" t="s">
        <v>178</v>
      </c>
      <c r="I59" s="775" t="s">
        <v>370</v>
      </c>
      <c r="J59" s="114"/>
      <c r="K59" s="569" t="s">
        <v>371</v>
      </c>
      <c r="L59" s="509" t="str">
        <f>IF(F61&gt;I61,"Needs to be improved vs. competition","Better than competition")</f>
        <v>Needs to be improved vs. competition</v>
      </c>
      <c r="M59" s="114"/>
      <c r="N59" s="253"/>
      <c r="O59" s="566"/>
      <c r="P59" s="566"/>
      <c r="Q59" s="114"/>
      <c r="R59" s="474"/>
      <c r="S59" s="474"/>
      <c r="T59" s="474"/>
      <c r="U59" s="473"/>
      <c r="V59" s="473"/>
      <c r="W59" s="473"/>
      <c r="X59" s="473"/>
      <c r="Y59" s="473"/>
      <c r="Z59" s="236"/>
      <c r="AA59" s="236"/>
    </row>
    <row r="60" spans="1:27">
      <c r="E60" s="293"/>
      <c r="F60" s="775"/>
      <c r="G60" s="775"/>
      <c r="H60" s="775"/>
      <c r="I60" s="775"/>
      <c r="J60" s="114"/>
      <c r="K60" s="568" t="s">
        <v>373</v>
      </c>
      <c r="L60" s="479"/>
      <c r="M60" s="114"/>
      <c r="N60" s="114"/>
      <c r="O60" s="114"/>
      <c r="P60" s="114"/>
      <c r="Q60" s="114"/>
      <c r="R60" s="474"/>
      <c r="S60" s="474"/>
      <c r="T60" s="474"/>
      <c r="U60" s="473"/>
      <c r="V60" s="473"/>
      <c r="W60" s="473"/>
      <c r="X60" s="473"/>
      <c r="Y60" s="473"/>
      <c r="Z60" s="236"/>
      <c r="AA60" s="236"/>
    </row>
    <row r="61" spans="1:27" ht="28.25" customHeight="1">
      <c r="B61" s="240"/>
      <c r="F61" s="527">
        <f>'Executive summary'!P21</f>
        <v>68.614582982194293</v>
      </c>
      <c r="G61" s="527">
        <f ca="1">F61+RANDBETWEEN(-2,2)</f>
        <v>67.614582982194293</v>
      </c>
      <c r="H61" s="527">
        <f ca="1">F61+RANDBETWEEN(-3,3)</f>
        <v>71.614582982194293</v>
      </c>
      <c r="I61" s="527">
        <f>HLOOKUP(H16,'Benchmark database'!B5:M6,2,0)</f>
        <v>54</v>
      </c>
      <c r="J61" s="114"/>
      <c r="K61" s="773" t="str">
        <f>HLOOKUP(H16,'Benchmark database'!B5:M7,3,0)</f>
        <v>Although slightly lower, it remains above the market average.</v>
      </c>
      <c r="L61" s="773"/>
      <c r="M61" s="773"/>
      <c r="N61" s="773"/>
      <c r="O61" s="773"/>
      <c r="P61" s="773"/>
      <c r="Q61" s="773"/>
      <c r="R61" s="773"/>
      <c r="S61" s="773"/>
      <c r="T61" s="474"/>
      <c r="U61" s="236"/>
      <c r="V61" s="236"/>
      <c r="W61" s="236"/>
      <c r="X61" s="236"/>
      <c r="Y61" s="236"/>
      <c r="Z61" s="236"/>
      <c r="AA61" s="236"/>
    </row>
    <row r="62" spans="1:27" ht="19">
      <c r="A62" s="236"/>
      <c r="B62" s="469"/>
      <c r="C62" s="236"/>
      <c r="E62" s="293"/>
      <c r="F62" s="490"/>
      <c r="G62" s="490"/>
      <c r="H62" s="490"/>
      <c r="I62" s="490"/>
      <c r="J62" s="490"/>
      <c r="K62" s="773"/>
      <c r="L62" s="773"/>
      <c r="M62" s="773"/>
      <c r="N62" s="773"/>
      <c r="O62" s="773"/>
      <c r="P62" s="773"/>
      <c r="Q62" s="773"/>
      <c r="R62" s="773"/>
      <c r="S62" s="773"/>
      <c r="T62" s="474"/>
      <c r="U62" s="508"/>
      <c r="V62" s="508"/>
      <c r="W62" s="508"/>
      <c r="X62" s="508"/>
      <c r="Y62" s="508"/>
      <c r="Z62" s="236"/>
      <c r="AA62" s="236"/>
    </row>
    <row r="63" spans="1:27" ht="22">
      <c r="A63" s="236"/>
      <c r="B63" s="236"/>
      <c r="C63" s="236"/>
      <c r="E63" s="295"/>
      <c r="F63" s="490"/>
      <c r="G63" s="490"/>
      <c r="H63" s="490"/>
      <c r="I63" s="490"/>
      <c r="J63" s="490"/>
      <c r="K63" s="773"/>
      <c r="L63" s="773"/>
      <c r="M63" s="773"/>
      <c r="N63" s="773"/>
      <c r="O63" s="773"/>
      <c r="P63" s="773"/>
      <c r="Q63" s="773"/>
      <c r="R63" s="773"/>
      <c r="S63" s="773"/>
      <c r="T63" s="474"/>
      <c r="U63" s="508"/>
      <c r="V63" s="508"/>
      <c r="W63" s="508"/>
      <c r="X63" s="508"/>
      <c r="Y63" s="508"/>
      <c r="Z63" s="244"/>
      <c r="AA63" s="236"/>
    </row>
    <row r="64" spans="1:27" s="202" customFormat="1" ht="16.75" customHeight="1">
      <c r="A64" s="520"/>
      <c r="B64" s="521"/>
      <c r="C64" s="520"/>
      <c r="D64" s="520"/>
      <c r="E64" s="520"/>
      <c r="F64" s="522"/>
      <c r="G64" s="522"/>
      <c r="H64" s="522"/>
      <c r="I64" s="522"/>
      <c r="J64" s="522"/>
      <c r="K64" s="522" t="s">
        <v>375</v>
      </c>
      <c r="L64" s="565" t="s">
        <v>458</v>
      </c>
      <c r="M64" s="522"/>
      <c r="N64" s="522"/>
      <c r="O64" s="522"/>
      <c r="P64" s="522"/>
      <c r="Q64" s="522"/>
      <c r="R64" s="522"/>
      <c r="S64" s="522"/>
      <c r="T64" s="522"/>
      <c r="U64" s="244"/>
      <c r="V64" s="244"/>
      <c r="W64" s="244"/>
      <c r="X64" s="244"/>
      <c r="Y64" s="244"/>
      <c r="Z64" s="520"/>
      <c r="AA64" s="520"/>
    </row>
    <row r="65" spans="1:34" ht="21" customHeight="1">
      <c r="E65" s="293"/>
      <c r="F65" s="290"/>
      <c r="G65" s="291"/>
      <c r="H65" s="518"/>
      <c r="I65" s="293"/>
      <c r="J65" s="296"/>
      <c r="K65" s="480"/>
      <c r="R65" s="473"/>
      <c r="S65" s="473"/>
      <c r="T65" s="473"/>
      <c r="U65" s="473"/>
      <c r="V65" s="473"/>
      <c r="W65" s="473"/>
      <c r="X65" s="473"/>
      <c r="Y65" s="473"/>
      <c r="Z65" s="236"/>
      <c r="AA65" s="236"/>
      <c r="AB65" s="234"/>
      <c r="AC65" s="776"/>
      <c r="AD65" s="777"/>
      <c r="AE65" s="777"/>
      <c r="AF65" s="777"/>
      <c r="AG65" s="777"/>
      <c r="AH65" s="234"/>
    </row>
    <row r="66" spans="1:34" ht="24.5" customHeight="1">
      <c r="B66" s="240"/>
      <c r="E66" s="293"/>
      <c r="F66" s="335" t="s">
        <v>380</v>
      </c>
      <c r="G66" s="391"/>
      <c r="H66" s="391"/>
      <c r="I66" s="517"/>
      <c r="J66" s="114"/>
      <c r="K66" s="391" t="s">
        <v>289</v>
      </c>
      <c r="L66" s="504"/>
      <c r="M66" s="503"/>
      <c r="N66" s="114"/>
      <c r="O66" s="529" t="s">
        <v>382</v>
      </c>
      <c r="P66" s="567">
        <f>F69-I69</f>
        <v>53.68206382480858</v>
      </c>
      <c r="Q66" s="510"/>
      <c r="R66" s="474"/>
      <c r="S66" s="474"/>
      <c r="T66" s="474"/>
      <c r="U66" s="473"/>
      <c r="V66" s="473"/>
      <c r="W66" s="473"/>
      <c r="X66" s="473"/>
      <c r="Y66" s="473"/>
      <c r="Z66" s="236"/>
      <c r="AA66" s="236"/>
      <c r="AC66" s="776"/>
      <c r="AD66" s="777"/>
      <c r="AE66" s="777"/>
      <c r="AF66" s="777"/>
      <c r="AG66" s="777"/>
    </row>
    <row r="67" spans="1:34" ht="19">
      <c r="B67" s="240"/>
      <c r="E67" s="293"/>
      <c r="F67" s="775" t="s">
        <v>368</v>
      </c>
      <c r="G67" s="775" t="s">
        <v>369</v>
      </c>
      <c r="H67" s="775" t="s">
        <v>178</v>
      </c>
      <c r="I67" s="775" t="s">
        <v>370</v>
      </c>
      <c r="J67" s="114"/>
      <c r="K67" s="569" t="s">
        <v>371</v>
      </c>
      <c r="L67" s="509" t="str">
        <f>IF(F69&gt;I69,"Better than competition","Lower than competition")</f>
        <v>Better than competition</v>
      </c>
      <c r="M67" s="114"/>
      <c r="N67" s="253"/>
      <c r="O67" s="533"/>
      <c r="P67" s="533"/>
      <c r="Q67" s="114"/>
      <c r="R67" s="474"/>
      <c r="S67" s="474"/>
      <c r="T67" s="474"/>
      <c r="U67" s="473"/>
      <c r="V67" s="473"/>
      <c r="W67" s="473"/>
      <c r="X67" s="473"/>
      <c r="Y67" s="473"/>
      <c r="Z67" s="236"/>
      <c r="AA67" s="236"/>
      <c r="AC67" s="777"/>
      <c r="AD67" s="777"/>
      <c r="AE67" s="777"/>
      <c r="AF67" s="777"/>
      <c r="AG67" s="777"/>
    </row>
    <row r="68" spans="1:34">
      <c r="E68" s="293"/>
      <c r="F68" s="775"/>
      <c r="G68" s="775"/>
      <c r="H68" s="775"/>
      <c r="I68" s="775"/>
      <c r="J68" s="114"/>
      <c r="K68" s="568" t="s">
        <v>373</v>
      </c>
      <c r="L68" s="479"/>
      <c r="M68" s="114"/>
      <c r="N68" s="114"/>
      <c r="O68" s="114"/>
      <c r="P68" s="114"/>
      <c r="Q68" s="114"/>
      <c r="R68" s="474"/>
      <c r="S68" s="474"/>
      <c r="T68" s="474"/>
      <c r="U68" s="473"/>
      <c r="V68" s="473"/>
      <c r="W68" s="473"/>
      <c r="X68" s="473"/>
      <c r="Y68" s="473"/>
      <c r="Z68" s="236"/>
      <c r="AA68" s="236"/>
      <c r="AC68" s="777"/>
      <c r="AD68" s="777"/>
      <c r="AE68" s="777"/>
      <c r="AF68" s="777"/>
      <c r="AG68" s="777"/>
    </row>
    <row r="69" spans="1:34" ht="28.25" customHeight="1">
      <c r="B69" s="240"/>
      <c r="F69" s="527">
        <f>'Executive summary'!P23</f>
        <v>108.68206382480858</v>
      </c>
      <c r="G69" s="527">
        <f ca="1">F69+RANDBETWEEN(-2,2)</f>
        <v>108.68206382480858</v>
      </c>
      <c r="H69" s="527">
        <f ca="1">F69+RANDBETWEEN(-3,3)</f>
        <v>108.68206382480858</v>
      </c>
      <c r="I69" s="527">
        <f>HLOOKUP(H16,'Benchmark database'!$B$5:$M$8,4)</f>
        <v>55</v>
      </c>
      <c r="J69" s="114"/>
      <c r="K69" s="773" t="str">
        <f>HLOOKUP(H16,'Benchmark database'!$B$5:$M$9,5,0)</f>
        <v>Very Consistently above market averages, maintaining slow payment trends.</v>
      </c>
      <c r="L69" s="773"/>
      <c r="M69" s="773"/>
      <c r="N69" s="773"/>
      <c r="O69" s="773"/>
      <c r="P69" s="773"/>
      <c r="Q69" s="773"/>
      <c r="R69" s="773"/>
      <c r="S69" s="773"/>
      <c r="T69" s="474"/>
      <c r="U69" s="236"/>
      <c r="V69" s="236"/>
      <c r="W69" s="236"/>
      <c r="X69" s="236"/>
      <c r="Y69" s="236"/>
      <c r="Z69" s="236"/>
      <c r="AA69" s="236"/>
    </row>
    <row r="70" spans="1:34" ht="19">
      <c r="A70" s="236"/>
      <c r="B70" s="469"/>
      <c r="C70" s="236"/>
      <c r="E70" s="293"/>
      <c r="F70" s="490"/>
      <c r="G70" s="490"/>
      <c r="H70" s="490"/>
      <c r="I70" s="490"/>
      <c r="J70" s="490"/>
      <c r="K70" s="773"/>
      <c r="L70" s="773"/>
      <c r="M70" s="773"/>
      <c r="N70" s="773"/>
      <c r="O70" s="773"/>
      <c r="P70" s="773"/>
      <c r="Q70" s="773"/>
      <c r="R70" s="773"/>
      <c r="S70" s="773"/>
      <c r="T70" s="474"/>
      <c r="U70" s="508"/>
      <c r="V70" s="508"/>
      <c r="W70" s="508"/>
      <c r="X70" s="508"/>
      <c r="Y70" s="508"/>
      <c r="Z70" s="236"/>
      <c r="AA70" s="236"/>
    </row>
    <row r="71" spans="1:34" ht="22">
      <c r="A71" s="236"/>
      <c r="B71" s="236"/>
      <c r="C71" s="236"/>
      <c r="E71" s="295"/>
      <c r="F71" s="490"/>
      <c r="G71" s="490"/>
      <c r="H71" s="490"/>
      <c r="I71" s="490"/>
      <c r="J71" s="490"/>
      <c r="K71" s="773"/>
      <c r="L71" s="773"/>
      <c r="M71" s="773"/>
      <c r="N71" s="773"/>
      <c r="O71" s="773"/>
      <c r="P71" s="773"/>
      <c r="Q71" s="773"/>
      <c r="R71" s="773"/>
      <c r="S71" s="773"/>
      <c r="T71" s="474"/>
      <c r="U71" s="508"/>
      <c r="V71" s="508"/>
      <c r="W71" s="508"/>
      <c r="X71" s="508"/>
      <c r="Y71" s="508"/>
      <c r="Z71" s="244"/>
      <c r="AA71" s="236"/>
    </row>
    <row r="72" spans="1:34" s="202" customFormat="1" ht="16.75" customHeight="1">
      <c r="A72" s="520"/>
      <c r="B72" s="521"/>
      <c r="C72" s="520"/>
      <c r="D72" s="520"/>
      <c r="E72" s="520"/>
      <c r="F72" s="522"/>
      <c r="G72" s="522"/>
      <c r="H72" s="522"/>
      <c r="I72" s="522"/>
      <c r="J72" s="522"/>
      <c r="K72" s="522" t="s">
        <v>375</v>
      </c>
      <c r="L72" s="565" t="s">
        <v>458</v>
      </c>
      <c r="O72" s="523"/>
      <c r="P72" s="523"/>
      <c r="Q72" s="523"/>
      <c r="R72" s="474"/>
      <c r="S72" s="474"/>
      <c r="T72" s="474"/>
      <c r="U72" s="244"/>
      <c r="V72" s="244"/>
      <c r="W72" s="244"/>
      <c r="X72" s="244"/>
      <c r="Y72" s="244"/>
      <c r="Z72" s="520"/>
      <c r="AA72" s="520"/>
    </row>
    <row r="73" spans="1:34" ht="21" customHeight="1">
      <c r="E73" s="295"/>
      <c r="F73" s="765"/>
      <c r="G73" s="765"/>
      <c r="H73" s="765"/>
      <c r="I73" s="293"/>
      <c r="J73" s="293"/>
      <c r="K73" s="480"/>
      <c r="T73" s="244"/>
      <c r="U73" s="244"/>
      <c r="V73" s="244"/>
      <c r="W73" s="244"/>
      <c r="X73" s="244"/>
      <c r="Y73" s="244"/>
      <c r="Z73" s="244"/>
      <c r="AA73" s="236"/>
    </row>
    <row r="74" spans="1:34" ht="24.5" customHeight="1">
      <c r="B74" s="240"/>
      <c r="E74" s="293"/>
      <c r="F74" s="335" t="s">
        <v>381</v>
      </c>
      <c r="G74" s="391"/>
      <c r="H74" s="391"/>
      <c r="I74" s="517"/>
      <c r="J74" s="114"/>
      <c r="K74" s="391" t="s">
        <v>289</v>
      </c>
      <c r="L74" s="504"/>
      <c r="M74" s="503"/>
      <c r="N74" s="114"/>
      <c r="O74" s="529" t="s">
        <v>382</v>
      </c>
      <c r="P74" s="567">
        <f>F77-I77</f>
        <v>7.5389982971043175</v>
      </c>
      <c r="Q74" s="510"/>
      <c r="R74" s="474"/>
      <c r="S74" s="474"/>
      <c r="T74" s="474"/>
      <c r="U74" s="473"/>
      <c r="V74" s="473"/>
      <c r="W74" s="473"/>
      <c r="X74" s="473"/>
      <c r="Y74" s="473"/>
      <c r="Z74" s="236"/>
      <c r="AA74" s="236"/>
    </row>
    <row r="75" spans="1:34" ht="19">
      <c r="B75" s="240"/>
      <c r="E75" s="293"/>
      <c r="F75" s="775" t="s">
        <v>368</v>
      </c>
      <c r="G75" s="775" t="s">
        <v>369</v>
      </c>
      <c r="H75" s="775" t="s">
        <v>178</v>
      </c>
      <c r="I75" s="775" t="s">
        <v>370</v>
      </c>
      <c r="J75" s="114"/>
      <c r="K75" s="114" t="s">
        <v>371</v>
      </c>
      <c r="L75" s="509" t="str">
        <f>IF(F77&gt;I77,"Needs to be improved vs. competition","Better than competition")</f>
        <v>Needs to be improved vs. competition</v>
      </c>
      <c r="M75" s="114"/>
      <c r="N75" s="253"/>
      <c r="O75" s="566"/>
      <c r="P75" s="566"/>
      <c r="Q75" s="114"/>
      <c r="R75" s="474"/>
      <c r="S75" s="474"/>
      <c r="T75" s="474"/>
      <c r="U75" s="473"/>
      <c r="V75" s="473"/>
      <c r="W75" s="473"/>
      <c r="X75" s="473"/>
      <c r="Y75" s="473"/>
      <c r="Z75" s="236"/>
      <c r="AA75" s="236"/>
    </row>
    <row r="76" spans="1:34">
      <c r="E76" s="293"/>
      <c r="F76" s="775"/>
      <c r="G76" s="775"/>
      <c r="H76" s="775"/>
      <c r="I76" s="775"/>
      <c r="J76" s="114"/>
      <c r="K76" s="234" t="s">
        <v>373</v>
      </c>
      <c r="L76" s="479"/>
      <c r="M76" s="114"/>
      <c r="N76" s="114"/>
      <c r="O76" s="114"/>
      <c r="P76" s="114"/>
      <c r="Q76" s="114"/>
      <c r="R76" s="474"/>
      <c r="S76" s="474"/>
      <c r="T76" s="474"/>
      <c r="U76" s="473"/>
      <c r="V76" s="473"/>
      <c r="W76" s="473"/>
      <c r="X76" s="473"/>
      <c r="Y76" s="473"/>
      <c r="Z76" s="236"/>
      <c r="AA76" s="236"/>
    </row>
    <row r="77" spans="1:34" ht="28.25" customHeight="1">
      <c r="B77" s="240"/>
      <c r="F77" s="527">
        <f>'Executive summary'!P22</f>
        <v>22.538998297104317</v>
      </c>
      <c r="G77" s="527">
        <f ca="1">F77+RANDBETWEEN(-2,2)</f>
        <v>21.538998297104317</v>
      </c>
      <c r="H77" s="527">
        <f ca="1">F77+RANDBETWEEN(-3,3)</f>
        <v>22.538998297104317</v>
      </c>
      <c r="I77" s="527">
        <f>HLOOKUP(H16,'Benchmark database'!$B$5:$M$10,6,0)</f>
        <v>15</v>
      </c>
      <c r="J77" s="114"/>
      <c r="K77" s="773" t="str">
        <f>HLOOKUP(H16,'Benchmark database'!$B$5:$M$11,7,0)</f>
        <v>Starting to push toward the higher end of the market average.</v>
      </c>
      <c r="L77" s="773"/>
      <c r="M77" s="773"/>
      <c r="N77" s="773"/>
      <c r="O77" s="773"/>
      <c r="P77" s="773"/>
      <c r="Q77" s="773"/>
      <c r="R77" s="773"/>
      <c r="S77" s="773"/>
      <c r="T77" s="474"/>
      <c r="U77" s="236"/>
      <c r="V77" s="236"/>
      <c r="W77" s="236"/>
      <c r="X77" s="236"/>
      <c r="Y77" s="236"/>
      <c r="Z77" s="236"/>
      <c r="AA77" s="236"/>
    </row>
    <row r="78" spans="1:34" ht="19">
      <c r="A78" s="236"/>
      <c r="B78" s="469"/>
      <c r="C78" s="236"/>
      <c r="E78" s="293"/>
      <c r="F78" s="490"/>
      <c r="G78" s="490"/>
      <c r="H78" s="490"/>
      <c r="I78" s="490"/>
      <c r="J78" s="490"/>
      <c r="K78" s="773"/>
      <c r="L78" s="773"/>
      <c r="M78" s="773"/>
      <c r="N78" s="773"/>
      <c r="O78" s="773"/>
      <c r="P78" s="773"/>
      <c r="Q78" s="773"/>
      <c r="R78" s="773"/>
      <c r="S78" s="773"/>
      <c r="T78" s="474"/>
      <c r="U78" s="508"/>
      <c r="V78" s="508"/>
      <c r="W78" s="508"/>
      <c r="X78" s="508"/>
      <c r="Y78" s="508"/>
      <c r="Z78" s="236"/>
      <c r="AA78" s="236"/>
    </row>
    <row r="79" spans="1:34" ht="22">
      <c r="A79" s="236"/>
      <c r="B79" s="236"/>
      <c r="C79" s="236"/>
      <c r="E79" s="295"/>
      <c r="F79" s="490"/>
      <c r="G79" s="490"/>
      <c r="H79" s="490"/>
      <c r="I79" s="490"/>
      <c r="J79" s="490"/>
      <c r="K79" s="773"/>
      <c r="L79" s="773"/>
      <c r="M79" s="773"/>
      <c r="N79" s="773"/>
      <c r="O79" s="773"/>
      <c r="P79" s="773"/>
      <c r="Q79" s="773"/>
      <c r="R79" s="773"/>
      <c r="S79" s="773"/>
      <c r="T79" s="474"/>
      <c r="U79" s="508"/>
      <c r="V79" s="508"/>
      <c r="W79" s="508"/>
      <c r="X79" s="508"/>
      <c r="Y79" s="508"/>
      <c r="Z79" s="244"/>
      <c r="AA79" s="236"/>
    </row>
    <row r="80" spans="1:34" s="202" customFormat="1" ht="16.75" customHeight="1">
      <c r="A80" s="520"/>
      <c r="B80" s="521"/>
      <c r="C80" s="520"/>
      <c r="D80" s="520"/>
      <c r="E80" s="520"/>
      <c r="F80" s="522"/>
      <c r="G80" s="522"/>
      <c r="H80" s="522"/>
      <c r="I80" s="522"/>
      <c r="J80" s="522"/>
      <c r="K80" s="522" t="s">
        <v>375</v>
      </c>
      <c r="L80" s="565" t="s">
        <v>458</v>
      </c>
      <c r="O80" s="523"/>
      <c r="P80" s="523"/>
      <c r="Q80" s="523"/>
      <c r="R80" s="474"/>
      <c r="S80" s="474"/>
      <c r="T80" s="474"/>
      <c r="U80" s="244"/>
      <c r="V80" s="244"/>
      <c r="W80" s="244"/>
      <c r="X80" s="244"/>
      <c r="Y80" s="244"/>
      <c r="Z80" s="520"/>
      <c r="AA80" s="520"/>
    </row>
    <row r="81" spans="1:27">
      <c r="F81" s="236"/>
      <c r="U81" s="236"/>
      <c r="V81" s="236"/>
      <c r="W81" s="236"/>
      <c r="X81" s="236"/>
      <c r="Y81" s="236"/>
      <c r="Z81" s="236"/>
      <c r="AA81" s="236"/>
    </row>
    <row r="82" spans="1:27" ht="24.5" customHeight="1">
      <c r="B82" s="240"/>
      <c r="E82" s="293"/>
      <c r="F82" s="335" t="s">
        <v>383</v>
      </c>
      <c r="G82" s="391"/>
      <c r="H82" s="391"/>
      <c r="I82" s="517"/>
      <c r="J82" s="114"/>
      <c r="K82" s="391" t="s">
        <v>289</v>
      </c>
      <c r="L82" s="504"/>
      <c r="M82" s="503"/>
      <c r="N82" s="114"/>
      <c r="O82" s="529" t="s">
        <v>382</v>
      </c>
      <c r="P82" s="575">
        <f>F85-I85</f>
        <v>2.0000000000000018E-3</v>
      </c>
      <c r="Q82" s="510"/>
      <c r="R82" s="474"/>
      <c r="S82" s="474"/>
      <c r="T82" s="474"/>
      <c r="U82" s="473"/>
      <c r="V82" s="473"/>
      <c r="W82" s="473"/>
      <c r="X82" s="473"/>
      <c r="Y82" s="473"/>
      <c r="Z82" s="236"/>
      <c r="AA82" s="236"/>
    </row>
    <row r="83" spans="1:27" ht="19">
      <c r="B83" s="240"/>
      <c r="E83" s="293"/>
      <c r="F83" s="775" t="s">
        <v>368</v>
      </c>
      <c r="G83" s="775" t="s">
        <v>369</v>
      </c>
      <c r="H83" s="775" t="s">
        <v>178</v>
      </c>
      <c r="I83" s="775" t="s">
        <v>370</v>
      </c>
      <c r="J83" s="114"/>
      <c r="K83" s="114" t="s">
        <v>371</v>
      </c>
      <c r="L83" s="509" t="str">
        <f>IF(F85&gt;I85,"Needs to be improved vs. competition","Better than competition")</f>
        <v>Needs to be improved vs. competition</v>
      </c>
      <c r="M83" s="114"/>
      <c r="N83" s="253"/>
      <c r="O83" s="566"/>
      <c r="P83" s="566"/>
      <c r="Q83"/>
      <c r="R83" s="474"/>
      <c r="S83" s="474"/>
      <c r="T83" s="474"/>
      <c r="U83" s="473"/>
      <c r="V83" s="473"/>
      <c r="W83" s="473"/>
      <c r="X83" s="473"/>
      <c r="Y83" s="473"/>
      <c r="Z83" s="236"/>
      <c r="AA83" s="236"/>
    </row>
    <row r="84" spans="1:27">
      <c r="E84" s="293"/>
      <c r="F84" s="775"/>
      <c r="G84" s="775"/>
      <c r="H84" s="775"/>
      <c r="I84" s="775"/>
      <c r="J84" s="114"/>
      <c r="K84" s="234" t="s">
        <v>373</v>
      </c>
      <c r="L84" s="479"/>
      <c r="M84" s="114"/>
      <c r="N84" s="114"/>
      <c r="O84" s="114"/>
      <c r="P84" s="114"/>
      <c r="Q84" s="114"/>
      <c r="R84" s="474"/>
      <c r="S84" s="474"/>
      <c r="T84" s="474"/>
      <c r="U84" s="473"/>
      <c r="V84" s="473"/>
      <c r="W84" s="473"/>
      <c r="X84" s="473"/>
      <c r="Y84" s="473"/>
      <c r="Z84" s="236"/>
      <c r="AA84" s="236"/>
    </row>
    <row r="85" spans="1:27" ht="28.25" customHeight="1">
      <c r="B85" s="240"/>
      <c r="F85" s="710">
        <f>'Executive summary'!U23</f>
        <v>5.7000000000000002E-2</v>
      </c>
      <c r="G85" s="506">
        <f>F85</f>
        <v>5.7000000000000002E-2</v>
      </c>
      <c r="H85" s="527">
        <f>F85</f>
        <v>5.7000000000000002E-2</v>
      </c>
      <c r="I85" s="531">
        <v>5.5E-2</v>
      </c>
      <c r="J85" s="114"/>
      <c r="K85" s="773" t="s">
        <v>508</v>
      </c>
      <c r="L85" s="773"/>
      <c r="M85" s="773"/>
      <c r="N85" s="773"/>
      <c r="O85" s="773"/>
      <c r="P85" s="773"/>
      <c r="Q85" s="773"/>
      <c r="R85" s="773"/>
      <c r="S85" s="773"/>
      <c r="T85" s="773"/>
      <c r="U85" s="236"/>
      <c r="V85" s="236"/>
      <c r="W85" s="236"/>
      <c r="X85" s="236"/>
      <c r="Y85" s="236"/>
      <c r="Z85" s="236"/>
      <c r="AA85" s="236"/>
    </row>
    <row r="86" spans="1:27" ht="19">
      <c r="A86" s="236"/>
      <c r="B86" s="469"/>
      <c r="C86" s="236"/>
      <c r="E86" s="293"/>
      <c r="F86" s="490"/>
      <c r="G86" s="490"/>
      <c r="H86" s="490"/>
      <c r="I86" s="490"/>
      <c r="J86" s="490"/>
      <c r="K86" s="773"/>
      <c r="L86" s="773"/>
      <c r="M86" s="773"/>
      <c r="N86" s="773"/>
      <c r="O86" s="773"/>
      <c r="P86" s="773"/>
      <c r="Q86" s="773"/>
      <c r="R86" s="773"/>
      <c r="S86" s="773"/>
      <c r="T86" s="773"/>
      <c r="U86" s="508"/>
      <c r="V86" s="508"/>
      <c r="W86" s="508"/>
      <c r="X86" s="508"/>
      <c r="Y86" s="508"/>
      <c r="Z86" s="236"/>
      <c r="AA86" s="236"/>
    </row>
    <row r="87" spans="1:27" ht="22">
      <c r="A87" s="236"/>
      <c r="B87" s="236"/>
      <c r="C87" s="236"/>
      <c r="E87" s="295"/>
      <c r="F87" s="490"/>
      <c r="G87" s="490"/>
      <c r="H87" s="490"/>
      <c r="I87" s="490"/>
      <c r="J87" s="490"/>
      <c r="K87" s="773"/>
      <c r="L87" s="773"/>
      <c r="M87" s="773"/>
      <c r="N87" s="773"/>
      <c r="O87" s="773"/>
      <c r="P87" s="773"/>
      <c r="Q87" s="773"/>
      <c r="R87" s="773"/>
      <c r="S87" s="773"/>
      <c r="T87" s="773"/>
      <c r="U87" s="508"/>
      <c r="V87" s="508"/>
      <c r="W87" s="508"/>
      <c r="X87" s="508"/>
      <c r="Y87" s="508"/>
      <c r="Z87" s="244"/>
      <c r="AA87" s="236"/>
    </row>
    <row r="88" spans="1:27" s="202" customFormat="1" ht="16.75" customHeight="1">
      <c r="A88" s="520"/>
      <c r="B88" s="521"/>
      <c r="C88" s="520"/>
      <c r="D88" s="520"/>
      <c r="E88" s="520"/>
      <c r="F88" s="522"/>
      <c r="G88" s="522"/>
      <c r="H88" s="522"/>
      <c r="I88" s="522"/>
      <c r="J88" s="522"/>
      <c r="K88" s="522" t="s">
        <v>375</v>
      </c>
      <c r="L88" s="522"/>
      <c r="O88" s="523"/>
      <c r="P88" s="523"/>
      <c r="Q88" s="523"/>
      <c r="R88" s="474"/>
      <c r="S88" s="474"/>
      <c r="T88" s="474"/>
      <c r="U88" s="244"/>
      <c r="V88" s="244"/>
      <c r="W88" s="244"/>
      <c r="X88" s="244"/>
      <c r="Y88" s="244"/>
      <c r="Z88" s="520"/>
      <c r="AA88" s="520"/>
    </row>
    <row r="89" spans="1:27">
      <c r="F89" s="236"/>
      <c r="U89" s="236"/>
      <c r="V89" s="236"/>
      <c r="W89" s="236"/>
      <c r="X89" s="236"/>
      <c r="Y89" s="236"/>
      <c r="Z89" s="236"/>
      <c r="AA89" s="236"/>
    </row>
    <row r="90" spans="1:27" ht="24.5" customHeight="1">
      <c r="B90" s="240"/>
      <c r="E90" s="293"/>
      <c r="F90" s="335" t="s">
        <v>384</v>
      </c>
      <c r="G90" s="391"/>
      <c r="H90" s="391"/>
      <c r="I90" s="517"/>
      <c r="J90" s="114"/>
      <c r="K90" s="391" t="s">
        <v>289</v>
      </c>
      <c r="L90" s="504"/>
      <c r="M90" s="503"/>
      <c r="N90" s="114"/>
      <c r="O90" s="529" t="s">
        <v>382</v>
      </c>
      <c r="P90" s="530">
        <f>F94-I94</f>
        <v>0</v>
      </c>
      <c r="Q90" s="510"/>
      <c r="R90" s="474"/>
      <c r="S90" s="474"/>
      <c r="T90" s="474"/>
      <c r="U90" s="473"/>
      <c r="V90" s="473"/>
      <c r="W90" s="473"/>
      <c r="X90" s="473"/>
      <c r="Y90" s="473"/>
      <c r="Z90" s="236"/>
      <c r="AA90" s="236"/>
    </row>
    <row r="91" spans="1:27" ht="19">
      <c r="B91" s="240"/>
      <c r="E91" s="293"/>
      <c r="F91" s="775" t="s">
        <v>368</v>
      </c>
      <c r="G91" s="775" t="s">
        <v>369</v>
      </c>
      <c r="H91" s="775" t="s">
        <v>178</v>
      </c>
      <c r="I91" s="775" t="s">
        <v>370</v>
      </c>
      <c r="J91" s="114"/>
      <c r="K91" s="114" t="s">
        <v>371</v>
      </c>
      <c r="L91" s="509" t="str">
        <f>IF(F93&gt;I93,"Better than competition","Lower than competition")</f>
        <v>Better than competition</v>
      </c>
      <c r="M91" s="114"/>
      <c r="N91" s="253"/>
      <c r="O91" s="533"/>
      <c r="P91" s="533"/>
      <c r="Q91" s="114"/>
      <c r="R91" s="474"/>
      <c r="S91" s="474"/>
      <c r="T91" s="474"/>
      <c r="U91" s="473"/>
      <c r="V91" s="473"/>
      <c r="W91" s="473"/>
      <c r="X91" s="473"/>
      <c r="Y91" s="473"/>
      <c r="Z91" s="236"/>
      <c r="AA91" s="236"/>
    </row>
    <row r="92" spans="1:27">
      <c r="E92" s="293"/>
      <c r="F92" s="775"/>
      <c r="G92" s="775"/>
      <c r="H92" s="775"/>
      <c r="I92" s="775"/>
      <c r="J92" s="114"/>
      <c r="K92" s="234" t="s">
        <v>373</v>
      </c>
      <c r="L92" s="479"/>
      <c r="M92" s="114"/>
      <c r="N92" s="114"/>
      <c r="O92" s="114"/>
      <c r="P92" s="114"/>
      <c r="Q92" s="114"/>
      <c r="R92" s="474"/>
      <c r="S92" s="474"/>
      <c r="T92" s="474"/>
      <c r="U92" s="473"/>
      <c r="V92" s="473"/>
      <c r="W92" s="473"/>
      <c r="X92" s="473"/>
      <c r="Y92" s="473"/>
      <c r="Z92" s="236"/>
      <c r="AA92" s="236"/>
    </row>
    <row r="93" spans="1:27" ht="28.25" customHeight="1">
      <c r="B93" s="240"/>
      <c r="F93" s="506">
        <v>0.04</v>
      </c>
      <c r="G93" s="506">
        <v>0.04</v>
      </c>
      <c r="H93" s="531">
        <f>F93</f>
        <v>0.04</v>
      </c>
      <c r="I93" s="114"/>
      <c r="J93" s="114"/>
      <c r="K93" s="264"/>
      <c r="L93" s="114"/>
      <c r="M93" s="114"/>
      <c r="N93" s="114"/>
      <c r="O93" s="487"/>
      <c r="P93" s="114"/>
      <c r="Q93" s="114"/>
      <c r="R93" s="474"/>
      <c r="S93" s="474"/>
      <c r="T93" s="474"/>
      <c r="U93" s="236"/>
      <c r="V93" s="236"/>
      <c r="W93" s="236"/>
      <c r="X93" s="236"/>
      <c r="Y93" s="236"/>
      <c r="Z93" s="236"/>
      <c r="AA93" s="236"/>
    </row>
    <row r="94" spans="1:27" ht="19">
      <c r="A94" s="236"/>
      <c r="B94" s="469"/>
      <c r="C94" s="236"/>
      <c r="E94" s="293"/>
      <c r="F94" s="490"/>
      <c r="G94" s="490"/>
      <c r="H94" s="490"/>
      <c r="I94" s="490"/>
      <c r="J94" s="490"/>
      <c r="K94" s="490"/>
      <c r="L94" s="490"/>
      <c r="M94" s="114"/>
      <c r="N94" s="114"/>
      <c r="O94" s="511"/>
      <c r="P94" s="512"/>
      <c r="Q94" s="512"/>
      <c r="R94" s="474"/>
      <c r="S94" s="474"/>
      <c r="T94" s="474"/>
      <c r="U94" s="508"/>
      <c r="V94" s="508"/>
      <c r="W94" s="508"/>
      <c r="X94" s="508"/>
      <c r="Y94" s="508"/>
      <c r="Z94" s="236"/>
      <c r="AA94" s="236"/>
    </row>
    <row r="95" spans="1:27" ht="22">
      <c r="A95" s="236"/>
      <c r="B95" s="236"/>
      <c r="C95" s="236"/>
      <c r="E95" s="295"/>
      <c r="F95" s="490"/>
      <c r="G95" s="490"/>
      <c r="H95" s="490"/>
      <c r="I95" s="490"/>
      <c r="J95" s="490"/>
      <c r="K95" s="490"/>
      <c r="L95" s="490"/>
      <c r="M95" s="114"/>
      <c r="N95" s="114"/>
      <c r="O95" s="512"/>
      <c r="P95" s="512"/>
      <c r="Q95" s="512"/>
      <c r="R95" s="474"/>
      <c r="S95" s="474"/>
      <c r="T95" s="474"/>
      <c r="U95" s="508"/>
      <c r="V95" s="508"/>
      <c r="W95" s="508"/>
      <c r="X95" s="508"/>
      <c r="Y95" s="508"/>
      <c r="Z95" s="244"/>
      <c r="AA95" s="236"/>
    </row>
    <row r="96" spans="1:27" s="202" customFormat="1" ht="16.75" customHeight="1">
      <c r="A96" s="520"/>
      <c r="B96" s="521"/>
      <c r="C96" s="520"/>
      <c r="D96" s="520"/>
      <c r="E96" s="520"/>
      <c r="F96" s="522"/>
      <c r="G96" s="522"/>
      <c r="H96" s="522"/>
      <c r="I96" s="522"/>
      <c r="J96" s="522"/>
      <c r="K96" s="522" t="s">
        <v>375</v>
      </c>
      <c r="L96" s="522"/>
      <c r="O96" s="523"/>
      <c r="P96" s="523"/>
      <c r="Q96" s="523"/>
      <c r="R96" s="474"/>
      <c r="S96" s="474"/>
      <c r="T96" s="474"/>
      <c r="U96" s="244"/>
      <c r="V96" s="244"/>
      <c r="W96" s="244"/>
      <c r="X96" s="244"/>
      <c r="Y96" s="244"/>
      <c r="Z96" s="520"/>
      <c r="AA96" s="520"/>
    </row>
    <row r="97" spans="1:27">
      <c r="F97" s="236"/>
      <c r="U97" s="236"/>
      <c r="V97" s="236"/>
      <c r="W97" s="236"/>
      <c r="X97" s="236"/>
      <c r="Y97" s="236"/>
      <c r="Z97" s="236"/>
      <c r="AA97" s="236"/>
    </row>
    <row r="98" spans="1:27" ht="24.5" customHeight="1">
      <c r="B98" s="240"/>
      <c r="E98" s="293"/>
      <c r="F98" s="335" t="s">
        <v>385</v>
      </c>
      <c r="G98" s="391"/>
      <c r="H98" s="391"/>
      <c r="I98" s="517"/>
      <c r="J98" s="114"/>
      <c r="K98" s="391" t="s">
        <v>289</v>
      </c>
      <c r="L98" s="504"/>
      <c r="M98" s="503"/>
      <c r="N98" s="114"/>
      <c r="O98" s="529" t="s">
        <v>382</v>
      </c>
      <c r="P98" s="530">
        <f>F102-I102</f>
        <v>0</v>
      </c>
      <c r="Q98" s="510"/>
      <c r="R98" s="474"/>
      <c r="S98" s="474"/>
      <c r="T98" s="474"/>
      <c r="U98" s="473"/>
      <c r="V98" s="473"/>
      <c r="W98" s="473"/>
      <c r="X98" s="473"/>
      <c r="Y98" s="473"/>
      <c r="Z98" s="236"/>
      <c r="AA98" s="236"/>
    </row>
    <row r="99" spans="1:27" ht="19">
      <c r="B99" s="240"/>
      <c r="E99" s="293"/>
      <c r="F99" s="775" t="s">
        <v>368</v>
      </c>
      <c r="G99" s="775" t="s">
        <v>369</v>
      </c>
      <c r="H99" s="775" t="s">
        <v>178</v>
      </c>
      <c r="I99" s="775" t="s">
        <v>370</v>
      </c>
      <c r="J99" s="114"/>
      <c r="K99" s="114" t="s">
        <v>371</v>
      </c>
      <c r="L99" s="509" t="str">
        <f>IF(F101&gt;I101,"Better than competition","Lower than competition")</f>
        <v>Better than competition</v>
      </c>
      <c r="M99" s="114"/>
      <c r="N99" s="253"/>
      <c r="O99" s="533"/>
      <c r="P99" s="533"/>
      <c r="Q99" s="114"/>
      <c r="R99" s="474"/>
      <c r="S99" s="474"/>
      <c r="T99" s="474"/>
      <c r="U99" s="473"/>
      <c r="V99" s="473"/>
      <c r="W99" s="473"/>
      <c r="X99" s="473"/>
      <c r="Y99" s="473"/>
      <c r="Z99" s="236"/>
      <c r="AA99" s="236"/>
    </row>
    <row r="100" spans="1:27">
      <c r="E100" s="293"/>
      <c r="F100" s="775"/>
      <c r="G100" s="775"/>
      <c r="H100" s="775"/>
      <c r="I100" s="775"/>
      <c r="J100" s="114"/>
      <c r="K100" s="234" t="s">
        <v>373</v>
      </c>
      <c r="L100" s="479"/>
      <c r="M100" s="114"/>
      <c r="N100" s="114"/>
      <c r="O100" s="114"/>
      <c r="P100" s="114"/>
      <c r="Q100" s="114"/>
      <c r="R100" s="474"/>
      <c r="S100" s="474"/>
      <c r="T100" s="474"/>
      <c r="U100" s="473"/>
      <c r="V100" s="473"/>
      <c r="W100" s="473"/>
      <c r="X100" s="473"/>
      <c r="Y100" s="473"/>
      <c r="Z100" s="236"/>
      <c r="AA100" s="236"/>
    </row>
    <row r="101" spans="1:27" ht="28.25" customHeight="1">
      <c r="B101" s="240"/>
      <c r="F101" s="506">
        <f>HLOOKUP('Executive summary'!$H$16,'LTM P&amp;L'!$D$17:$P$33,17,0)/'Executive summary'!G21</f>
        <v>0.23403895873856081</v>
      </c>
      <c r="G101" s="506">
        <f>F101</f>
        <v>0.23403895873856081</v>
      </c>
      <c r="H101" s="531">
        <f>HLOOKUP('Executive summary'!$H$16,'P&amp;L Budget'!$D$16:$P$32,17,0)/'Executive summary'!G21</f>
        <v>0.23403895873856081</v>
      </c>
      <c r="I101" s="114"/>
      <c r="J101" s="114"/>
      <c r="K101" s="264"/>
      <c r="L101" s="114"/>
      <c r="M101" s="114"/>
      <c r="N101" s="114"/>
      <c r="O101" s="487"/>
      <c r="P101" s="114"/>
      <c r="Q101" s="114"/>
      <c r="R101" s="474"/>
      <c r="S101" s="474"/>
      <c r="T101" s="474"/>
      <c r="U101" s="236"/>
      <c r="V101" s="236"/>
      <c r="W101" s="236"/>
      <c r="X101" s="236"/>
      <c r="Y101" s="236"/>
      <c r="Z101" s="236"/>
      <c r="AA101" s="236"/>
    </row>
    <row r="102" spans="1:27" ht="19">
      <c r="A102" s="236"/>
      <c r="B102" s="469"/>
      <c r="C102" s="236"/>
      <c r="E102" s="293"/>
      <c r="F102" s="490"/>
      <c r="G102" s="490"/>
      <c r="H102" s="490"/>
      <c r="I102" s="490"/>
      <c r="J102" s="490"/>
      <c r="K102" s="490"/>
      <c r="L102" s="490"/>
      <c r="M102" s="114"/>
      <c r="N102" s="114"/>
      <c r="O102" s="511"/>
      <c r="P102" s="512"/>
      <c r="Q102" s="512"/>
      <c r="R102" s="474"/>
      <c r="S102" s="474"/>
      <c r="T102" s="474"/>
      <c r="U102" s="508"/>
      <c r="V102" s="508"/>
      <c r="W102" s="508"/>
      <c r="X102" s="508"/>
      <c r="Y102" s="508"/>
      <c r="Z102" s="236"/>
      <c r="AA102" s="236"/>
    </row>
    <row r="103" spans="1:27" ht="22">
      <c r="A103" s="236"/>
      <c r="B103" s="236"/>
      <c r="C103" s="236"/>
      <c r="E103" s="295"/>
      <c r="F103" s="490"/>
      <c r="G103" s="490"/>
      <c r="H103" s="490"/>
      <c r="I103" s="490"/>
      <c r="J103" s="490"/>
      <c r="K103" s="490"/>
      <c r="L103" s="490"/>
      <c r="M103" s="114"/>
      <c r="N103" s="114"/>
      <c r="O103" s="512"/>
      <c r="P103" s="512"/>
      <c r="Q103" s="512"/>
      <c r="R103" s="474"/>
      <c r="S103" s="474"/>
      <c r="T103" s="474"/>
      <c r="U103" s="508"/>
      <c r="V103" s="508"/>
      <c r="W103" s="508"/>
      <c r="X103" s="508"/>
      <c r="Y103" s="508"/>
      <c r="Z103" s="244"/>
      <c r="AA103" s="236"/>
    </row>
    <row r="104" spans="1:27" s="202" customFormat="1" ht="16.75" customHeight="1">
      <c r="A104" s="520"/>
      <c r="B104" s="521"/>
      <c r="C104" s="520"/>
      <c r="D104" s="520"/>
      <c r="E104" s="520"/>
      <c r="F104" s="522"/>
      <c r="G104" s="522"/>
      <c r="H104" s="522"/>
      <c r="I104" s="522"/>
      <c r="J104" s="522"/>
      <c r="K104" s="522" t="s">
        <v>375</v>
      </c>
      <c r="L104" s="522"/>
      <c r="O104" s="523"/>
      <c r="P104" s="523"/>
      <c r="Q104" s="523"/>
      <c r="R104" s="474"/>
      <c r="S104" s="474"/>
      <c r="T104" s="474"/>
      <c r="U104" s="244"/>
      <c r="V104" s="244"/>
      <c r="W104" s="244"/>
      <c r="X104" s="244"/>
      <c r="Y104" s="244"/>
      <c r="Z104" s="520"/>
      <c r="AA104" s="520"/>
    </row>
    <row r="105" spans="1:27">
      <c r="U105" s="236"/>
      <c r="V105" s="236"/>
      <c r="W105" s="236"/>
      <c r="X105" s="236"/>
      <c r="Y105" s="236"/>
      <c r="Z105" s="236"/>
      <c r="AA105" s="236"/>
    </row>
    <row r="106" spans="1:27" ht="24.5" customHeight="1">
      <c r="B106" s="240"/>
      <c r="E106" s="293"/>
      <c r="F106" s="335" t="s">
        <v>386</v>
      </c>
      <c r="G106" s="391"/>
      <c r="H106" s="391"/>
      <c r="I106" s="517"/>
      <c r="J106" s="114"/>
      <c r="K106" s="391" t="s">
        <v>289</v>
      </c>
      <c r="L106" s="504"/>
      <c r="M106" s="503"/>
      <c r="N106" s="114"/>
      <c r="O106" s="529" t="s">
        <v>382</v>
      </c>
      <c r="P106" s="530">
        <f>F110-I110</f>
        <v>0</v>
      </c>
      <c r="Q106" s="510"/>
      <c r="R106" s="474"/>
      <c r="S106" s="474"/>
      <c r="T106" s="474"/>
      <c r="U106" s="473"/>
      <c r="V106" s="473"/>
      <c r="W106" s="473"/>
      <c r="X106" s="473"/>
      <c r="Y106" s="473"/>
      <c r="Z106" s="236"/>
      <c r="AA106" s="236"/>
    </row>
    <row r="107" spans="1:27" ht="19">
      <c r="B107" s="240"/>
      <c r="E107" s="293"/>
      <c r="F107" s="775" t="s">
        <v>368</v>
      </c>
      <c r="G107" s="775" t="s">
        <v>369</v>
      </c>
      <c r="H107" s="775" t="s">
        <v>178</v>
      </c>
      <c r="I107" s="775" t="s">
        <v>370</v>
      </c>
      <c r="J107" s="114"/>
      <c r="K107" s="114" t="s">
        <v>371</v>
      </c>
      <c r="L107" s="509" t="str">
        <f ca="1">IF(F109&gt;I109,"Better than competition","Lower than competition")</f>
        <v>Better than competition</v>
      </c>
      <c r="M107" s="114"/>
      <c r="N107" s="253"/>
      <c r="O107" s="533"/>
      <c r="P107" s="533"/>
      <c r="Q107" s="114"/>
      <c r="R107" s="474"/>
      <c r="S107" s="474"/>
      <c r="T107" s="474"/>
      <c r="U107" s="473"/>
      <c r="V107" s="473"/>
      <c r="W107" s="473"/>
      <c r="X107" s="473"/>
      <c r="Y107" s="473"/>
      <c r="Z107" s="236"/>
      <c r="AA107" s="236"/>
    </row>
    <row r="108" spans="1:27">
      <c r="E108" s="293"/>
      <c r="F108" s="775"/>
      <c r="G108" s="775"/>
      <c r="H108" s="775"/>
      <c r="I108" s="775"/>
      <c r="J108" s="114"/>
      <c r="K108" s="234" t="s">
        <v>373</v>
      </c>
      <c r="L108" s="479"/>
      <c r="M108" s="114"/>
      <c r="N108" s="114"/>
      <c r="O108" s="114"/>
      <c r="P108" s="114"/>
      <c r="Q108" s="114"/>
      <c r="R108" s="474"/>
      <c r="S108" s="474"/>
      <c r="T108" s="474"/>
      <c r="U108" s="473"/>
      <c r="V108" s="473"/>
      <c r="W108" s="473"/>
      <c r="X108" s="473"/>
      <c r="Y108" s="473"/>
      <c r="Z108" s="236"/>
      <c r="AA108" s="236"/>
    </row>
    <row r="109" spans="1:27" ht="28.25" customHeight="1">
      <c r="B109" s="240"/>
      <c r="F109" s="506">
        <f ca="1">'Fomulas ExecSum'!B53</f>
        <v>0.10639304382152671</v>
      </c>
      <c r="G109" s="506">
        <f ca="1">F109</f>
        <v>0.10639304382152671</v>
      </c>
      <c r="H109" s="531">
        <f ca="1">'Fomulas ExecSum'!B53+RANDBETWEEN(-0.1,0.1)</f>
        <v>0.10639304382152671</v>
      </c>
      <c r="I109" s="534"/>
      <c r="J109" s="114"/>
      <c r="K109" s="264"/>
      <c r="L109" s="114"/>
      <c r="M109" s="114"/>
      <c r="N109" s="114"/>
      <c r="O109" s="487"/>
      <c r="P109" s="114"/>
      <c r="Q109" s="114"/>
      <c r="R109" s="474"/>
      <c r="S109" s="474"/>
      <c r="T109" s="474"/>
      <c r="U109" s="236"/>
      <c r="V109" s="236"/>
      <c r="W109" s="236"/>
      <c r="X109" s="236"/>
      <c r="Y109" s="236"/>
      <c r="Z109" s="236"/>
      <c r="AA109" s="236"/>
    </row>
    <row r="110" spans="1:27" ht="19">
      <c r="A110" s="236"/>
      <c r="B110" s="469"/>
      <c r="C110" s="236"/>
      <c r="E110" s="293"/>
      <c r="F110" s="490"/>
      <c r="G110" s="490"/>
      <c r="H110" s="490"/>
      <c r="I110" s="490"/>
      <c r="J110" s="490"/>
      <c r="K110" s="490"/>
      <c r="L110" s="490"/>
      <c r="M110" s="114"/>
      <c r="N110" s="114"/>
      <c r="O110" s="511"/>
      <c r="P110" s="512"/>
      <c r="Q110" s="512"/>
      <c r="R110" s="474"/>
      <c r="S110" s="474"/>
      <c r="T110" s="474"/>
      <c r="U110" s="508"/>
      <c r="V110" s="508"/>
      <c r="W110" s="508"/>
      <c r="X110" s="508"/>
      <c r="Y110" s="508"/>
      <c r="Z110" s="236"/>
      <c r="AA110" s="236"/>
    </row>
    <row r="111" spans="1:27" ht="22">
      <c r="A111" s="236"/>
      <c r="B111" s="236"/>
      <c r="C111" s="236"/>
      <c r="E111" s="295"/>
      <c r="F111" s="490"/>
      <c r="G111" s="490"/>
      <c r="H111" s="490"/>
      <c r="I111" s="490"/>
      <c r="J111" s="490"/>
      <c r="K111" s="490"/>
      <c r="L111" s="490"/>
      <c r="M111" s="114"/>
      <c r="N111" s="114"/>
      <c r="O111" s="512"/>
      <c r="P111" s="512"/>
      <c r="Q111" s="512"/>
      <c r="R111" s="474"/>
      <c r="S111" s="474"/>
      <c r="T111" s="474"/>
      <c r="U111" s="508"/>
      <c r="V111" s="508"/>
      <c r="W111" s="508"/>
      <c r="X111" s="508"/>
      <c r="Y111" s="508"/>
      <c r="Z111" s="244"/>
      <c r="AA111" s="236"/>
    </row>
    <row r="112" spans="1:27" s="202" customFormat="1" ht="16.75" customHeight="1">
      <c r="A112" s="520"/>
      <c r="B112" s="521"/>
      <c r="C112" s="520"/>
      <c r="D112" s="520"/>
      <c r="E112" s="520"/>
      <c r="F112" s="522"/>
      <c r="G112" s="522"/>
      <c r="H112" s="522"/>
      <c r="I112" s="522"/>
      <c r="J112" s="522"/>
      <c r="K112" s="522" t="s">
        <v>375</v>
      </c>
      <c r="L112" s="522"/>
      <c r="O112" s="523"/>
      <c r="P112" s="523"/>
      <c r="Q112" s="523"/>
      <c r="R112" s="474"/>
      <c r="S112" s="474"/>
      <c r="T112" s="474"/>
      <c r="U112" s="244"/>
      <c r="V112" s="244"/>
      <c r="W112" s="244"/>
      <c r="X112" s="244"/>
      <c r="Y112" s="244"/>
      <c r="Z112" s="520"/>
      <c r="AA112" s="520"/>
    </row>
    <row r="113" spans="1:27">
      <c r="U113" s="236"/>
      <c r="V113" s="236"/>
      <c r="W113" s="236"/>
      <c r="X113" s="236"/>
      <c r="Y113" s="236"/>
      <c r="Z113" s="236"/>
      <c r="AA113" s="236"/>
    </row>
    <row r="114" spans="1:27" ht="24.5" customHeight="1">
      <c r="B114" s="240"/>
      <c r="E114" s="293"/>
      <c r="F114" s="335" t="s">
        <v>387</v>
      </c>
      <c r="G114" s="391"/>
      <c r="H114" s="391"/>
      <c r="I114" s="517"/>
      <c r="J114" s="114"/>
      <c r="K114" s="391" t="s">
        <v>289</v>
      </c>
      <c r="L114" s="504"/>
      <c r="M114" s="503"/>
      <c r="N114" s="114"/>
      <c r="O114" s="529" t="s">
        <v>382</v>
      </c>
      <c r="P114" s="530">
        <f>F118-I118</f>
        <v>0</v>
      </c>
      <c r="Q114" s="510"/>
      <c r="R114" s="474"/>
      <c r="S114" s="474"/>
      <c r="T114" s="474"/>
      <c r="U114" s="473"/>
      <c r="V114" s="473"/>
      <c r="W114" s="473"/>
      <c r="X114" s="473"/>
      <c r="Y114" s="473"/>
      <c r="Z114" s="236"/>
      <c r="AA114" s="236"/>
    </row>
    <row r="115" spans="1:27" ht="19">
      <c r="B115" s="240"/>
      <c r="E115" s="293"/>
      <c r="F115" s="775" t="s">
        <v>368</v>
      </c>
      <c r="G115" s="775" t="s">
        <v>369</v>
      </c>
      <c r="H115" s="775" t="s">
        <v>178</v>
      </c>
      <c r="I115" s="775" t="s">
        <v>370</v>
      </c>
      <c r="J115" s="114"/>
      <c r="K115" s="114" t="s">
        <v>371</v>
      </c>
      <c r="L115" s="509" t="str">
        <f ca="1">IF(F117&gt;I117,"Better than competition","Lower than competition")</f>
        <v>Better than competition</v>
      </c>
      <c r="M115" s="114"/>
      <c r="N115" s="253"/>
      <c r="O115" s="533"/>
      <c r="P115" s="533"/>
      <c r="Q115" s="114"/>
      <c r="R115" s="474"/>
      <c r="S115" s="474"/>
      <c r="T115" s="474"/>
      <c r="U115" s="473"/>
      <c r="V115" s="473"/>
      <c r="W115" s="473"/>
      <c r="X115" s="473"/>
      <c r="Y115" s="473"/>
      <c r="Z115" s="236"/>
      <c r="AA115" s="236"/>
    </row>
    <row r="116" spans="1:27">
      <c r="E116" s="293"/>
      <c r="F116" s="775"/>
      <c r="G116" s="775"/>
      <c r="H116" s="775"/>
      <c r="I116" s="775"/>
      <c r="J116" s="114"/>
      <c r="K116" s="234" t="s">
        <v>373</v>
      </c>
      <c r="L116" s="479"/>
      <c r="M116" s="114"/>
      <c r="N116" s="114"/>
      <c r="O116" s="114"/>
      <c r="P116" s="114"/>
      <c r="Q116" s="114"/>
      <c r="R116" s="474"/>
      <c r="S116" s="474"/>
      <c r="T116" s="474"/>
      <c r="U116" s="473"/>
      <c r="V116" s="473"/>
      <c r="W116" s="473"/>
      <c r="X116" s="473"/>
      <c r="Y116" s="473"/>
      <c r="Z116" s="236"/>
      <c r="AA116" s="236"/>
    </row>
    <row r="117" spans="1:27" ht="28.25" customHeight="1">
      <c r="B117" s="240"/>
      <c r="F117" s="506">
        <f ca="1">'Fomulas ExecSum'!B61</f>
        <v>3.6862621829659013E-2</v>
      </c>
      <c r="G117" s="506">
        <f ca="1">F117</f>
        <v>3.6862621829659013E-2</v>
      </c>
      <c r="H117" s="531">
        <f ca="1">'Fomulas ExecSum'!B61+RANDBETWEEN(-0.1%,0.5%)</f>
        <v>3.6862621829659013E-2</v>
      </c>
      <c r="I117" s="114"/>
      <c r="J117" s="114"/>
      <c r="K117" s="264"/>
      <c r="L117" s="114"/>
      <c r="M117" s="114"/>
      <c r="N117" s="114"/>
      <c r="O117" s="487"/>
      <c r="P117" s="114"/>
      <c r="Q117" s="114"/>
      <c r="R117" s="474"/>
      <c r="S117" s="474"/>
      <c r="T117" s="474"/>
      <c r="U117" s="236"/>
      <c r="V117" s="236"/>
      <c r="W117" s="236"/>
      <c r="X117" s="236"/>
      <c r="Y117" s="236"/>
      <c r="Z117" s="236"/>
      <c r="AA117" s="236"/>
    </row>
    <row r="118" spans="1:27" ht="19">
      <c r="A118" s="236"/>
      <c r="B118" s="469"/>
      <c r="C118" s="236"/>
      <c r="E118" s="293"/>
      <c r="F118" s="490"/>
      <c r="G118" s="490"/>
      <c r="H118" s="490"/>
      <c r="I118" s="490"/>
      <c r="J118" s="490"/>
      <c r="K118" s="490"/>
      <c r="L118" s="490"/>
      <c r="M118" s="114"/>
      <c r="N118" s="114"/>
      <c r="O118" s="511"/>
      <c r="P118" s="512"/>
      <c r="Q118" s="512"/>
      <c r="R118" s="474"/>
      <c r="S118" s="474"/>
      <c r="T118" s="474"/>
      <c r="U118" s="508"/>
      <c r="V118" s="508"/>
      <c r="W118" s="508"/>
      <c r="X118" s="508"/>
      <c r="Y118" s="508"/>
      <c r="Z118" s="236"/>
      <c r="AA118" s="236"/>
    </row>
    <row r="119" spans="1:27" ht="22">
      <c r="A119" s="236"/>
      <c r="B119" s="236"/>
      <c r="C119" s="236"/>
      <c r="E119" s="295"/>
      <c r="F119" s="490"/>
      <c r="G119" s="490"/>
      <c r="H119" s="490"/>
      <c r="I119" s="490"/>
      <c r="J119" s="490"/>
      <c r="K119" s="490"/>
      <c r="L119" s="490"/>
      <c r="M119" s="114"/>
      <c r="N119" s="114"/>
      <c r="O119" s="512"/>
      <c r="P119" s="512"/>
      <c r="Q119" s="512"/>
      <c r="R119" s="474"/>
      <c r="S119" s="474"/>
      <c r="T119" s="474"/>
      <c r="U119" s="508"/>
      <c r="V119" s="508"/>
      <c r="W119" s="508"/>
      <c r="X119" s="508"/>
      <c r="Y119" s="508"/>
      <c r="Z119" s="244"/>
      <c r="AA119" s="236"/>
    </row>
    <row r="120" spans="1:27" s="202" customFormat="1" ht="16.75" customHeight="1">
      <c r="A120" s="520"/>
      <c r="B120" s="521"/>
      <c r="C120" s="520"/>
      <c r="D120" s="520"/>
      <c r="E120" s="520"/>
      <c r="F120" s="522"/>
      <c r="G120" s="522"/>
      <c r="H120" s="522"/>
      <c r="I120" s="522"/>
      <c r="J120" s="522"/>
      <c r="K120" s="522" t="s">
        <v>375</v>
      </c>
      <c r="L120" s="522"/>
      <c r="O120" s="523"/>
      <c r="P120" s="523"/>
      <c r="Q120" s="523"/>
      <c r="R120" s="474"/>
      <c r="S120" s="474"/>
      <c r="T120" s="474"/>
      <c r="U120" s="244"/>
      <c r="V120" s="244"/>
      <c r="W120" s="244"/>
      <c r="X120" s="244"/>
      <c r="Y120" s="244"/>
      <c r="Z120" s="520"/>
      <c r="AA120" s="520"/>
    </row>
    <row r="121" spans="1:27">
      <c r="F121" s="236"/>
      <c r="U121" s="236"/>
      <c r="V121" s="236"/>
      <c r="W121" s="236"/>
      <c r="X121" s="236"/>
      <c r="Y121" s="236"/>
      <c r="Z121" s="236"/>
      <c r="AA121" s="236"/>
    </row>
    <row r="122" spans="1:27">
      <c r="F122" s="236"/>
      <c r="U122" s="236"/>
      <c r="V122" s="236"/>
      <c r="W122" s="236"/>
      <c r="X122" s="236"/>
      <c r="Y122" s="236"/>
      <c r="Z122" s="236"/>
      <c r="AA122" s="236"/>
    </row>
    <row r="123" spans="1:27">
      <c r="F123" s="236"/>
      <c r="U123" s="236"/>
      <c r="V123" s="236"/>
      <c r="W123" s="236"/>
      <c r="X123" s="236"/>
      <c r="Y123" s="236"/>
      <c r="Z123" s="236"/>
      <c r="AA123" s="236"/>
    </row>
    <row r="124" spans="1:27">
      <c r="F124" s="236"/>
      <c r="U124" s="236"/>
      <c r="V124" s="236"/>
      <c r="W124" s="236"/>
      <c r="X124" s="236"/>
      <c r="Y124" s="236"/>
      <c r="Z124" s="236"/>
      <c r="AA124" s="236"/>
    </row>
    <row r="125" spans="1:27">
      <c r="F125" s="236"/>
      <c r="U125" s="236"/>
      <c r="V125" s="236"/>
      <c r="W125" s="236"/>
      <c r="X125" s="236"/>
      <c r="Y125" s="236"/>
      <c r="Z125" s="236"/>
      <c r="AA125" s="236"/>
    </row>
    <row r="126" spans="1:27">
      <c r="U126" s="236"/>
      <c r="V126" s="236"/>
      <c r="W126" s="236"/>
      <c r="X126" s="236"/>
      <c r="Y126" s="236"/>
      <c r="Z126" s="236"/>
      <c r="AA126" s="236"/>
    </row>
    <row r="127" spans="1:27">
      <c r="U127" s="236"/>
      <c r="V127" s="236"/>
      <c r="W127" s="236"/>
      <c r="X127" s="236"/>
      <c r="Y127" s="236"/>
      <c r="Z127" s="236"/>
      <c r="AA127" s="236"/>
    </row>
    <row r="128" spans="1:27">
      <c r="U128" s="236"/>
      <c r="V128" s="236"/>
      <c r="W128" s="236"/>
      <c r="X128" s="236"/>
      <c r="Y128" s="236"/>
      <c r="Z128" s="236"/>
      <c r="AA128" s="236"/>
    </row>
    <row r="129" spans="21:27">
      <c r="U129" s="236"/>
      <c r="V129" s="236"/>
      <c r="W129" s="236"/>
      <c r="X129" s="236"/>
      <c r="Y129" s="236"/>
      <c r="Z129" s="236"/>
      <c r="AA129" s="236"/>
    </row>
    <row r="130" spans="21:27">
      <c r="U130" s="236"/>
      <c r="V130" s="236"/>
      <c r="W130" s="236"/>
      <c r="X130" s="236"/>
      <c r="Y130" s="236"/>
      <c r="Z130" s="236"/>
      <c r="AA130" s="236"/>
    </row>
    <row r="131" spans="21:27">
      <c r="U131" s="236"/>
      <c r="V131" s="236"/>
      <c r="W131" s="236"/>
      <c r="X131" s="236"/>
      <c r="Y131" s="236"/>
      <c r="Z131" s="236"/>
      <c r="AA131" s="236"/>
    </row>
    <row r="132" spans="21:27">
      <c r="U132" s="236"/>
      <c r="V132" s="236"/>
      <c r="W132" s="236"/>
      <c r="X132" s="236"/>
      <c r="Y132" s="236"/>
      <c r="Z132" s="236"/>
      <c r="AA132" s="236"/>
    </row>
    <row r="133" spans="21:27">
      <c r="U133" s="236"/>
      <c r="V133" s="236"/>
      <c r="W133" s="236"/>
      <c r="X133" s="236"/>
      <c r="Y133" s="236"/>
      <c r="Z133" s="236"/>
      <c r="AA133" s="236"/>
    </row>
    <row r="134" spans="21:27">
      <c r="U134" s="236"/>
      <c r="V134" s="236"/>
      <c r="W134" s="236"/>
      <c r="X134" s="236"/>
      <c r="Y134" s="236"/>
      <c r="Z134" s="236"/>
      <c r="AA134" s="236"/>
    </row>
    <row r="135" spans="21:27">
      <c r="U135" s="236"/>
      <c r="V135" s="236"/>
      <c r="W135" s="236"/>
      <c r="X135" s="236"/>
      <c r="Y135" s="236"/>
      <c r="Z135" s="236"/>
      <c r="AA135" s="236"/>
    </row>
    <row r="136" spans="21:27">
      <c r="U136" s="236"/>
      <c r="V136" s="236"/>
      <c r="W136" s="236"/>
      <c r="X136" s="236"/>
      <c r="Y136" s="236"/>
      <c r="Z136" s="236"/>
      <c r="AA136" s="236"/>
    </row>
    <row r="137" spans="21:27">
      <c r="U137" s="236"/>
      <c r="V137" s="236"/>
      <c r="W137" s="236"/>
      <c r="X137" s="236"/>
      <c r="Y137" s="236"/>
      <c r="Z137" s="236"/>
      <c r="AA137" s="236"/>
    </row>
    <row r="138" spans="21:27">
      <c r="U138" s="236"/>
      <c r="V138" s="236"/>
      <c r="W138" s="236"/>
      <c r="X138" s="236"/>
      <c r="Y138" s="236"/>
      <c r="Z138" s="236"/>
      <c r="AA138" s="236"/>
    </row>
    <row r="139" spans="21:27">
      <c r="U139" s="236"/>
      <c r="V139" s="236"/>
      <c r="W139" s="236"/>
      <c r="X139" s="236"/>
      <c r="Y139" s="236"/>
      <c r="Z139" s="236"/>
      <c r="AA139" s="236"/>
    </row>
    <row r="140" spans="21:27">
      <c r="U140" s="236"/>
      <c r="V140" s="236"/>
      <c r="W140" s="236"/>
      <c r="X140" s="236"/>
      <c r="Y140" s="236"/>
      <c r="Z140" s="236"/>
      <c r="AA140" s="236"/>
    </row>
    <row r="141" spans="21:27">
      <c r="U141" s="236"/>
      <c r="V141" s="236"/>
      <c r="W141" s="236"/>
      <c r="X141" s="236"/>
      <c r="Y141" s="236"/>
      <c r="Z141" s="236"/>
      <c r="AA141" s="236"/>
    </row>
    <row r="142" spans="21:27">
      <c r="U142" s="236"/>
      <c r="V142" s="236"/>
      <c r="W142" s="236"/>
      <c r="X142" s="236"/>
      <c r="Y142" s="236"/>
      <c r="Z142" s="236"/>
      <c r="AA142" s="236"/>
    </row>
    <row r="143" spans="21:27">
      <c r="U143" s="236"/>
      <c r="V143" s="236"/>
      <c r="W143" s="236"/>
      <c r="X143" s="236"/>
      <c r="Y143" s="236"/>
      <c r="Z143" s="236"/>
      <c r="AA143" s="236"/>
    </row>
    <row r="144" spans="21:27">
      <c r="U144" s="236"/>
      <c r="V144" s="236"/>
      <c r="W144" s="236"/>
      <c r="X144" s="236"/>
      <c r="Y144" s="236"/>
      <c r="Z144" s="236"/>
      <c r="AA144" s="236"/>
    </row>
    <row r="145" spans="21:27">
      <c r="U145" s="236"/>
      <c r="V145" s="236"/>
      <c r="W145" s="236"/>
      <c r="X145" s="236"/>
      <c r="Y145" s="236"/>
      <c r="Z145" s="236"/>
      <c r="AA145" s="236"/>
    </row>
    <row r="146" spans="21:27">
      <c r="U146" s="236"/>
      <c r="V146" s="236"/>
      <c r="W146" s="236"/>
      <c r="X146" s="236"/>
      <c r="Y146" s="236"/>
      <c r="Z146" s="236"/>
      <c r="AA146" s="236"/>
    </row>
    <row r="147" spans="21:27">
      <c r="U147" s="236"/>
      <c r="V147" s="236"/>
      <c r="W147" s="236"/>
      <c r="X147" s="236"/>
      <c r="Y147" s="236"/>
      <c r="Z147" s="236"/>
      <c r="AA147" s="236"/>
    </row>
    <row r="148" spans="21:27">
      <c r="U148" s="236"/>
      <c r="V148" s="236"/>
      <c r="W148" s="236"/>
      <c r="X148" s="236"/>
      <c r="Y148" s="236"/>
      <c r="Z148" s="236"/>
      <c r="AA148" s="236"/>
    </row>
    <row r="149" spans="21:27">
      <c r="U149" s="236"/>
      <c r="V149" s="236"/>
      <c r="W149" s="236"/>
      <c r="X149" s="236"/>
      <c r="Y149" s="236"/>
      <c r="Z149" s="236"/>
      <c r="AA149" s="236"/>
    </row>
    <row r="150" spans="21:27">
      <c r="U150" s="236"/>
      <c r="V150" s="236"/>
      <c r="W150" s="236"/>
      <c r="X150" s="236"/>
      <c r="Y150" s="236"/>
      <c r="Z150" s="236"/>
      <c r="AA150" s="236"/>
    </row>
    <row r="151" spans="21:27">
      <c r="U151" s="236"/>
      <c r="V151" s="236"/>
      <c r="W151" s="236"/>
      <c r="X151" s="236"/>
      <c r="Y151" s="236"/>
      <c r="Z151" s="236"/>
      <c r="AA151" s="236"/>
    </row>
    <row r="152" spans="21:27">
      <c r="U152" s="236"/>
      <c r="V152" s="236"/>
      <c r="W152" s="236"/>
      <c r="X152" s="236"/>
      <c r="Y152" s="236"/>
      <c r="Z152" s="236"/>
      <c r="AA152" s="236"/>
    </row>
    <row r="153" spans="21:27">
      <c r="U153" s="236"/>
      <c r="V153" s="236"/>
      <c r="W153" s="236"/>
      <c r="X153" s="236"/>
      <c r="Y153" s="236"/>
      <c r="Z153" s="236"/>
      <c r="AA153" s="236"/>
    </row>
    <row r="154" spans="21:27">
      <c r="U154" s="236"/>
      <c r="V154" s="236"/>
      <c r="W154" s="236"/>
      <c r="X154" s="236"/>
      <c r="Y154" s="236"/>
      <c r="Z154" s="236"/>
      <c r="AA154" s="236"/>
    </row>
    <row r="155" spans="21:27">
      <c r="U155" s="236"/>
      <c r="V155" s="236"/>
      <c r="W155" s="236"/>
      <c r="X155" s="236"/>
      <c r="Y155" s="236"/>
      <c r="Z155" s="236"/>
      <c r="AA155" s="236"/>
    </row>
    <row r="156" spans="21:27">
      <c r="U156" s="236"/>
      <c r="V156" s="236"/>
      <c r="W156" s="236"/>
      <c r="X156" s="236"/>
      <c r="Y156" s="236"/>
      <c r="Z156" s="236"/>
      <c r="AA156" s="236"/>
    </row>
    <row r="157" spans="21:27">
      <c r="U157" s="236"/>
      <c r="V157" s="236"/>
      <c r="W157" s="236"/>
      <c r="X157" s="236"/>
      <c r="Y157" s="236"/>
      <c r="Z157" s="236"/>
      <c r="AA157" s="236"/>
    </row>
    <row r="158" spans="21:27">
      <c r="U158" s="236"/>
      <c r="V158" s="236"/>
      <c r="W158" s="236"/>
      <c r="X158" s="236"/>
      <c r="Y158" s="236"/>
      <c r="Z158" s="236"/>
      <c r="AA158" s="236"/>
    </row>
    <row r="159" spans="21:27">
      <c r="U159" s="236"/>
      <c r="V159" s="236"/>
      <c r="W159" s="236"/>
      <c r="X159" s="236"/>
      <c r="Y159" s="236"/>
      <c r="Z159" s="236"/>
      <c r="AA159" s="236"/>
    </row>
    <row r="160" spans="21:27">
      <c r="U160" s="236"/>
      <c r="V160" s="236"/>
      <c r="W160" s="236"/>
      <c r="X160" s="236"/>
      <c r="Y160" s="236"/>
      <c r="Z160" s="236"/>
      <c r="AA160" s="236"/>
    </row>
    <row r="161" spans="21:27">
      <c r="U161" s="236"/>
      <c r="V161" s="236"/>
      <c r="W161" s="236"/>
      <c r="X161" s="236"/>
      <c r="Y161" s="236"/>
      <c r="Z161" s="236"/>
      <c r="AA161" s="236"/>
    </row>
    <row r="162" spans="21:27">
      <c r="U162" s="236"/>
      <c r="V162" s="236"/>
      <c r="W162" s="236"/>
      <c r="X162" s="236"/>
      <c r="Y162" s="236"/>
      <c r="Z162" s="236"/>
      <c r="AA162" s="236"/>
    </row>
    <row r="163" spans="21:27">
      <c r="U163" s="236"/>
      <c r="V163" s="236"/>
      <c r="W163" s="236"/>
      <c r="X163" s="236"/>
      <c r="Y163" s="236"/>
      <c r="Z163" s="236"/>
      <c r="AA163" s="236"/>
    </row>
    <row r="164" spans="21:27">
      <c r="U164" s="236"/>
      <c r="V164" s="236"/>
      <c r="W164" s="236"/>
      <c r="X164" s="236"/>
      <c r="Y164" s="236"/>
      <c r="Z164" s="236"/>
      <c r="AA164" s="236"/>
    </row>
    <row r="165" spans="21:27">
      <c r="U165" s="236"/>
      <c r="V165" s="236"/>
      <c r="W165" s="236"/>
      <c r="X165" s="236"/>
      <c r="Y165" s="236"/>
      <c r="Z165" s="236"/>
      <c r="AA165" s="236"/>
    </row>
    <row r="166" spans="21:27">
      <c r="U166" s="236"/>
      <c r="V166" s="236"/>
      <c r="W166" s="236"/>
      <c r="X166" s="236"/>
      <c r="Y166" s="236"/>
      <c r="Z166" s="236"/>
      <c r="AA166" s="236"/>
    </row>
    <row r="167" spans="21:27">
      <c r="U167" s="236"/>
      <c r="V167" s="236"/>
      <c r="W167" s="236"/>
      <c r="X167" s="236"/>
      <c r="Y167" s="236"/>
      <c r="Z167" s="236"/>
      <c r="AA167" s="236"/>
    </row>
    <row r="168" spans="21:27">
      <c r="U168" s="236"/>
      <c r="V168" s="236"/>
      <c r="W168" s="236"/>
      <c r="X168" s="236"/>
      <c r="Y168" s="236"/>
      <c r="Z168" s="236"/>
      <c r="AA168" s="236"/>
    </row>
    <row r="169" spans="21:27">
      <c r="U169" s="236"/>
      <c r="V169" s="236"/>
      <c r="W169" s="236"/>
      <c r="X169" s="236"/>
      <c r="Y169" s="236"/>
      <c r="Z169" s="236"/>
      <c r="AA169" s="236"/>
    </row>
    <row r="170" spans="21:27">
      <c r="U170" s="236"/>
      <c r="V170" s="236"/>
      <c r="W170" s="236"/>
      <c r="X170" s="236"/>
      <c r="Y170" s="236"/>
      <c r="Z170" s="236"/>
      <c r="AA170" s="236"/>
    </row>
    <row r="171" spans="21:27">
      <c r="U171" s="236"/>
      <c r="V171" s="236"/>
      <c r="W171" s="236"/>
      <c r="X171" s="236"/>
      <c r="Y171" s="236"/>
      <c r="Z171" s="236"/>
      <c r="AA171" s="236"/>
    </row>
    <row r="172" spans="21:27">
      <c r="U172" s="236"/>
      <c r="V172" s="236"/>
      <c r="W172" s="236"/>
      <c r="X172" s="236"/>
      <c r="Y172" s="236"/>
      <c r="Z172" s="236"/>
      <c r="AA172" s="236"/>
    </row>
    <row r="173" spans="21:27">
      <c r="U173" s="236"/>
      <c r="V173" s="236"/>
      <c r="W173" s="236"/>
      <c r="X173" s="236"/>
      <c r="Y173" s="236"/>
      <c r="Z173" s="236"/>
      <c r="AA173" s="236"/>
    </row>
    <row r="174" spans="21:27">
      <c r="U174" s="236"/>
      <c r="V174" s="236"/>
      <c r="W174" s="236"/>
      <c r="X174" s="236"/>
      <c r="Y174" s="236"/>
      <c r="Z174" s="236"/>
      <c r="AA174" s="236"/>
    </row>
    <row r="175" spans="21:27">
      <c r="U175" s="236"/>
      <c r="V175" s="236"/>
      <c r="W175" s="236"/>
      <c r="X175" s="236"/>
      <c r="Y175" s="236"/>
      <c r="Z175" s="236"/>
      <c r="AA175" s="236"/>
    </row>
    <row r="176" spans="21:27">
      <c r="U176" s="236"/>
      <c r="V176" s="236"/>
      <c r="W176" s="236"/>
      <c r="X176" s="236"/>
      <c r="Y176" s="236"/>
      <c r="Z176" s="236"/>
      <c r="AA176" s="236"/>
    </row>
    <row r="177" spans="21:27">
      <c r="U177" s="236"/>
      <c r="V177" s="236"/>
      <c r="W177" s="236"/>
      <c r="X177" s="236"/>
      <c r="Y177" s="236"/>
      <c r="Z177" s="236"/>
      <c r="AA177" s="236"/>
    </row>
    <row r="178" spans="21:27">
      <c r="U178" s="236"/>
      <c r="V178" s="236"/>
      <c r="W178" s="236"/>
      <c r="X178" s="236"/>
      <c r="Y178" s="236"/>
      <c r="Z178" s="236"/>
      <c r="AA178" s="236"/>
    </row>
    <row r="179" spans="21:27">
      <c r="U179" s="236"/>
      <c r="V179" s="236"/>
      <c r="W179" s="236"/>
      <c r="X179" s="236"/>
      <c r="Y179" s="236"/>
      <c r="Z179" s="236"/>
      <c r="AA179" s="236"/>
    </row>
    <row r="180" spans="21:27">
      <c r="U180" s="236"/>
      <c r="V180" s="236"/>
      <c r="W180" s="236"/>
      <c r="X180" s="236"/>
      <c r="Y180" s="236"/>
      <c r="Z180" s="236"/>
      <c r="AA180" s="236"/>
    </row>
    <row r="181" spans="21:27">
      <c r="U181" s="236"/>
      <c r="V181" s="236"/>
      <c r="W181" s="236"/>
      <c r="X181" s="236"/>
      <c r="Y181" s="236"/>
      <c r="Z181" s="236"/>
      <c r="AA181" s="236"/>
    </row>
    <row r="182" spans="21:27">
      <c r="U182" s="236"/>
      <c r="V182" s="236"/>
      <c r="W182" s="236"/>
      <c r="X182" s="236"/>
      <c r="Y182" s="236"/>
      <c r="Z182" s="236"/>
      <c r="AA182" s="236"/>
    </row>
    <row r="183" spans="21:27">
      <c r="U183" s="236"/>
      <c r="V183" s="236"/>
      <c r="W183" s="236"/>
      <c r="X183" s="236"/>
      <c r="Y183" s="236"/>
      <c r="Z183" s="236"/>
      <c r="AA183" s="236"/>
    </row>
    <row r="184" spans="21:27">
      <c r="U184" s="236"/>
      <c r="V184" s="236"/>
      <c r="W184" s="236"/>
      <c r="X184" s="236"/>
      <c r="Y184" s="236"/>
      <c r="Z184" s="236"/>
      <c r="AA184" s="236"/>
    </row>
    <row r="185" spans="21:27">
      <c r="U185" s="236"/>
      <c r="V185" s="236"/>
      <c r="W185" s="236"/>
      <c r="X185" s="236"/>
      <c r="Y185" s="236"/>
      <c r="Z185" s="236"/>
      <c r="AA185" s="236"/>
    </row>
    <row r="186" spans="21:27">
      <c r="U186" s="236"/>
      <c r="V186" s="236"/>
      <c r="W186" s="236"/>
      <c r="X186" s="236"/>
      <c r="Y186" s="236"/>
      <c r="Z186" s="236"/>
      <c r="AA186" s="236"/>
    </row>
    <row r="187" spans="21:27">
      <c r="U187" s="236"/>
      <c r="V187" s="236"/>
      <c r="W187" s="236"/>
      <c r="X187" s="236"/>
      <c r="Y187" s="236"/>
      <c r="Z187" s="236"/>
      <c r="AA187" s="236"/>
    </row>
    <row r="188" spans="21:27">
      <c r="U188" s="236"/>
      <c r="V188" s="236"/>
      <c r="W188" s="236"/>
      <c r="X188" s="236"/>
      <c r="Y188" s="236"/>
      <c r="Z188" s="236"/>
      <c r="AA188" s="236"/>
    </row>
    <row r="189" spans="21:27">
      <c r="U189" s="236"/>
      <c r="V189" s="236"/>
      <c r="W189" s="236"/>
      <c r="X189" s="236"/>
      <c r="Y189" s="236"/>
      <c r="Z189" s="236"/>
      <c r="AA189" s="236"/>
    </row>
    <row r="190" spans="21:27">
      <c r="U190" s="236"/>
      <c r="V190" s="236"/>
      <c r="W190" s="236"/>
      <c r="X190" s="236"/>
      <c r="Y190" s="236"/>
      <c r="Z190" s="236"/>
      <c r="AA190" s="236"/>
    </row>
    <row r="191" spans="21:27">
      <c r="U191" s="236"/>
      <c r="V191" s="236"/>
      <c r="W191" s="236"/>
      <c r="X191" s="236"/>
      <c r="Y191" s="236"/>
      <c r="Z191" s="236"/>
      <c r="AA191" s="236"/>
    </row>
    <row r="192" spans="21:27">
      <c r="U192" s="236"/>
      <c r="V192" s="236"/>
      <c r="W192" s="236"/>
      <c r="X192" s="236"/>
      <c r="Y192" s="236"/>
      <c r="Z192" s="236"/>
      <c r="AA192" s="236"/>
    </row>
    <row r="193" spans="21:27">
      <c r="U193" s="236"/>
      <c r="V193" s="236"/>
      <c r="W193" s="236"/>
      <c r="X193" s="236"/>
      <c r="Y193" s="236"/>
      <c r="Z193" s="236"/>
      <c r="AA193" s="236"/>
    </row>
    <row r="194" spans="21:27">
      <c r="U194" s="236"/>
      <c r="V194" s="236"/>
      <c r="W194" s="236"/>
      <c r="X194" s="236"/>
      <c r="Y194" s="236"/>
      <c r="Z194" s="236"/>
      <c r="AA194" s="236"/>
    </row>
    <row r="195" spans="21:27">
      <c r="U195" s="236"/>
      <c r="V195" s="236"/>
      <c r="W195" s="236"/>
      <c r="X195" s="236"/>
      <c r="Y195" s="236"/>
      <c r="Z195" s="236"/>
      <c r="AA195" s="236"/>
    </row>
    <row r="196" spans="21:27">
      <c r="U196" s="236"/>
      <c r="V196" s="236"/>
      <c r="W196" s="236"/>
      <c r="X196" s="236"/>
      <c r="Y196" s="236"/>
      <c r="Z196" s="236"/>
      <c r="AA196" s="236"/>
    </row>
    <row r="197" spans="21:27">
      <c r="U197" s="236"/>
      <c r="V197" s="236"/>
      <c r="W197" s="236"/>
      <c r="X197" s="236"/>
      <c r="Y197" s="236"/>
      <c r="Z197" s="236"/>
      <c r="AA197" s="236"/>
    </row>
    <row r="198" spans="21:27">
      <c r="U198" s="236"/>
      <c r="V198" s="236"/>
      <c r="W198" s="236"/>
      <c r="X198" s="236"/>
      <c r="Y198" s="236"/>
      <c r="Z198" s="236"/>
      <c r="AA198" s="236"/>
    </row>
    <row r="199" spans="21:27">
      <c r="U199" s="236"/>
      <c r="V199" s="236"/>
      <c r="W199" s="236"/>
      <c r="X199" s="236"/>
      <c r="Y199" s="236"/>
      <c r="Z199" s="236"/>
      <c r="AA199" s="236"/>
    </row>
    <row r="200" spans="21:27">
      <c r="U200" s="236"/>
      <c r="V200" s="236"/>
      <c r="W200" s="236"/>
      <c r="X200" s="236"/>
      <c r="Y200" s="236"/>
      <c r="Z200" s="236"/>
      <c r="AA200" s="236"/>
    </row>
    <row r="201" spans="21:27">
      <c r="U201" s="236"/>
      <c r="V201" s="236"/>
      <c r="W201" s="236"/>
      <c r="X201" s="236"/>
      <c r="Y201" s="236"/>
      <c r="Z201" s="236"/>
      <c r="AA201" s="236"/>
    </row>
    <row r="202" spans="21:27">
      <c r="U202" s="236"/>
      <c r="V202" s="236"/>
      <c r="W202" s="236"/>
      <c r="X202" s="236"/>
      <c r="Y202" s="236"/>
      <c r="Z202" s="236"/>
      <c r="AA202" s="236"/>
    </row>
    <row r="203" spans="21:27">
      <c r="U203" s="236"/>
      <c r="V203" s="236"/>
      <c r="W203" s="236"/>
      <c r="X203" s="236"/>
      <c r="Y203" s="236"/>
      <c r="Z203" s="236"/>
      <c r="AA203" s="236"/>
    </row>
    <row r="204" spans="21:27">
      <c r="U204" s="236"/>
      <c r="V204" s="236"/>
      <c r="W204" s="236"/>
      <c r="X204" s="236"/>
      <c r="Y204" s="236"/>
      <c r="Z204" s="236"/>
      <c r="AA204" s="236"/>
    </row>
    <row r="205" spans="21:27">
      <c r="U205" s="236"/>
      <c r="V205" s="236"/>
      <c r="W205" s="236"/>
      <c r="X205" s="236"/>
      <c r="Y205" s="236"/>
      <c r="Z205" s="236"/>
      <c r="AA205" s="236"/>
    </row>
    <row r="206" spans="21:27">
      <c r="U206" s="236"/>
      <c r="V206" s="236"/>
      <c r="W206" s="236"/>
      <c r="X206" s="236"/>
      <c r="Y206" s="236"/>
      <c r="Z206" s="236"/>
      <c r="AA206" s="236"/>
    </row>
    <row r="207" spans="21:27">
      <c r="U207" s="236"/>
      <c r="V207" s="236"/>
      <c r="W207" s="236"/>
      <c r="X207" s="236"/>
      <c r="Y207" s="236"/>
      <c r="Z207" s="236"/>
      <c r="AA207" s="236"/>
    </row>
    <row r="208" spans="21:27">
      <c r="U208" s="236"/>
      <c r="V208" s="236"/>
      <c r="W208" s="236"/>
      <c r="X208" s="236"/>
      <c r="Y208" s="236"/>
      <c r="Z208" s="236"/>
      <c r="AA208" s="236"/>
    </row>
    <row r="209" spans="21:27">
      <c r="U209" s="236"/>
      <c r="V209" s="236"/>
      <c r="W209" s="236"/>
      <c r="X209" s="236"/>
      <c r="Y209" s="236"/>
      <c r="Z209" s="236"/>
      <c r="AA209" s="236"/>
    </row>
    <row r="210" spans="21:27">
      <c r="U210" s="236"/>
      <c r="V210" s="236"/>
      <c r="W210" s="236"/>
      <c r="X210" s="236"/>
      <c r="Y210" s="236"/>
      <c r="Z210" s="236"/>
      <c r="AA210" s="236"/>
    </row>
    <row r="211" spans="21:27">
      <c r="U211" s="236"/>
      <c r="V211" s="236"/>
      <c r="W211" s="236"/>
      <c r="X211" s="236"/>
      <c r="Y211" s="236"/>
      <c r="Z211" s="236"/>
      <c r="AA211" s="236"/>
    </row>
    <row r="212" spans="21:27">
      <c r="U212" s="236"/>
      <c r="V212" s="236"/>
      <c r="W212" s="236"/>
      <c r="X212" s="236"/>
      <c r="Y212" s="236"/>
      <c r="Z212" s="236"/>
      <c r="AA212" s="236"/>
    </row>
    <row r="213" spans="21:27">
      <c r="U213" s="236"/>
      <c r="V213" s="236"/>
      <c r="W213" s="236"/>
      <c r="X213" s="236"/>
      <c r="Y213" s="236"/>
      <c r="Z213" s="236"/>
      <c r="AA213" s="236"/>
    </row>
    <row r="214" spans="21:27">
      <c r="U214" s="236"/>
      <c r="V214" s="236"/>
      <c r="W214" s="236"/>
      <c r="X214" s="236"/>
      <c r="Y214" s="236"/>
      <c r="Z214" s="236"/>
      <c r="AA214" s="236"/>
    </row>
    <row r="215" spans="21:27">
      <c r="U215" s="236"/>
      <c r="V215" s="236"/>
      <c r="W215" s="236"/>
      <c r="X215" s="236"/>
      <c r="Y215" s="236"/>
      <c r="Z215" s="236"/>
      <c r="AA215" s="236"/>
    </row>
    <row r="216" spans="21:27">
      <c r="U216" s="236"/>
      <c r="V216" s="236"/>
      <c r="W216" s="236"/>
      <c r="X216" s="236"/>
      <c r="Y216" s="236"/>
      <c r="Z216" s="236"/>
      <c r="AA216" s="236"/>
    </row>
    <row r="217" spans="21:27">
      <c r="U217" s="236"/>
      <c r="V217" s="236"/>
      <c r="W217" s="236"/>
      <c r="X217" s="236"/>
      <c r="Y217" s="236"/>
      <c r="Z217" s="236"/>
      <c r="AA217" s="236"/>
    </row>
    <row r="218" spans="21:27">
      <c r="U218" s="236"/>
      <c r="V218" s="236"/>
      <c r="W218" s="236"/>
      <c r="X218" s="236"/>
      <c r="Y218" s="236"/>
      <c r="Z218" s="236"/>
      <c r="AA218" s="236"/>
    </row>
    <row r="219" spans="21:27">
      <c r="U219" s="236"/>
      <c r="V219" s="236"/>
      <c r="W219" s="236"/>
      <c r="X219" s="236"/>
      <c r="Y219" s="236"/>
      <c r="Z219" s="236"/>
      <c r="AA219" s="236"/>
    </row>
    <row r="220" spans="21:27">
      <c r="U220" s="236"/>
      <c r="V220" s="236"/>
      <c r="W220" s="236"/>
      <c r="X220" s="236"/>
      <c r="Y220" s="236"/>
      <c r="Z220" s="236"/>
      <c r="AA220" s="236"/>
    </row>
    <row r="221" spans="21:27">
      <c r="U221" s="236"/>
      <c r="V221" s="236"/>
      <c r="W221" s="236"/>
      <c r="X221" s="236"/>
      <c r="Y221" s="236"/>
      <c r="Z221" s="236"/>
      <c r="AA221" s="236"/>
    </row>
    <row r="222" spans="21:27">
      <c r="U222" s="236"/>
      <c r="V222" s="236"/>
      <c r="W222" s="236"/>
      <c r="X222" s="236"/>
      <c r="Y222" s="236"/>
      <c r="Z222" s="236"/>
      <c r="AA222" s="236"/>
    </row>
    <row r="223" spans="21:27">
      <c r="U223" s="236"/>
      <c r="V223" s="236"/>
      <c r="W223" s="236"/>
      <c r="X223" s="236"/>
      <c r="Y223" s="236"/>
      <c r="Z223" s="236"/>
      <c r="AA223" s="236"/>
    </row>
    <row r="224" spans="21:27">
      <c r="U224" s="236"/>
      <c r="V224" s="236"/>
      <c r="W224" s="236"/>
      <c r="X224" s="236"/>
      <c r="Y224" s="236"/>
      <c r="Z224" s="236"/>
      <c r="AA224" s="236"/>
    </row>
    <row r="225" spans="21:27">
      <c r="U225" s="236"/>
      <c r="V225" s="236"/>
      <c r="W225" s="236"/>
      <c r="X225" s="236"/>
      <c r="Y225" s="236"/>
      <c r="Z225" s="236"/>
      <c r="AA225" s="236"/>
    </row>
    <row r="226" spans="21:27">
      <c r="U226" s="236"/>
      <c r="V226" s="236"/>
      <c r="W226" s="236"/>
      <c r="X226" s="236"/>
      <c r="Y226" s="236"/>
      <c r="Z226" s="236"/>
      <c r="AA226" s="236"/>
    </row>
    <row r="227" spans="21:27">
      <c r="U227" s="236"/>
      <c r="V227" s="236"/>
      <c r="W227" s="236"/>
      <c r="X227" s="236"/>
      <c r="Y227" s="236"/>
      <c r="Z227" s="236"/>
      <c r="AA227" s="236"/>
    </row>
    <row r="228" spans="21:27">
      <c r="U228" s="236"/>
      <c r="V228" s="236"/>
      <c r="W228" s="236"/>
      <c r="X228" s="236"/>
      <c r="Y228" s="236"/>
      <c r="Z228" s="236"/>
      <c r="AA228" s="236"/>
    </row>
    <row r="229" spans="21:27">
      <c r="U229" s="236"/>
      <c r="V229" s="236"/>
      <c r="W229" s="236"/>
      <c r="X229" s="236"/>
      <c r="Y229" s="236"/>
      <c r="Z229" s="236"/>
      <c r="AA229" s="236"/>
    </row>
    <row r="230" spans="21:27">
      <c r="U230" s="236"/>
      <c r="V230" s="236"/>
      <c r="W230" s="236"/>
      <c r="X230" s="236"/>
      <c r="Y230" s="236"/>
      <c r="Z230" s="236"/>
      <c r="AA230" s="236"/>
    </row>
    <row r="231" spans="21:27">
      <c r="U231" s="236"/>
      <c r="V231" s="236"/>
      <c r="W231" s="236"/>
      <c r="X231" s="236"/>
      <c r="Y231" s="236"/>
      <c r="Z231" s="236"/>
      <c r="AA231" s="236"/>
    </row>
    <row r="232" spans="21:27">
      <c r="U232" s="236"/>
      <c r="V232" s="236"/>
      <c r="W232" s="236"/>
      <c r="X232" s="236"/>
      <c r="Y232" s="236"/>
      <c r="Z232" s="236"/>
      <c r="AA232" s="236"/>
    </row>
    <row r="233" spans="21:27">
      <c r="U233" s="236"/>
      <c r="V233" s="236"/>
      <c r="W233" s="236"/>
      <c r="X233" s="236"/>
      <c r="Y233" s="236"/>
      <c r="Z233" s="236"/>
      <c r="AA233" s="236"/>
    </row>
    <row r="234" spans="21:27">
      <c r="U234" s="236"/>
      <c r="V234" s="236"/>
      <c r="W234" s="236"/>
      <c r="X234" s="236"/>
      <c r="Y234" s="236"/>
      <c r="Z234" s="236"/>
      <c r="AA234" s="236"/>
    </row>
    <row r="235" spans="21:27">
      <c r="U235" s="236"/>
      <c r="V235" s="236"/>
      <c r="W235" s="236"/>
      <c r="X235" s="236"/>
      <c r="Y235" s="236"/>
      <c r="Z235" s="236"/>
      <c r="AA235" s="236"/>
    </row>
    <row r="236" spans="21:27">
      <c r="U236" s="236"/>
      <c r="V236" s="236"/>
      <c r="W236" s="236"/>
      <c r="X236" s="236"/>
      <c r="Y236" s="236"/>
      <c r="Z236" s="236"/>
      <c r="AA236" s="236"/>
    </row>
    <row r="237" spans="21:27">
      <c r="U237" s="236"/>
      <c r="V237" s="236"/>
      <c r="W237" s="236"/>
      <c r="X237" s="236"/>
      <c r="Y237" s="236"/>
      <c r="Z237" s="236"/>
      <c r="AA237" s="236"/>
    </row>
    <row r="238" spans="21:27">
      <c r="U238" s="236"/>
      <c r="V238" s="236"/>
      <c r="W238" s="236"/>
      <c r="X238" s="236"/>
      <c r="Y238" s="236"/>
      <c r="Z238" s="236"/>
      <c r="AA238" s="236"/>
    </row>
    <row r="239" spans="21:27">
      <c r="U239" s="236"/>
      <c r="V239" s="236"/>
      <c r="W239" s="236"/>
      <c r="X239" s="236"/>
      <c r="Y239" s="236"/>
      <c r="Z239" s="236"/>
      <c r="AA239" s="236"/>
    </row>
    <row r="240" spans="21:27">
      <c r="U240" s="236"/>
      <c r="V240" s="236"/>
      <c r="W240" s="236"/>
      <c r="X240" s="236"/>
      <c r="Y240" s="236"/>
      <c r="Z240" s="236"/>
      <c r="AA240" s="236"/>
    </row>
    <row r="241" spans="21:27">
      <c r="U241" s="236"/>
      <c r="V241" s="236"/>
      <c r="W241" s="236"/>
      <c r="X241" s="236"/>
      <c r="Y241" s="236"/>
      <c r="Z241" s="236"/>
      <c r="AA241" s="236"/>
    </row>
    <row r="242" spans="21:27">
      <c r="U242" s="236"/>
      <c r="V242" s="236"/>
      <c r="W242" s="236"/>
      <c r="X242" s="236"/>
      <c r="Y242" s="236"/>
      <c r="Z242" s="236"/>
      <c r="AA242" s="236"/>
    </row>
    <row r="243" spans="21:27">
      <c r="U243" s="236"/>
      <c r="V243" s="236"/>
      <c r="W243" s="236"/>
      <c r="X243" s="236"/>
      <c r="Y243" s="236"/>
      <c r="Z243" s="236"/>
      <c r="AA243" s="236"/>
    </row>
    <row r="244" spans="21:27">
      <c r="U244" s="236"/>
      <c r="V244" s="236"/>
      <c r="W244" s="236"/>
      <c r="X244" s="236"/>
      <c r="Y244" s="236"/>
      <c r="Z244" s="236"/>
      <c r="AA244" s="236"/>
    </row>
    <row r="245" spans="21:27">
      <c r="U245" s="236"/>
      <c r="V245" s="236"/>
      <c r="W245" s="236"/>
      <c r="X245" s="236"/>
      <c r="Y245" s="236"/>
      <c r="Z245" s="236"/>
      <c r="AA245" s="236"/>
    </row>
    <row r="246" spans="21:27">
      <c r="U246" s="236"/>
      <c r="V246" s="236"/>
      <c r="W246" s="236"/>
      <c r="X246" s="236"/>
      <c r="Y246" s="236"/>
      <c r="Z246" s="236"/>
      <c r="AA246" s="236"/>
    </row>
    <row r="247" spans="21:27">
      <c r="U247" s="236"/>
      <c r="V247" s="236"/>
      <c r="W247" s="236"/>
      <c r="X247" s="236"/>
      <c r="Y247" s="236"/>
      <c r="Z247" s="236"/>
      <c r="AA247" s="236"/>
    </row>
    <row r="248" spans="21:27">
      <c r="U248" s="236"/>
      <c r="V248" s="236"/>
      <c r="W248" s="236"/>
      <c r="X248" s="236"/>
      <c r="Y248" s="236"/>
      <c r="Z248" s="236"/>
      <c r="AA248" s="236"/>
    </row>
    <row r="249" spans="21:27">
      <c r="U249" s="236"/>
      <c r="V249" s="236"/>
      <c r="W249" s="236"/>
      <c r="X249" s="236"/>
      <c r="Y249" s="236"/>
      <c r="Z249" s="236"/>
      <c r="AA249" s="236"/>
    </row>
    <row r="250" spans="21:27">
      <c r="U250" s="236"/>
      <c r="V250" s="236"/>
      <c r="W250" s="236"/>
      <c r="X250" s="236"/>
      <c r="Y250" s="236"/>
      <c r="Z250" s="236"/>
      <c r="AA250" s="236"/>
    </row>
    <row r="251" spans="21:27">
      <c r="U251" s="236"/>
      <c r="V251" s="236"/>
      <c r="W251" s="236"/>
      <c r="X251" s="236"/>
      <c r="Y251" s="236"/>
      <c r="Z251" s="236"/>
      <c r="AA251" s="236"/>
    </row>
    <row r="252" spans="21:27">
      <c r="U252" s="236"/>
      <c r="V252" s="236"/>
      <c r="W252" s="236"/>
      <c r="X252" s="236"/>
      <c r="Y252" s="236"/>
      <c r="Z252" s="236"/>
      <c r="AA252" s="236"/>
    </row>
    <row r="253" spans="21:27">
      <c r="U253" s="236"/>
      <c r="V253" s="236"/>
      <c r="W253" s="236"/>
      <c r="X253" s="236"/>
      <c r="Y253" s="236"/>
      <c r="Z253" s="236"/>
      <c r="AA253" s="236"/>
    </row>
    <row r="254" spans="21:27">
      <c r="U254" s="236"/>
      <c r="V254" s="236"/>
      <c r="W254" s="236"/>
      <c r="X254" s="236"/>
      <c r="Y254" s="236"/>
      <c r="Z254" s="236"/>
      <c r="AA254" s="236"/>
    </row>
    <row r="255" spans="21:27">
      <c r="U255" s="236"/>
      <c r="V255" s="236"/>
      <c r="W255" s="236"/>
      <c r="X255" s="236"/>
      <c r="Y255" s="236"/>
      <c r="Z255" s="236"/>
      <c r="AA255" s="236"/>
    </row>
    <row r="256" spans="21:27">
      <c r="U256" s="236"/>
      <c r="V256" s="236"/>
      <c r="W256" s="236"/>
      <c r="X256" s="236"/>
      <c r="Y256" s="236"/>
      <c r="Z256" s="236"/>
      <c r="AA256" s="236"/>
    </row>
    <row r="257" spans="21:27">
      <c r="U257" s="236"/>
      <c r="V257" s="236"/>
      <c r="W257" s="236"/>
      <c r="X257" s="236"/>
      <c r="Y257" s="236"/>
      <c r="Z257" s="236"/>
      <c r="AA257" s="236"/>
    </row>
    <row r="258" spans="21:27">
      <c r="U258" s="236"/>
      <c r="V258" s="236"/>
      <c r="W258" s="236"/>
      <c r="X258" s="236"/>
      <c r="Y258" s="236"/>
      <c r="Z258" s="236"/>
      <c r="AA258" s="236"/>
    </row>
    <row r="259" spans="21:27">
      <c r="U259" s="236"/>
      <c r="V259" s="236"/>
      <c r="W259" s="236"/>
      <c r="X259" s="236"/>
      <c r="Y259" s="236"/>
      <c r="Z259" s="236"/>
      <c r="AA259" s="236"/>
    </row>
    <row r="260" spans="21:27">
      <c r="U260" s="236"/>
      <c r="V260" s="236"/>
      <c r="W260" s="236"/>
      <c r="X260" s="236"/>
      <c r="Y260" s="236"/>
      <c r="Z260" s="236"/>
      <c r="AA260" s="236"/>
    </row>
    <row r="261" spans="21:27">
      <c r="U261" s="236"/>
      <c r="V261" s="236"/>
      <c r="W261" s="236"/>
      <c r="X261" s="236"/>
      <c r="Y261" s="236"/>
      <c r="Z261" s="236"/>
      <c r="AA261" s="236"/>
    </row>
    <row r="262" spans="21:27">
      <c r="U262" s="236"/>
      <c r="V262" s="236"/>
      <c r="W262" s="236"/>
      <c r="X262" s="236"/>
      <c r="Y262" s="236"/>
      <c r="Z262" s="236"/>
      <c r="AA262" s="236"/>
    </row>
    <row r="263" spans="21:27">
      <c r="U263" s="236"/>
      <c r="V263" s="236"/>
      <c r="W263" s="236"/>
      <c r="X263" s="236"/>
      <c r="Y263" s="236"/>
      <c r="Z263" s="236"/>
      <c r="AA263" s="236"/>
    </row>
    <row r="264" spans="21:27">
      <c r="U264" s="236"/>
      <c r="V264" s="236"/>
      <c r="W264" s="236"/>
      <c r="X264" s="236"/>
      <c r="Y264" s="236"/>
      <c r="Z264" s="236"/>
      <c r="AA264" s="236"/>
    </row>
    <row r="265" spans="21:27">
      <c r="U265" s="236"/>
      <c r="V265" s="236"/>
      <c r="W265" s="236"/>
      <c r="X265" s="236"/>
      <c r="Y265" s="236"/>
      <c r="Z265" s="236"/>
      <c r="AA265" s="236"/>
    </row>
    <row r="266" spans="21:27">
      <c r="U266" s="236"/>
      <c r="V266" s="236"/>
      <c r="W266" s="236"/>
      <c r="X266" s="236"/>
      <c r="Y266" s="236"/>
      <c r="Z266" s="236"/>
      <c r="AA266" s="236"/>
    </row>
    <row r="267" spans="21:27">
      <c r="U267" s="236"/>
      <c r="V267" s="236"/>
      <c r="W267" s="236"/>
      <c r="X267" s="236"/>
      <c r="Y267" s="236"/>
      <c r="Z267" s="236"/>
      <c r="AA267" s="236"/>
    </row>
    <row r="268" spans="21:27">
      <c r="U268" s="236"/>
      <c r="V268" s="236"/>
      <c r="W268" s="236"/>
      <c r="X268" s="236"/>
      <c r="Y268" s="236"/>
      <c r="Z268" s="236"/>
      <c r="AA268" s="236"/>
    </row>
    <row r="269" spans="21:27">
      <c r="U269" s="236"/>
      <c r="V269" s="236"/>
      <c r="W269" s="236"/>
      <c r="X269" s="236"/>
      <c r="Y269" s="236"/>
      <c r="Z269" s="236"/>
      <c r="AA269" s="236"/>
    </row>
    <row r="270" spans="21:27">
      <c r="U270" s="236"/>
      <c r="V270" s="236"/>
      <c r="W270" s="236"/>
      <c r="X270" s="236"/>
      <c r="Y270" s="236"/>
      <c r="Z270" s="236"/>
      <c r="AA270" s="236"/>
    </row>
    <row r="271" spans="21:27">
      <c r="U271" s="236"/>
      <c r="V271" s="236"/>
      <c r="W271" s="236"/>
      <c r="X271" s="236"/>
      <c r="Y271" s="236"/>
      <c r="Z271" s="236"/>
      <c r="AA271" s="236"/>
    </row>
    <row r="272" spans="21:27">
      <c r="U272" s="236"/>
      <c r="V272" s="236"/>
      <c r="W272" s="236"/>
      <c r="X272" s="236"/>
      <c r="Y272" s="236"/>
      <c r="Z272" s="236"/>
      <c r="AA272" s="236"/>
    </row>
    <row r="273" spans="21:27">
      <c r="U273" s="236"/>
      <c r="V273" s="236"/>
      <c r="W273" s="236"/>
      <c r="X273" s="236"/>
      <c r="Y273" s="236"/>
      <c r="Z273" s="236"/>
      <c r="AA273" s="236"/>
    </row>
    <row r="274" spans="21:27">
      <c r="U274" s="236"/>
      <c r="V274" s="236"/>
      <c r="W274" s="236"/>
      <c r="X274" s="236"/>
      <c r="Y274" s="236"/>
      <c r="Z274" s="236"/>
      <c r="AA274" s="236"/>
    </row>
    <row r="275" spans="21:27">
      <c r="U275" s="236"/>
      <c r="V275" s="236"/>
      <c r="W275" s="236"/>
      <c r="X275" s="236"/>
      <c r="Y275" s="236"/>
      <c r="Z275" s="236"/>
      <c r="AA275" s="236"/>
    </row>
    <row r="276" spans="21:27">
      <c r="U276" s="236"/>
      <c r="V276" s="236"/>
      <c r="W276" s="236"/>
      <c r="X276" s="236"/>
      <c r="Y276" s="236"/>
      <c r="Z276" s="236"/>
      <c r="AA276" s="236"/>
    </row>
    <row r="277" spans="21:27">
      <c r="U277" s="236"/>
      <c r="V277" s="236"/>
      <c r="W277" s="236"/>
      <c r="X277" s="236"/>
      <c r="Y277" s="236"/>
      <c r="Z277" s="236"/>
      <c r="AA277" s="236"/>
    </row>
    <row r="278" spans="21:27">
      <c r="U278" s="236"/>
      <c r="V278" s="236"/>
      <c r="W278" s="236"/>
      <c r="X278" s="236"/>
      <c r="Y278" s="236"/>
      <c r="Z278" s="236"/>
      <c r="AA278" s="236"/>
    </row>
    <row r="279" spans="21:27">
      <c r="U279" s="236"/>
      <c r="V279" s="236"/>
      <c r="W279" s="236"/>
      <c r="X279" s="236"/>
      <c r="Y279" s="236"/>
      <c r="Z279" s="236"/>
      <c r="AA279" s="236"/>
    </row>
    <row r="280" spans="21:27">
      <c r="U280" s="236"/>
      <c r="V280" s="236"/>
      <c r="W280" s="236"/>
      <c r="X280" s="236"/>
      <c r="Y280" s="236"/>
      <c r="Z280" s="236"/>
      <c r="AA280" s="236"/>
    </row>
    <row r="281" spans="21:27">
      <c r="U281" s="236"/>
      <c r="V281" s="236"/>
      <c r="W281" s="236"/>
      <c r="X281" s="236"/>
      <c r="Y281" s="236"/>
      <c r="Z281" s="236"/>
      <c r="AA281" s="236"/>
    </row>
    <row r="282" spans="21:27">
      <c r="U282" s="236"/>
      <c r="V282" s="236"/>
      <c r="W282" s="236"/>
      <c r="X282" s="236"/>
      <c r="Y282" s="236"/>
      <c r="Z282" s="236"/>
      <c r="AA282" s="236"/>
    </row>
    <row r="283" spans="21:27">
      <c r="U283" s="236"/>
      <c r="V283" s="236"/>
      <c r="W283" s="236"/>
      <c r="X283" s="236"/>
      <c r="Y283" s="236"/>
      <c r="Z283" s="236"/>
      <c r="AA283" s="236"/>
    </row>
    <row r="284" spans="21:27">
      <c r="U284" s="236"/>
      <c r="V284" s="236"/>
      <c r="W284" s="236"/>
      <c r="X284" s="236"/>
      <c r="Y284" s="236"/>
      <c r="Z284" s="236"/>
      <c r="AA284" s="236"/>
    </row>
    <row r="285" spans="21:27">
      <c r="U285" s="236"/>
      <c r="V285" s="236"/>
      <c r="W285" s="236"/>
      <c r="X285" s="236"/>
      <c r="Y285" s="236"/>
      <c r="Z285" s="236"/>
      <c r="AA285" s="236"/>
    </row>
    <row r="286" spans="21:27">
      <c r="U286" s="236"/>
      <c r="V286" s="236"/>
      <c r="W286" s="236"/>
      <c r="X286" s="236"/>
      <c r="Y286" s="236"/>
      <c r="Z286" s="236"/>
      <c r="AA286" s="236"/>
    </row>
    <row r="287" spans="21:27">
      <c r="U287" s="236"/>
      <c r="V287" s="236"/>
      <c r="W287" s="236"/>
      <c r="X287" s="236"/>
      <c r="Y287" s="236"/>
      <c r="Z287" s="236"/>
      <c r="AA287" s="236"/>
    </row>
    <row r="288" spans="21:27">
      <c r="U288" s="236"/>
      <c r="V288" s="236"/>
      <c r="W288" s="236"/>
      <c r="X288" s="236"/>
      <c r="Y288" s="236"/>
      <c r="Z288" s="236"/>
      <c r="AA288" s="236"/>
    </row>
    <row r="289" spans="21:27">
      <c r="U289" s="236"/>
      <c r="V289" s="236"/>
      <c r="W289" s="236"/>
      <c r="X289" s="236"/>
      <c r="Y289" s="236"/>
      <c r="Z289" s="236"/>
      <c r="AA289" s="236"/>
    </row>
    <row r="290" spans="21:27">
      <c r="U290" s="236"/>
      <c r="V290" s="236"/>
      <c r="W290" s="236"/>
      <c r="X290" s="236"/>
      <c r="Y290" s="236"/>
      <c r="Z290" s="236"/>
      <c r="AA290" s="236"/>
    </row>
    <row r="291" spans="21:27">
      <c r="U291" s="236"/>
      <c r="V291" s="236"/>
      <c r="W291" s="236"/>
      <c r="X291" s="236"/>
      <c r="Y291" s="236"/>
      <c r="Z291" s="236"/>
      <c r="AA291" s="236"/>
    </row>
    <row r="292" spans="21:27">
      <c r="U292" s="236"/>
      <c r="V292" s="236"/>
      <c r="W292" s="236"/>
      <c r="X292" s="236"/>
      <c r="Y292" s="236"/>
      <c r="Z292" s="236"/>
      <c r="AA292" s="236"/>
    </row>
    <row r="293" spans="21:27">
      <c r="U293" s="236"/>
      <c r="V293" s="236"/>
      <c r="W293" s="236"/>
      <c r="X293" s="236"/>
      <c r="Y293" s="236"/>
      <c r="Z293" s="236"/>
      <c r="AA293" s="236"/>
    </row>
    <row r="294" spans="21:27">
      <c r="U294" s="236"/>
      <c r="V294" s="236"/>
      <c r="W294" s="236"/>
      <c r="X294" s="236"/>
      <c r="Y294" s="236"/>
      <c r="Z294" s="236"/>
      <c r="AA294" s="236"/>
    </row>
    <row r="295" spans="21:27">
      <c r="U295" s="236"/>
      <c r="V295" s="236"/>
      <c r="W295" s="236"/>
      <c r="X295" s="236"/>
      <c r="Y295" s="236"/>
      <c r="Z295" s="236"/>
      <c r="AA295" s="236"/>
    </row>
    <row r="296" spans="21:27">
      <c r="U296" s="236"/>
      <c r="V296" s="236"/>
      <c r="W296" s="236"/>
      <c r="X296" s="236"/>
      <c r="Y296" s="236"/>
      <c r="Z296" s="236"/>
      <c r="AA296" s="236"/>
    </row>
    <row r="297" spans="21:27">
      <c r="U297" s="236"/>
      <c r="V297" s="236"/>
      <c r="W297" s="236"/>
      <c r="X297" s="236"/>
      <c r="Y297" s="236"/>
      <c r="Z297" s="236"/>
      <c r="AA297" s="236"/>
    </row>
    <row r="298" spans="21:27">
      <c r="U298" s="236"/>
      <c r="V298" s="236"/>
      <c r="W298" s="236"/>
      <c r="X298" s="236"/>
      <c r="Y298" s="236"/>
      <c r="Z298" s="236"/>
      <c r="AA298" s="236"/>
    </row>
    <row r="299" spans="21:27">
      <c r="U299" s="236"/>
      <c r="V299" s="236"/>
      <c r="W299" s="236"/>
      <c r="X299" s="236"/>
      <c r="Y299" s="236"/>
      <c r="Z299" s="236"/>
      <c r="AA299" s="236"/>
    </row>
    <row r="300" spans="21:27">
      <c r="U300" s="236"/>
      <c r="V300" s="236"/>
      <c r="W300" s="236"/>
      <c r="X300" s="236"/>
      <c r="Y300" s="236"/>
      <c r="Z300" s="236"/>
      <c r="AA300" s="236"/>
    </row>
    <row r="301" spans="21:27">
      <c r="U301" s="236"/>
      <c r="V301" s="236"/>
      <c r="W301" s="236"/>
      <c r="X301" s="236"/>
      <c r="Y301" s="236"/>
      <c r="Z301" s="236"/>
      <c r="AA301" s="236"/>
    </row>
    <row r="302" spans="21:27">
      <c r="U302" s="236"/>
      <c r="V302" s="236"/>
      <c r="W302" s="236"/>
      <c r="X302" s="236"/>
      <c r="Y302" s="236"/>
      <c r="Z302" s="236"/>
      <c r="AA302" s="236"/>
    </row>
    <row r="303" spans="21:27">
      <c r="U303" s="236"/>
      <c r="V303" s="236"/>
      <c r="W303" s="236"/>
      <c r="X303" s="236"/>
      <c r="Y303" s="236"/>
      <c r="Z303" s="236"/>
      <c r="AA303" s="236"/>
    </row>
    <row r="304" spans="21:27">
      <c r="U304" s="236"/>
      <c r="V304" s="236"/>
      <c r="W304" s="236"/>
      <c r="X304" s="236"/>
      <c r="Y304" s="236"/>
      <c r="Z304" s="236"/>
      <c r="AA304" s="236"/>
    </row>
    <row r="305" spans="21:27">
      <c r="U305" s="236"/>
      <c r="V305" s="236"/>
      <c r="W305" s="236"/>
      <c r="X305" s="236"/>
      <c r="Y305" s="236"/>
      <c r="Z305" s="236"/>
      <c r="AA305" s="236"/>
    </row>
    <row r="306" spans="21:27">
      <c r="U306" s="236"/>
      <c r="V306" s="236"/>
      <c r="W306" s="236"/>
      <c r="X306" s="236"/>
      <c r="Y306" s="236"/>
      <c r="Z306" s="236"/>
      <c r="AA306" s="236"/>
    </row>
    <row r="307" spans="21:27">
      <c r="U307" s="236"/>
      <c r="V307" s="236"/>
      <c r="W307" s="236"/>
      <c r="X307" s="236"/>
      <c r="Y307" s="236"/>
      <c r="Z307" s="236"/>
      <c r="AA307" s="236"/>
    </row>
    <row r="308" spans="21:27">
      <c r="U308" s="236"/>
      <c r="V308" s="236"/>
      <c r="W308" s="236"/>
      <c r="X308" s="236"/>
      <c r="Y308" s="236"/>
      <c r="Z308" s="236"/>
      <c r="AA308" s="236"/>
    </row>
    <row r="309" spans="21:27">
      <c r="U309" s="236"/>
      <c r="V309" s="236"/>
      <c r="W309" s="236"/>
      <c r="X309" s="236"/>
      <c r="Y309" s="236"/>
      <c r="Z309" s="236"/>
      <c r="AA309" s="236"/>
    </row>
    <row r="310" spans="21:27">
      <c r="U310" s="236"/>
      <c r="V310" s="236"/>
      <c r="W310" s="236"/>
      <c r="X310" s="236"/>
      <c r="Y310" s="236"/>
      <c r="Z310" s="236"/>
      <c r="AA310" s="236"/>
    </row>
    <row r="311" spans="21:27">
      <c r="U311" s="236"/>
      <c r="V311" s="236"/>
      <c r="W311" s="236"/>
      <c r="X311" s="236"/>
      <c r="Y311" s="236"/>
      <c r="Z311" s="236"/>
      <c r="AA311" s="236"/>
    </row>
    <row r="312" spans="21:27">
      <c r="U312" s="236"/>
      <c r="V312" s="236"/>
      <c r="W312" s="236"/>
      <c r="X312" s="236"/>
      <c r="Y312" s="236"/>
      <c r="Z312" s="236"/>
      <c r="AA312" s="236"/>
    </row>
    <row r="313" spans="21:27">
      <c r="U313" s="236"/>
      <c r="V313" s="236"/>
      <c r="W313" s="236"/>
      <c r="X313" s="236"/>
      <c r="Y313" s="236"/>
      <c r="Z313" s="236"/>
      <c r="AA313" s="236"/>
    </row>
    <row r="314" spans="21:27">
      <c r="U314" s="236"/>
      <c r="V314" s="236"/>
      <c r="W314" s="236"/>
      <c r="X314" s="236"/>
      <c r="Y314" s="236"/>
      <c r="Z314" s="236"/>
      <c r="AA314" s="236"/>
    </row>
    <row r="315" spans="21:27">
      <c r="U315" s="236"/>
      <c r="V315" s="236"/>
      <c r="W315" s="236"/>
      <c r="X315" s="236"/>
      <c r="Y315" s="236"/>
      <c r="Z315" s="236"/>
      <c r="AA315" s="236"/>
    </row>
    <row r="316" spans="21:27">
      <c r="U316" s="236"/>
      <c r="V316" s="236"/>
      <c r="W316" s="236"/>
      <c r="X316" s="236"/>
      <c r="Y316" s="236"/>
      <c r="Z316" s="236"/>
      <c r="AA316" s="236"/>
    </row>
    <row r="317" spans="21:27">
      <c r="U317" s="236"/>
      <c r="V317" s="236"/>
      <c r="W317" s="236"/>
      <c r="X317" s="236"/>
      <c r="Y317" s="236"/>
      <c r="Z317" s="236"/>
      <c r="AA317" s="236"/>
    </row>
    <row r="318" spans="21:27">
      <c r="U318" s="236"/>
      <c r="V318" s="236"/>
      <c r="W318" s="236"/>
      <c r="X318" s="236"/>
      <c r="Y318" s="236"/>
      <c r="Z318" s="236"/>
      <c r="AA318" s="236"/>
    </row>
    <row r="319" spans="21:27">
      <c r="U319" s="236"/>
      <c r="V319" s="236"/>
      <c r="W319" s="236"/>
      <c r="X319" s="236"/>
      <c r="Y319" s="236"/>
      <c r="Z319" s="236"/>
      <c r="AA319" s="236"/>
    </row>
    <row r="320" spans="21:27">
      <c r="U320" s="236"/>
      <c r="V320" s="236"/>
      <c r="W320" s="236"/>
      <c r="X320" s="236"/>
      <c r="Y320" s="236"/>
      <c r="Z320" s="236"/>
      <c r="AA320" s="236"/>
    </row>
    <row r="321" spans="21:27">
      <c r="U321" s="236"/>
      <c r="V321" s="236"/>
      <c r="W321" s="236"/>
      <c r="X321" s="236"/>
      <c r="Y321" s="236"/>
      <c r="Z321" s="236"/>
      <c r="AA321" s="236"/>
    </row>
    <row r="322" spans="21:27">
      <c r="U322" s="236"/>
      <c r="V322" s="236"/>
      <c r="W322" s="236"/>
      <c r="X322" s="236"/>
      <c r="Y322" s="236"/>
      <c r="Z322" s="236"/>
      <c r="AA322" s="236"/>
    </row>
    <row r="323" spans="21:27">
      <c r="U323" s="236"/>
      <c r="V323" s="236"/>
      <c r="W323" s="236"/>
      <c r="X323" s="236"/>
      <c r="Y323" s="236"/>
      <c r="Z323" s="236"/>
      <c r="AA323" s="236"/>
    </row>
    <row r="324" spans="21:27">
      <c r="U324" s="236"/>
      <c r="V324" s="236"/>
      <c r="W324" s="236"/>
      <c r="X324" s="236"/>
      <c r="Y324" s="236"/>
      <c r="Z324" s="236"/>
      <c r="AA324" s="236"/>
    </row>
    <row r="325" spans="21:27">
      <c r="U325" s="236"/>
      <c r="V325" s="236"/>
      <c r="W325" s="236"/>
      <c r="X325" s="236"/>
      <c r="Y325" s="236"/>
      <c r="Z325" s="236"/>
      <c r="AA325" s="236"/>
    </row>
    <row r="326" spans="21:27">
      <c r="U326" s="236"/>
      <c r="V326" s="236"/>
      <c r="W326" s="236"/>
      <c r="X326" s="236"/>
      <c r="Y326" s="236"/>
      <c r="Z326" s="236"/>
      <c r="AA326" s="236"/>
    </row>
    <row r="327" spans="21:27">
      <c r="U327" s="236"/>
      <c r="V327" s="236"/>
      <c r="W327" s="236"/>
      <c r="X327" s="236"/>
      <c r="Y327" s="236"/>
      <c r="Z327" s="236"/>
      <c r="AA327" s="236"/>
    </row>
    <row r="328" spans="21:27">
      <c r="U328" s="236"/>
      <c r="V328" s="236"/>
      <c r="W328" s="236"/>
      <c r="X328" s="236"/>
      <c r="Y328" s="236"/>
      <c r="Z328" s="236"/>
      <c r="AA328" s="236"/>
    </row>
    <row r="329" spans="21:27">
      <c r="U329" s="236"/>
      <c r="V329" s="236"/>
      <c r="W329" s="236"/>
      <c r="X329" s="236"/>
      <c r="Y329" s="236"/>
      <c r="Z329" s="236"/>
      <c r="AA329" s="236"/>
    </row>
    <row r="330" spans="21:27">
      <c r="U330" s="236"/>
      <c r="V330" s="236"/>
      <c r="W330" s="236"/>
      <c r="X330" s="236"/>
      <c r="Y330" s="236"/>
      <c r="Z330" s="236"/>
      <c r="AA330" s="236"/>
    </row>
    <row r="331" spans="21:27">
      <c r="U331" s="236"/>
      <c r="V331" s="236"/>
      <c r="W331" s="236"/>
      <c r="X331" s="236"/>
      <c r="Y331" s="236"/>
      <c r="Z331" s="236"/>
      <c r="AA331" s="236"/>
    </row>
    <row r="332" spans="21:27">
      <c r="U332" s="236"/>
      <c r="V332" s="236"/>
      <c r="W332" s="236"/>
      <c r="X332" s="236"/>
      <c r="Y332" s="236"/>
      <c r="Z332" s="236"/>
      <c r="AA332" s="236"/>
    </row>
    <row r="333" spans="21:27">
      <c r="U333" s="236"/>
      <c r="V333" s="236"/>
      <c r="W333" s="236"/>
      <c r="X333" s="236"/>
      <c r="Y333" s="236"/>
      <c r="Z333" s="236"/>
      <c r="AA333" s="236"/>
    </row>
    <row r="334" spans="21:27">
      <c r="U334" s="236"/>
      <c r="V334" s="236"/>
      <c r="W334" s="236"/>
      <c r="X334" s="236"/>
      <c r="Y334" s="236"/>
      <c r="Z334" s="236"/>
      <c r="AA334" s="236"/>
    </row>
    <row r="335" spans="21:27">
      <c r="U335" s="236"/>
      <c r="V335" s="236"/>
      <c r="W335" s="236"/>
      <c r="X335" s="236"/>
      <c r="Y335" s="236"/>
      <c r="Z335" s="236"/>
      <c r="AA335" s="236"/>
    </row>
    <row r="336" spans="21:27">
      <c r="U336" s="236"/>
      <c r="V336" s="236"/>
      <c r="W336" s="236"/>
      <c r="X336" s="236"/>
      <c r="Y336" s="236"/>
      <c r="Z336" s="236"/>
      <c r="AA336" s="236"/>
    </row>
    <row r="337" spans="21:27">
      <c r="U337" s="236"/>
      <c r="V337" s="236"/>
      <c r="W337" s="236"/>
      <c r="X337" s="236"/>
      <c r="Y337" s="236"/>
      <c r="Z337" s="236"/>
      <c r="AA337" s="236"/>
    </row>
    <row r="338" spans="21:27">
      <c r="U338" s="236"/>
      <c r="V338" s="236"/>
      <c r="W338" s="236"/>
      <c r="X338" s="236"/>
      <c r="Y338" s="236"/>
      <c r="Z338" s="236"/>
      <c r="AA338" s="236"/>
    </row>
    <row r="339" spans="21:27">
      <c r="U339" s="236"/>
      <c r="V339" s="236"/>
      <c r="W339" s="236"/>
      <c r="X339" s="236"/>
      <c r="Y339" s="236"/>
      <c r="Z339" s="236"/>
      <c r="AA339" s="236"/>
    </row>
    <row r="340" spans="21:27">
      <c r="U340" s="236"/>
      <c r="V340" s="236"/>
      <c r="W340" s="236"/>
      <c r="X340" s="236"/>
      <c r="Y340" s="236"/>
      <c r="Z340" s="236"/>
      <c r="AA340" s="236"/>
    </row>
    <row r="341" spans="21:27">
      <c r="U341" s="236"/>
      <c r="V341" s="236"/>
      <c r="W341" s="236"/>
      <c r="X341" s="236"/>
      <c r="Y341" s="236"/>
      <c r="Z341" s="236"/>
      <c r="AA341" s="236"/>
    </row>
    <row r="342" spans="21:27">
      <c r="U342" s="236"/>
      <c r="V342" s="236"/>
      <c r="W342" s="236"/>
      <c r="X342" s="236"/>
      <c r="Y342" s="236"/>
      <c r="Z342" s="236"/>
      <c r="AA342" s="236"/>
    </row>
    <row r="343" spans="21:27">
      <c r="U343" s="236"/>
      <c r="V343" s="236"/>
      <c r="W343" s="236"/>
      <c r="X343" s="236"/>
      <c r="Y343" s="236"/>
      <c r="Z343" s="236"/>
      <c r="AA343" s="236"/>
    </row>
    <row r="344" spans="21:27">
      <c r="U344" s="236"/>
      <c r="V344" s="236"/>
      <c r="W344" s="236"/>
      <c r="X344" s="236"/>
      <c r="Y344" s="236"/>
      <c r="Z344" s="236"/>
      <c r="AA344" s="236"/>
    </row>
    <row r="345" spans="21:27">
      <c r="U345" s="236"/>
      <c r="V345" s="236"/>
      <c r="W345" s="236"/>
      <c r="X345" s="236"/>
      <c r="Y345" s="236"/>
      <c r="Z345" s="236"/>
      <c r="AA345" s="236"/>
    </row>
    <row r="346" spans="21:27">
      <c r="U346" s="236"/>
      <c r="V346" s="236"/>
      <c r="W346" s="236"/>
      <c r="X346" s="236"/>
      <c r="Y346" s="236"/>
      <c r="Z346" s="236"/>
      <c r="AA346" s="236"/>
    </row>
    <row r="347" spans="21:27">
      <c r="U347" s="236"/>
      <c r="V347" s="236"/>
      <c r="W347" s="236"/>
      <c r="X347" s="236"/>
      <c r="Y347" s="236"/>
      <c r="Z347" s="236"/>
      <c r="AA347" s="236"/>
    </row>
    <row r="348" spans="21:27">
      <c r="U348" s="236"/>
      <c r="V348" s="236"/>
      <c r="W348" s="236"/>
      <c r="X348" s="236"/>
      <c r="Y348" s="236"/>
      <c r="Z348" s="236"/>
      <c r="AA348" s="236"/>
    </row>
    <row r="349" spans="21:27">
      <c r="U349" s="236"/>
      <c r="V349" s="236"/>
      <c r="W349" s="236"/>
      <c r="X349" s="236"/>
      <c r="Y349" s="236"/>
      <c r="Z349" s="236"/>
      <c r="AA349" s="236"/>
    </row>
    <row r="350" spans="21:27">
      <c r="U350" s="236"/>
      <c r="V350" s="236"/>
      <c r="W350" s="236"/>
      <c r="X350" s="236"/>
      <c r="Y350" s="236"/>
      <c r="Z350" s="236"/>
      <c r="AA350" s="236"/>
    </row>
    <row r="351" spans="21:27">
      <c r="U351" s="236"/>
      <c r="V351" s="236"/>
      <c r="W351" s="236"/>
      <c r="X351" s="236"/>
      <c r="Y351" s="236"/>
      <c r="Z351" s="236"/>
      <c r="AA351" s="236"/>
    </row>
    <row r="352" spans="21:27">
      <c r="U352" s="236"/>
      <c r="V352" s="236"/>
      <c r="W352" s="236"/>
      <c r="X352" s="236"/>
      <c r="Y352" s="236"/>
      <c r="Z352" s="236"/>
      <c r="AA352" s="236"/>
    </row>
    <row r="353" spans="21:27">
      <c r="U353" s="236"/>
      <c r="V353" s="236"/>
      <c r="W353" s="236"/>
      <c r="X353" s="236"/>
      <c r="Y353" s="236"/>
      <c r="Z353" s="236"/>
      <c r="AA353" s="236"/>
    </row>
    <row r="354" spans="21:27">
      <c r="U354" s="236"/>
      <c r="V354" s="236"/>
      <c r="W354" s="236"/>
      <c r="X354" s="236"/>
      <c r="Y354" s="236"/>
      <c r="Z354" s="236"/>
      <c r="AA354" s="236"/>
    </row>
    <row r="355" spans="21:27">
      <c r="U355" s="236"/>
      <c r="V355" s="236"/>
      <c r="W355" s="236"/>
      <c r="X355" s="236"/>
      <c r="Y355" s="236"/>
      <c r="Z355" s="236"/>
      <c r="AA355" s="236"/>
    </row>
    <row r="356" spans="21:27">
      <c r="U356" s="236"/>
      <c r="V356" s="236"/>
      <c r="W356" s="236"/>
      <c r="X356" s="236"/>
      <c r="Y356" s="236"/>
      <c r="Z356" s="236"/>
      <c r="AA356" s="236"/>
    </row>
    <row r="357" spans="21:27">
      <c r="U357" s="236"/>
      <c r="V357" s="236"/>
      <c r="W357" s="236"/>
      <c r="X357" s="236"/>
      <c r="Y357" s="236"/>
      <c r="Z357" s="236"/>
      <c r="AA357" s="236"/>
    </row>
    <row r="358" spans="21:27">
      <c r="U358" s="236"/>
      <c r="V358" s="236"/>
      <c r="W358" s="236"/>
      <c r="X358" s="236"/>
      <c r="Y358" s="236"/>
      <c r="Z358" s="236"/>
      <c r="AA358" s="236"/>
    </row>
    <row r="359" spans="21:27">
      <c r="U359" s="236"/>
      <c r="V359" s="236"/>
      <c r="W359" s="236"/>
      <c r="X359" s="236"/>
      <c r="Y359" s="236"/>
      <c r="Z359" s="236"/>
      <c r="AA359" s="236"/>
    </row>
    <row r="360" spans="21:27">
      <c r="U360" s="236"/>
      <c r="V360" s="236"/>
      <c r="W360" s="236"/>
      <c r="X360" s="236"/>
      <c r="Y360" s="236"/>
      <c r="Z360" s="236"/>
      <c r="AA360" s="236"/>
    </row>
    <row r="361" spans="21:27">
      <c r="U361" s="236"/>
      <c r="V361" s="236"/>
      <c r="W361" s="236"/>
      <c r="X361" s="236"/>
      <c r="Y361" s="236"/>
      <c r="Z361" s="236"/>
      <c r="AA361" s="236"/>
    </row>
    <row r="362" spans="21:27">
      <c r="U362" s="236"/>
      <c r="V362" s="236"/>
      <c r="W362" s="236"/>
      <c r="X362" s="236"/>
      <c r="Y362" s="236"/>
      <c r="Z362" s="236"/>
      <c r="AA362" s="236"/>
    </row>
    <row r="363" spans="21:27">
      <c r="U363" s="236"/>
      <c r="V363" s="236"/>
      <c r="W363" s="236"/>
      <c r="X363" s="236"/>
      <c r="Y363" s="236"/>
      <c r="Z363" s="236"/>
      <c r="AA363" s="236"/>
    </row>
    <row r="364" spans="21:27">
      <c r="U364" s="236"/>
      <c r="V364" s="236"/>
      <c r="W364" s="236"/>
      <c r="X364" s="236"/>
      <c r="Y364" s="236"/>
      <c r="Z364" s="236"/>
      <c r="AA364" s="236"/>
    </row>
    <row r="365" spans="21:27">
      <c r="U365" s="236"/>
      <c r="V365" s="236"/>
      <c r="W365" s="236"/>
      <c r="X365" s="236"/>
      <c r="Y365" s="236"/>
      <c r="Z365" s="236"/>
      <c r="AA365" s="236"/>
    </row>
    <row r="366" spans="21:27">
      <c r="U366" s="236"/>
      <c r="V366" s="236"/>
      <c r="W366" s="236"/>
      <c r="X366" s="236"/>
      <c r="Y366" s="236"/>
      <c r="Z366" s="236"/>
      <c r="AA366" s="236"/>
    </row>
    <row r="367" spans="21:27">
      <c r="U367" s="236"/>
      <c r="V367" s="236"/>
      <c r="W367" s="236"/>
      <c r="X367" s="236"/>
      <c r="Y367" s="236"/>
      <c r="Z367" s="236"/>
      <c r="AA367" s="236"/>
    </row>
    <row r="368" spans="21:27">
      <c r="U368" s="236"/>
      <c r="V368" s="236"/>
      <c r="W368" s="236"/>
      <c r="X368" s="236"/>
      <c r="Y368" s="236"/>
      <c r="Z368" s="236"/>
      <c r="AA368" s="236"/>
    </row>
    <row r="369" spans="21:27">
      <c r="U369" s="236"/>
      <c r="V369" s="236"/>
      <c r="W369" s="236"/>
      <c r="X369" s="236"/>
      <c r="Y369" s="236"/>
      <c r="Z369" s="236"/>
      <c r="AA369" s="236"/>
    </row>
    <row r="370" spans="21:27">
      <c r="U370" s="236"/>
      <c r="V370" s="236"/>
      <c r="W370" s="236"/>
      <c r="X370" s="236"/>
      <c r="Y370" s="236"/>
      <c r="Z370" s="236"/>
      <c r="AA370" s="236"/>
    </row>
    <row r="371" spans="21:27">
      <c r="U371" s="236"/>
      <c r="V371" s="236"/>
      <c r="W371" s="236"/>
      <c r="X371" s="236"/>
      <c r="Y371" s="236"/>
      <c r="Z371" s="236"/>
      <c r="AA371" s="236"/>
    </row>
    <row r="372" spans="21:27">
      <c r="U372" s="236"/>
      <c r="V372" s="236"/>
      <c r="W372" s="236"/>
      <c r="X372" s="236"/>
      <c r="Y372" s="236"/>
      <c r="Z372" s="236"/>
      <c r="AA372" s="236"/>
    </row>
    <row r="373" spans="21:27">
      <c r="U373" s="236"/>
      <c r="V373" s="236"/>
      <c r="W373" s="236"/>
      <c r="X373" s="236"/>
      <c r="Y373" s="236"/>
      <c r="Z373" s="236"/>
      <c r="AA373" s="236"/>
    </row>
    <row r="374" spans="21:27">
      <c r="U374" s="236"/>
      <c r="V374" s="236"/>
      <c r="W374" s="236"/>
      <c r="X374" s="236"/>
      <c r="Y374" s="236"/>
      <c r="Z374" s="236"/>
      <c r="AA374" s="236"/>
    </row>
    <row r="375" spans="21:27">
      <c r="U375" s="236"/>
      <c r="V375" s="236"/>
      <c r="W375" s="236"/>
      <c r="X375" s="236"/>
      <c r="Y375" s="236"/>
      <c r="Z375" s="236"/>
      <c r="AA375" s="236"/>
    </row>
    <row r="376" spans="21:27">
      <c r="U376" s="236"/>
      <c r="V376" s="236"/>
      <c r="W376" s="236"/>
      <c r="X376" s="236"/>
      <c r="Y376" s="236"/>
      <c r="Z376" s="236"/>
      <c r="AA376" s="236"/>
    </row>
    <row r="377" spans="21:27">
      <c r="U377" s="236"/>
      <c r="V377" s="236"/>
      <c r="W377" s="236"/>
      <c r="X377" s="236"/>
      <c r="Y377" s="236"/>
      <c r="Z377" s="236"/>
      <c r="AA377" s="236"/>
    </row>
    <row r="378" spans="21:27">
      <c r="U378" s="236"/>
      <c r="V378" s="236"/>
      <c r="W378" s="236"/>
      <c r="X378" s="236"/>
      <c r="Y378" s="236"/>
      <c r="Z378" s="236"/>
      <c r="AA378" s="236"/>
    </row>
    <row r="379" spans="21:27">
      <c r="U379" s="236"/>
      <c r="V379" s="236"/>
      <c r="W379" s="236"/>
      <c r="X379" s="236"/>
      <c r="Y379" s="236"/>
      <c r="Z379" s="236"/>
      <c r="AA379" s="236"/>
    </row>
    <row r="380" spans="21:27">
      <c r="U380" s="236"/>
      <c r="V380" s="236"/>
      <c r="W380" s="236"/>
      <c r="X380" s="236"/>
      <c r="Y380" s="236"/>
      <c r="Z380" s="236"/>
      <c r="AA380" s="236"/>
    </row>
    <row r="381" spans="21:27">
      <c r="U381" s="236"/>
      <c r="V381" s="236"/>
      <c r="W381" s="236"/>
      <c r="X381" s="236"/>
      <c r="Y381" s="236"/>
      <c r="Z381" s="236"/>
      <c r="AA381" s="236"/>
    </row>
    <row r="382" spans="21:27">
      <c r="U382" s="236"/>
      <c r="V382" s="236"/>
      <c r="W382" s="236"/>
      <c r="X382" s="236"/>
      <c r="Y382" s="236"/>
      <c r="Z382" s="236"/>
      <c r="AA382" s="236"/>
    </row>
    <row r="383" spans="21:27">
      <c r="U383" s="236"/>
      <c r="V383" s="236"/>
      <c r="W383" s="236"/>
      <c r="X383" s="236"/>
      <c r="Y383" s="236"/>
      <c r="Z383" s="236"/>
      <c r="AA383" s="236"/>
    </row>
    <row r="384" spans="21:27">
      <c r="U384" s="236"/>
      <c r="V384" s="236"/>
      <c r="W384" s="236"/>
      <c r="X384" s="236"/>
      <c r="Y384" s="236"/>
      <c r="Z384" s="236"/>
      <c r="AA384" s="236"/>
    </row>
    <row r="385" spans="21:27">
      <c r="U385" s="236"/>
      <c r="V385" s="236"/>
      <c r="W385" s="236"/>
      <c r="X385" s="236"/>
      <c r="Y385" s="236"/>
      <c r="Z385" s="236"/>
      <c r="AA385" s="236"/>
    </row>
    <row r="386" spans="21:27">
      <c r="U386" s="236"/>
      <c r="V386" s="236"/>
      <c r="W386" s="236"/>
      <c r="X386" s="236"/>
      <c r="Y386" s="236"/>
      <c r="Z386" s="236"/>
      <c r="AA386" s="236"/>
    </row>
    <row r="387" spans="21:27">
      <c r="U387" s="236"/>
      <c r="V387" s="236"/>
      <c r="W387" s="236"/>
      <c r="X387" s="236"/>
      <c r="Y387" s="236"/>
      <c r="Z387" s="236"/>
      <c r="AA387" s="236"/>
    </row>
    <row r="388" spans="21:27">
      <c r="U388" s="236"/>
      <c r="V388" s="236"/>
      <c r="W388" s="236"/>
      <c r="X388" s="236"/>
      <c r="Y388" s="236"/>
      <c r="Z388" s="236"/>
      <c r="AA388" s="236"/>
    </row>
    <row r="389" spans="21:27">
      <c r="U389" s="236"/>
      <c r="V389" s="236"/>
      <c r="W389" s="236"/>
      <c r="X389" s="236"/>
      <c r="Y389" s="236"/>
      <c r="Z389" s="236"/>
      <c r="AA389" s="236"/>
    </row>
    <row r="390" spans="21:27">
      <c r="U390" s="236"/>
      <c r="V390" s="236"/>
      <c r="W390" s="236"/>
      <c r="X390" s="236"/>
      <c r="Y390" s="236"/>
      <c r="Z390" s="236"/>
      <c r="AA390" s="236"/>
    </row>
    <row r="391" spans="21:27">
      <c r="U391" s="236"/>
      <c r="V391" s="236"/>
      <c r="W391" s="236"/>
      <c r="X391" s="236"/>
      <c r="Y391" s="236"/>
      <c r="Z391" s="236"/>
      <c r="AA391" s="236"/>
    </row>
    <row r="392" spans="21:27">
      <c r="U392" s="236"/>
      <c r="V392" s="236"/>
      <c r="W392" s="236"/>
      <c r="X392" s="236"/>
      <c r="Y392" s="236"/>
      <c r="Z392" s="236"/>
      <c r="AA392" s="236"/>
    </row>
    <row r="393" spans="21:27">
      <c r="U393" s="236"/>
      <c r="V393" s="236"/>
      <c r="W393" s="236"/>
      <c r="X393" s="236"/>
      <c r="Y393" s="236"/>
      <c r="Z393" s="236"/>
      <c r="AA393" s="236"/>
    </row>
    <row r="394" spans="21:27">
      <c r="U394" s="236"/>
      <c r="V394" s="236"/>
      <c r="W394" s="236"/>
      <c r="X394" s="236"/>
      <c r="Y394" s="236"/>
      <c r="Z394" s="236"/>
      <c r="AA394" s="236"/>
    </row>
    <row r="395" spans="21:27">
      <c r="U395" s="236"/>
      <c r="V395" s="236"/>
      <c r="W395" s="236"/>
      <c r="X395" s="236"/>
      <c r="Y395" s="236"/>
      <c r="Z395" s="236"/>
      <c r="AA395" s="236"/>
    </row>
    <row r="396" spans="21:27">
      <c r="U396" s="236"/>
      <c r="V396" s="236"/>
      <c r="W396" s="236"/>
      <c r="X396" s="236"/>
      <c r="Y396" s="236"/>
      <c r="Z396" s="236"/>
      <c r="AA396" s="236"/>
    </row>
    <row r="397" spans="21:27">
      <c r="U397" s="236"/>
      <c r="V397" s="236"/>
      <c r="W397" s="236"/>
      <c r="X397" s="236"/>
      <c r="Y397" s="236"/>
      <c r="Z397" s="236"/>
      <c r="AA397" s="236"/>
    </row>
    <row r="398" spans="21:27">
      <c r="U398" s="236"/>
      <c r="V398" s="236"/>
      <c r="W398" s="236"/>
      <c r="X398" s="236"/>
      <c r="Y398" s="236"/>
      <c r="Z398" s="236"/>
      <c r="AA398" s="236"/>
    </row>
    <row r="399" spans="21:27">
      <c r="U399" s="236"/>
      <c r="V399" s="236"/>
      <c r="W399" s="236"/>
      <c r="X399" s="236"/>
      <c r="Y399" s="236"/>
      <c r="Z399" s="236"/>
      <c r="AA399" s="236"/>
    </row>
    <row r="400" spans="21:27">
      <c r="U400" s="236"/>
      <c r="V400" s="236"/>
      <c r="W400" s="236"/>
      <c r="X400" s="236"/>
      <c r="Y400" s="236"/>
      <c r="Z400" s="236"/>
      <c r="AA400" s="236"/>
    </row>
    <row r="401" spans="21:27">
      <c r="U401" s="236"/>
      <c r="V401" s="236"/>
      <c r="W401" s="236"/>
      <c r="X401" s="236"/>
      <c r="Y401" s="236"/>
      <c r="Z401" s="236"/>
      <c r="AA401" s="236"/>
    </row>
    <row r="402" spans="21:27">
      <c r="U402" s="236"/>
      <c r="V402" s="236"/>
      <c r="W402" s="236"/>
      <c r="X402" s="236"/>
      <c r="Y402" s="236"/>
      <c r="Z402" s="236"/>
      <c r="AA402" s="236"/>
    </row>
    <row r="403" spans="21:27">
      <c r="U403" s="236"/>
      <c r="V403" s="236"/>
      <c r="W403" s="236"/>
      <c r="X403" s="236"/>
      <c r="Y403" s="236"/>
      <c r="Z403" s="236"/>
      <c r="AA403" s="236"/>
    </row>
    <row r="404" spans="21:27">
      <c r="U404" s="236"/>
      <c r="V404" s="236"/>
      <c r="W404" s="236"/>
      <c r="X404" s="236"/>
      <c r="Y404" s="236"/>
      <c r="Z404" s="236"/>
      <c r="AA404" s="236"/>
    </row>
    <row r="405" spans="21:27">
      <c r="U405" s="236"/>
      <c r="V405" s="236"/>
      <c r="W405" s="236"/>
      <c r="X405" s="236"/>
      <c r="Y405" s="236"/>
      <c r="Z405" s="236"/>
      <c r="AA405" s="236"/>
    </row>
    <row r="406" spans="21:27">
      <c r="U406" s="236"/>
      <c r="V406" s="236"/>
      <c r="W406" s="236"/>
      <c r="X406" s="236"/>
      <c r="Y406" s="236"/>
      <c r="Z406" s="236"/>
      <c r="AA406" s="236"/>
    </row>
    <row r="407" spans="21:27">
      <c r="U407" s="236"/>
      <c r="V407" s="236"/>
      <c r="W407" s="236"/>
      <c r="X407" s="236"/>
      <c r="Y407" s="236"/>
      <c r="Z407" s="236"/>
      <c r="AA407" s="236"/>
    </row>
    <row r="408" spans="21:27">
      <c r="U408" s="236"/>
      <c r="V408" s="236"/>
      <c r="W408" s="236"/>
      <c r="X408" s="236"/>
      <c r="Y408" s="236"/>
      <c r="Z408" s="236"/>
      <c r="AA408" s="236"/>
    </row>
    <row r="409" spans="21:27">
      <c r="U409" s="236"/>
      <c r="V409" s="236"/>
      <c r="W409" s="236"/>
      <c r="X409" s="236"/>
      <c r="Y409" s="236"/>
      <c r="Z409" s="236"/>
      <c r="AA409" s="236"/>
    </row>
    <row r="410" spans="21:27">
      <c r="U410" s="236"/>
      <c r="V410" s="236"/>
      <c r="W410" s="236"/>
      <c r="X410" s="236"/>
      <c r="Y410" s="236"/>
      <c r="Z410" s="236"/>
      <c r="AA410" s="236"/>
    </row>
    <row r="411" spans="21:27">
      <c r="U411" s="236"/>
      <c r="V411" s="236"/>
      <c r="W411" s="236"/>
      <c r="X411" s="236"/>
      <c r="Y411" s="236"/>
      <c r="Z411" s="236"/>
      <c r="AA411" s="236"/>
    </row>
    <row r="412" spans="21:27">
      <c r="U412" s="236"/>
      <c r="V412" s="236"/>
      <c r="W412" s="236"/>
      <c r="X412" s="236"/>
      <c r="Y412" s="236"/>
      <c r="Z412" s="236"/>
      <c r="AA412" s="236"/>
    </row>
    <row r="413" spans="21:27">
      <c r="U413" s="236"/>
      <c r="V413" s="236"/>
      <c r="W413" s="236"/>
      <c r="X413" s="236"/>
      <c r="Y413" s="236"/>
      <c r="Z413" s="236"/>
      <c r="AA413" s="236"/>
    </row>
    <row r="414" spans="21:27">
      <c r="U414" s="236"/>
      <c r="V414" s="236"/>
      <c r="W414" s="236"/>
      <c r="X414" s="236"/>
      <c r="Y414" s="236"/>
      <c r="Z414" s="236"/>
      <c r="AA414" s="236"/>
    </row>
    <row r="415" spans="21:27">
      <c r="U415" s="236"/>
      <c r="V415" s="236"/>
      <c r="W415" s="236"/>
      <c r="X415" s="236"/>
      <c r="Y415" s="236"/>
      <c r="Z415" s="236"/>
      <c r="AA415" s="236"/>
    </row>
    <row r="416" spans="21:27">
      <c r="U416" s="236"/>
      <c r="V416" s="236"/>
      <c r="W416" s="236"/>
      <c r="X416" s="236"/>
      <c r="Y416" s="236"/>
      <c r="Z416" s="236"/>
      <c r="AA416" s="236"/>
    </row>
    <row r="417" spans="21:27">
      <c r="U417" s="236"/>
      <c r="V417" s="236"/>
      <c r="W417" s="236"/>
      <c r="X417" s="236"/>
      <c r="Y417" s="236"/>
      <c r="Z417" s="236"/>
      <c r="AA417" s="236"/>
    </row>
    <row r="418" spans="21:27">
      <c r="U418" s="236"/>
      <c r="V418" s="236"/>
      <c r="W418" s="236"/>
      <c r="X418" s="236"/>
      <c r="Y418" s="236"/>
      <c r="Z418" s="236"/>
      <c r="AA418" s="236"/>
    </row>
    <row r="419" spans="21:27">
      <c r="U419" s="236"/>
      <c r="V419" s="236"/>
      <c r="W419" s="236"/>
      <c r="X419" s="236"/>
      <c r="Y419" s="236"/>
      <c r="Z419" s="236"/>
      <c r="AA419" s="236"/>
    </row>
    <row r="420" spans="21:27">
      <c r="U420" s="236"/>
      <c r="V420" s="236"/>
      <c r="W420" s="236"/>
      <c r="X420" s="236"/>
      <c r="Y420" s="236"/>
      <c r="Z420" s="236"/>
      <c r="AA420" s="236"/>
    </row>
    <row r="421" spans="21:27">
      <c r="U421" s="236"/>
      <c r="V421" s="236"/>
      <c r="W421" s="236"/>
      <c r="X421" s="236"/>
      <c r="Y421" s="236"/>
      <c r="Z421" s="236"/>
      <c r="AA421" s="236"/>
    </row>
    <row r="422" spans="21:27">
      <c r="U422" s="236"/>
      <c r="V422" s="236"/>
      <c r="W422" s="236"/>
      <c r="X422" s="236"/>
      <c r="Y422" s="236"/>
      <c r="Z422" s="236"/>
      <c r="AA422" s="236"/>
    </row>
    <row r="423" spans="21:27">
      <c r="U423" s="236"/>
      <c r="V423" s="236"/>
      <c r="W423" s="236"/>
      <c r="X423" s="236"/>
      <c r="Y423" s="236"/>
      <c r="Z423" s="236"/>
      <c r="AA423" s="236"/>
    </row>
    <row r="424" spans="21:27">
      <c r="U424" s="236"/>
      <c r="V424" s="236"/>
      <c r="W424" s="236"/>
      <c r="X424" s="236"/>
      <c r="Y424" s="236"/>
      <c r="Z424" s="236"/>
      <c r="AA424" s="236"/>
    </row>
    <row r="425" spans="21:27">
      <c r="U425" s="236"/>
      <c r="V425" s="236"/>
      <c r="W425" s="236"/>
      <c r="X425" s="236"/>
      <c r="Y425" s="236"/>
      <c r="Z425" s="236"/>
      <c r="AA425" s="236"/>
    </row>
    <row r="426" spans="21:27">
      <c r="U426" s="236"/>
      <c r="V426" s="236"/>
      <c r="W426" s="236"/>
      <c r="X426" s="236"/>
      <c r="Y426" s="236"/>
      <c r="Z426" s="236"/>
      <c r="AA426" s="236"/>
    </row>
    <row r="427" spans="21:27">
      <c r="U427" s="236"/>
      <c r="V427" s="236"/>
      <c r="W427" s="236"/>
      <c r="X427" s="236"/>
      <c r="Y427" s="236"/>
      <c r="Z427" s="236"/>
      <c r="AA427" s="236"/>
    </row>
    <row r="428" spans="21:27">
      <c r="U428" s="236"/>
      <c r="V428" s="236"/>
      <c r="W428" s="236"/>
      <c r="X428" s="236"/>
      <c r="Y428" s="236"/>
      <c r="Z428" s="236"/>
      <c r="AA428" s="236"/>
    </row>
    <row r="429" spans="21:27">
      <c r="U429" s="236"/>
      <c r="V429" s="236"/>
      <c r="W429" s="236"/>
      <c r="X429" s="236"/>
      <c r="Y429" s="236"/>
      <c r="Z429" s="236"/>
      <c r="AA429" s="236"/>
    </row>
    <row r="430" spans="21:27">
      <c r="U430" s="236"/>
      <c r="V430" s="236"/>
      <c r="W430" s="236"/>
      <c r="X430" s="236"/>
      <c r="Y430" s="236"/>
      <c r="Z430" s="236"/>
      <c r="AA430" s="236"/>
    </row>
    <row r="431" spans="21:27">
      <c r="U431" s="236"/>
      <c r="V431" s="236"/>
      <c r="W431" s="236"/>
      <c r="X431" s="236"/>
      <c r="Y431" s="236"/>
      <c r="Z431" s="236"/>
      <c r="AA431" s="236"/>
    </row>
    <row r="432" spans="21:27">
      <c r="U432" s="236"/>
      <c r="V432" s="236"/>
      <c r="W432" s="236"/>
      <c r="X432" s="236"/>
      <c r="Y432" s="236"/>
      <c r="Z432" s="236"/>
      <c r="AA432" s="236"/>
    </row>
    <row r="433" spans="21:27">
      <c r="U433" s="236"/>
      <c r="V433" s="236"/>
      <c r="W433" s="236"/>
      <c r="X433" s="236"/>
      <c r="Y433" s="236"/>
      <c r="Z433" s="236"/>
      <c r="AA433" s="236"/>
    </row>
    <row r="434" spans="21:27">
      <c r="U434" s="236"/>
      <c r="V434" s="236"/>
      <c r="W434" s="236"/>
      <c r="X434" s="236"/>
      <c r="Y434" s="236"/>
      <c r="Z434" s="236"/>
      <c r="AA434" s="236"/>
    </row>
    <row r="435" spans="21:27">
      <c r="U435" s="236"/>
      <c r="V435" s="236"/>
      <c r="W435" s="236"/>
      <c r="X435" s="236"/>
      <c r="Y435" s="236"/>
      <c r="Z435" s="236"/>
      <c r="AA435" s="236"/>
    </row>
    <row r="436" spans="21:27">
      <c r="U436" s="236"/>
      <c r="V436" s="236"/>
      <c r="W436" s="236"/>
      <c r="X436" s="236"/>
      <c r="Y436" s="236"/>
      <c r="Z436" s="236"/>
      <c r="AA436" s="236"/>
    </row>
    <row r="437" spans="21:27">
      <c r="U437" s="236"/>
      <c r="V437" s="236"/>
      <c r="W437" s="236"/>
      <c r="X437" s="236"/>
      <c r="Y437" s="236"/>
      <c r="Z437" s="236"/>
      <c r="AA437" s="236"/>
    </row>
    <row r="438" spans="21:27">
      <c r="U438" s="236"/>
      <c r="V438" s="236"/>
      <c r="W438" s="236"/>
      <c r="X438" s="236"/>
      <c r="Y438" s="236"/>
      <c r="Z438" s="236"/>
      <c r="AA438" s="236"/>
    </row>
    <row r="439" spans="21:27">
      <c r="U439" s="236"/>
      <c r="V439" s="236"/>
      <c r="W439" s="236"/>
      <c r="X439" s="236"/>
      <c r="Y439" s="236"/>
      <c r="Z439" s="236"/>
      <c r="AA439" s="236"/>
    </row>
    <row r="440" spans="21:27">
      <c r="U440" s="236"/>
      <c r="V440" s="236"/>
      <c r="W440" s="236"/>
      <c r="X440" s="236"/>
      <c r="Y440" s="236"/>
      <c r="Z440" s="236"/>
      <c r="AA440" s="236"/>
    </row>
    <row r="441" spans="21:27">
      <c r="U441" s="236"/>
      <c r="V441" s="236"/>
      <c r="W441" s="236"/>
      <c r="X441" s="236"/>
      <c r="Y441" s="236"/>
      <c r="Z441" s="236"/>
      <c r="AA441" s="236"/>
    </row>
    <row r="442" spans="21:27">
      <c r="U442" s="236"/>
      <c r="V442" s="236"/>
      <c r="W442" s="236"/>
      <c r="X442" s="236"/>
      <c r="Y442" s="236"/>
      <c r="Z442" s="236"/>
      <c r="AA442" s="236"/>
    </row>
    <row r="443" spans="21:27">
      <c r="U443" s="236"/>
      <c r="V443" s="236"/>
      <c r="W443" s="236"/>
      <c r="X443" s="236"/>
      <c r="Y443" s="236"/>
      <c r="Z443" s="236"/>
      <c r="AA443" s="236"/>
    </row>
    <row r="444" spans="21:27">
      <c r="U444" s="236"/>
      <c r="V444" s="236"/>
      <c r="W444" s="236"/>
      <c r="X444" s="236"/>
      <c r="Y444" s="236"/>
      <c r="Z444" s="236"/>
      <c r="AA444" s="236"/>
    </row>
    <row r="445" spans="21:27">
      <c r="U445" s="236"/>
      <c r="V445" s="236"/>
      <c r="W445" s="236"/>
      <c r="X445" s="236"/>
      <c r="Y445" s="236"/>
      <c r="Z445" s="236"/>
      <c r="AA445" s="236"/>
    </row>
    <row r="446" spans="21:27">
      <c r="U446" s="236"/>
      <c r="V446" s="236"/>
      <c r="W446" s="236"/>
      <c r="X446" s="236"/>
      <c r="Y446" s="236"/>
      <c r="Z446" s="236"/>
      <c r="AA446" s="236"/>
    </row>
    <row r="447" spans="21:27">
      <c r="U447" s="236"/>
      <c r="V447" s="236"/>
      <c r="W447" s="236"/>
      <c r="X447" s="236"/>
      <c r="Y447" s="236"/>
      <c r="Z447" s="236"/>
      <c r="AA447" s="236"/>
    </row>
    <row r="448" spans="21:27">
      <c r="U448" s="236"/>
      <c r="V448" s="236"/>
      <c r="W448" s="236"/>
      <c r="X448" s="236"/>
      <c r="Y448" s="236"/>
      <c r="Z448" s="236"/>
      <c r="AA448" s="236"/>
    </row>
    <row r="449" spans="21:27">
      <c r="U449" s="236"/>
      <c r="V449" s="236"/>
      <c r="W449" s="236"/>
      <c r="X449" s="236"/>
      <c r="Y449" s="236"/>
      <c r="Z449" s="236"/>
      <c r="AA449" s="236"/>
    </row>
    <row r="450" spans="21:27">
      <c r="U450" s="236"/>
      <c r="V450" s="236"/>
      <c r="W450" s="236"/>
      <c r="X450" s="236"/>
      <c r="Y450" s="236"/>
      <c r="Z450" s="236"/>
      <c r="AA450" s="236"/>
    </row>
    <row r="451" spans="21:27">
      <c r="U451" s="236"/>
      <c r="V451" s="236"/>
      <c r="W451" s="236"/>
      <c r="X451" s="236"/>
      <c r="Y451" s="236"/>
      <c r="Z451" s="236"/>
      <c r="AA451" s="236"/>
    </row>
    <row r="452" spans="21:27">
      <c r="U452" s="236"/>
      <c r="V452" s="236"/>
      <c r="W452" s="236"/>
      <c r="X452" s="236"/>
      <c r="Y452" s="236"/>
      <c r="Z452" s="236"/>
      <c r="AA452" s="236"/>
    </row>
    <row r="453" spans="21:27">
      <c r="U453" s="236"/>
      <c r="V453" s="236"/>
      <c r="W453" s="236"/>
      <c r="X453" s="236"/>
      <c r="Y453" s="236"/>
      <c r="Z453" s="236"/>
      <c r="AA453" s="236"/>
    </row>
    <row r="454" spans="21:27">
      <c r="U454" s="236"/>
      <c r="V454" s="236"/>
      <c r="W454" s="236"/>
      <c r="X454" s="236"/>
      <c r="Y454" s="236"/>
      <c r="Z454" s="236"/>
      <c r="AA454" s="236"/>
    </row>
    <row r="455" spans="21:27">
      <c r="U455" s="236"/>
      <c r="V455" s="236"/>
      <c r="W455" s="236"/>
      <c r="X455" s="236"/>
      <c r="Y455" s="236"/>
      <c r="Z455" s="236"/>
      <c r="AA455" s="236"/>
    </row>
    <row r="456" spans="21:27">
      <c r="U456" s="236"/>
      <c r="V456" s="236"/>
      <c r="W456" s="236"/>
      <c r="X456" s="236"/>
      <c r="Y456" s="236"/>
      <c r="Z456" s="236"/>
      <c r="AA456" s="236"/>
    </row>
    <row r="457" spans="21:27">
      <c r="U457" s="236"/>
      <c r="V457" s="236"/>
      <c r="W457" s="236"/>
      <c r="X457" s="236"/>
      <c r="Y457" s="236"/>
      <c r="Z457" s="236"/>
      <c r="AA457" s="236"/>
    </row>
    <row r="458" spans="21:27">
      <c r="U458" s="236"/>
      <c r="V458" s="236"/>
      <c r="W458" s="236"/>
      <c r="X458" s="236"/>
      <c r="Y458" s="236"/>
      <c r="Z458" s="236"/>
      <c r="AA458" s="236"/>
    </row>
    <row r="459" spans="21:27">
      <c r="U459" s="236"/>
      <c r="V459" s="236"/>
      <c r="W459" s="236"/>
      <c r="X459" s="236"/>
      <c r="Y459" s="236"/>
      <c r="Z459" s="236"/>
      <c r="AA459" s="236"/>
    </row>
    <row r="460" spans="21:27">
      <c r="U460" s="236"/>
      <c r="V460" s="236"/>
      <c r="W460" s="236"/>
      <c r="X460" s="236"/>
      <c r="Y460" s="236"/>
      <c r="Z460" s="236"/>
      <c r="AA460" s="236"/>
    </row>
    <row r="461" spans="21:27">
      <c r="U461" s="236"/>
      <c r="V461" s="236"/>
      <c r="W461" s="236"/>
      <c r="X461" s="236"/>
      <c r="Y461" s="236"/>
      <c r="Z461" s="236"/>
      <c r="AA461" s="236"/>
    </row>
    <row r="462" spans="21:27">
      <c r="U462" s="236"/>
      <c r="V462" s="236"/>
      <c r="W462" s="236"/>
      <c r="X462" s="236"/>
      <c r="Y462" s="236"/>
      <c r="Z462" s="236"/>
      <c r="AA462" s="236"/>
    </row>
    <row r="463" spans="21:27">
      <c r="U463" s="236"/>
      <c r="V463" s="236"/>
      <c r="W463" s="236"/>
      <c r="X463" s="236"/>
      <c r="Y463" s="236"/>
      <c r="Z463" s="236"/>
      <c r="AA463" s="236"/>
    </row>
    <row r="464" spans="21:27">
      <c r="U464" s="236"/>
      <c r="V464" s="236"/>
      <c r="W464" s="236"/>
      <c r="X464" s="236"/>
      <c r="Y464" s="236"/>
      <c r="Z464" s="236"/>
      <c r="AA464" s="236"/>
    </row>
    <row r="465" spans="21:27">
      <c r="U465" s="236"/>
      <c r="V465" s="236"/>
      <c r="W465" s="236"/>
      <c r="X465" s="236"/>
      <c r="Y465" s="236"/>
      <c r="Z465" s="236"/>
      <c r="AA465" s="236"/>
    </row>
    <row r="466" spans="21:27">
      <c r="U466" s="236"/>
      <c r="V466" s="236"/>
      <c r="W466" s="236"/>
      <c r="X466" s="236"/>
      <c r="Y466" s="236"/>
      <c r="Z466" s="236"/>
      <c r="AA466" s="236"/>
    </row>
    <row r="467" spans="21:27">
      <c r="U467" s="236"/>
      <c r="V467" s="236"/>
      <c r="W467" s="236"/>
      <c r="X467" s="236"/>
      <c r="Y467" s="236"/>
      <c r="Z467" s="236"/>
      <c r="AA467" s="236"/>
    </row>
    <row r="468" spans="21:27">
      <c r="U468" s="236"/>
      <c r="V468" s="236"/>
      <c r="W468" s="236"/>
      <c r="X468" s="236"/>
      <c r="Y468" s="236"/>
      <c r="Z468" s="236"/>
      <c r="AA468" s="236"/>
    </row>
    <row r="469" spans="21:27">
      <c r="U469" s="236"/>
      <c r="V469" s="236"/>
      <c r="W469" s="236"/>
      <c r="X469" s="236"/>
      <c r="Y469" s="236"/>
      <c r="Z469" s="236"/>
      <c r="AA469" s="236"/>
    </row>
    <row r="470" spans="21:27">
      <c r="U470" s="236"/>
      <c r="V470" s="236"/>
      <c r="W470" s="236"/>
      <c r="X470" s="236"/>
      <c r="Y470" s="236"/>
      <c r="Z470" s="236"/>
      <c r="AA470" s="236"/>
    </row>
    <row r="471" spans="21:27">
      <c r="U471" s="236"/>
      <c r="V471" s="236"/>
      <c r="W471" s="236"/>
      <c r="X471" s="236"/>
      <c r="Y471" s="236"/>
      <c r="Z471" s="236"/>
      <c r="AA471" s="236"/>
    </row>
    <row r="472" spans="21:27">
      <c r="U472" s="236"/>
      <c r="V472" s="236"/>
      <c r="W472" s="236"/>
      <c r="X472" s="236"/>
      <c r="Y472" s="236"/>
      <c r="Z472" s="236"/>
      <c r="AA472" s="236"/>
    </row>
    <row r="473" spans="21:27">
      <c r="U473" s="236"/>
      <c r="V473" s="236"/>
      <c r="W473" s="236"/>
      <c r="X473" s="236"/>
      <c r="Y473" s="236"/>
      <c r="Z473" s="236"/>
      <c r="AA473" s="236"/>
    </row>
    <row r="474" spans="21:27">
      <c r="U474" s="236"/>
      <c r="V474" s="236"/>
      <c r="W474" s="236"/>
      <c r="X474" s="236"/>
      <c r="Y474" s="236"/>
      <c r="Z474" s="236"/>
      <c r="AA474" s="236"/>
    </row>
    <row r="475" spans="21:27">
      <c r="U475" s="236"/>
      <c r="V475" s="236"/>
      <c r="W475" s="236"/>
      <c r="X475" s="236"/>
      <c r="Y475" s="236"/>
      <c r="Z475" s="236"/>
      <c r="AA475" s="236"/>
    </row>
    <row r="476" spans="21:27">
      <c r="U476" s="236"/>
      <c r="V476" s="236"/>
      <c r="W476" s="236"/>
      <c r="X476" s="236"/>
      <c r="Y476" s="236"/>
      <c r="Z476" s="236"/>
      <c r="AA476" s="236"/>
    </row>
    <row r="477" spans="21:27">
      <c r="U477" s="236"/>
      <c r="V477" s="236"/>
      <c r="W477" s="236"/>
      <c r="X477" s="236"/>
      <c r="Y477" s="236"/>
      <c r="Z477" s="236"/>
      <c r="AA477" s="236"/>
    </row>
    <row r="478" spans="21:27">
      <c r="U478" s="236"/>
      <c r="V478" s="236"/>
      <c r="W478" s="236"/>
      <c r="X478" s="236"/>
      <c r="Y478" s="236"/>
      <c r="Z478" s="236"/>
      <c r="AA478" s="236"/>
    </row>
    <row r="479" spans="21:27">
      <c r="U479" s="236"/>
      <c r="V479" s="236"/>
      <c r="W479" s="236"/>
      <c r="X479" s="236"/>
      <c r="Y479" s="236"/>
      <c r="Z479" s="236"/>
      <c r="AA479" s="236"/>
    </row>
    <row r="480" spans="21:27">
      <c r="U480" s="236"/>
      <c r="V480" s="236"/>
      <c r="W480" s="236"/>
      <c r="X480" s="236"/>
      <c r="Y480" s="236"/>
      <c r="Z480" s="236"/>
      <c r="AA480" s="236"/>
    </row>
    <row r="481" spans="21:27">
      <c r="U481" s="236"/>
      <c r="V481" s="236"/>
      <c r="W481" s="236"/>
      <c r="X481" s="236"/>
      <c r="Y481" s="236"/>
      <c r="Z481" s="236"/>
      <c r="AA481" s="236"/>
    </row>
    <row r="482" spans="21:27">
      <c r="U482" s="236"/>
      <c r="V482" s="236"/>
      <c r="W482" s="236"/>
      <c r="X482" s="236"/>
      <c r="Y482" s="236"/>
      <c r="Z482" s="236"/>
      <c r="AA482" s="236"/>
    </row>
    <row r="483" spans="21:27">
      <c r="U483" s="236"/>
      <c r="V483" s="236"/>
      <c r="W483" s="236"/>
      <c r="X483" s="236"/>
      <c r="Y483" s="236"/>
      <c r="Z483" s="236"/>
      <c r="AA483" s="236"/>
    </row>
    <row r="484" spans="21:27">
      <c r="U484" s="236"/>
      <c r="V484" s="236"/>
      <c r="W484" s="236"/>
      <c r="X484" s="236"/>
      <c r="Y484" s="236"/>
      <c r="Z484" s="236"/>
      <c r="AA484" s="236"/>
    </row>
    <row r="485" spans="21:27">
      <c r="U485" s="236"/>
      <c r="V485" s="236"/>
      <c r="W485" s="236"/>
      <c r="X485" s="236"/>
      <c r="Y485" s="236"/>
      <c r="Z485" s="236"/>
      <c r="AA485" s="236"/>
    </row>
    <row r="486" spans="21:27">
      <c r="U486" s="236"/>
      <c r="V486" s="236"/>
      <c r="W486" s="236"/>
      <c r="X486" s="236"/>
      <c r="Y486" s="236"/>
      <c r="Z486" s="236"/>
      <c r="AA486" s="236"/>
    </row>
    <row r="487" spans="21:27">
      <c r="U487" s="236"/>
      <c r="V487" s="236"/>
      <c r="W487" s="236"/>
      <c r="X487" s="236"/>
      <c r="Y487" s="236"/>
      <c r="Z487" s="236"/>
      <c r="AA487" s="236"/>
    </row>
    <row r="488" spans="21:27">
      <c r="U488" s="236"/>
      <c r="V488" s="236"/>
      <c r="W488" s="236"/>
      <c r="X488" s="236"/>
      <c r="Y488" s="236"/>
      <c r="Z488" s="236"/>
      <c r="AA488" s="236"/>
    </row>
    <row r="489" spans="21:27">
      <c r="U489" s="236"/>
      <c r="V489" s="236"/>
      <c r="W489" s="236"/>
      <c r="X489" s="236"/>
      <c r="Y489" s="236"/>
      <c r="Z489" s="236"/>
      <c r="AA489" s="236"/>
    </row>
    <row r="490" spans="21:27">
      <c r="U490" s="236"/>
      <c r="V490" s="236"/>
      <c r="W490" s="236"/>
      <c r="X490" s="236"/>
      <c r="Y490" s="236"/>
      <c r="Z490" s="236"/>
      <c r="AA490" s="236"/>
    </row>
    <row r="491" spans="21:27">
      <c r="U491" s="236"/>
      <c r="V491" s="236"/>
      <c r="W491" s="236"/>
      <c r="X491" s="236"/>
      <c r="Y491" s="236"/>
      <c r="Z491" s="236"/>
      <c r="AA491" s="236"/>
    </row>
    <row r="492" spans="21:27">
      <c r="U492" s="236"/>
      <c r="V492" s="236"/>
      <c r="W492" s="236"/>
      <c r="X492" s="236"/>
      <c r="Y492" s="236"/>
      <c r="Z492" s="236"/>
      <c r="AA492" s="236"/>
    </row>
    <row r="493" spans="21:27">
      <c r="U493" s="236"/>
      <c r="V493" s="236"/>
      <c r="W493" s="236"/>
      <c r="X493" s="236"/>
      <c r="Y493" s="236"/>
      <c r="Z493" s="236"/>
      <c r="AA493" s="236"/>
    </row>
    <row r="494" spans="21:27">
      <c r="U494" s="236"/>
      <c r="V494" s="236"/>
      <c r="W494" s="236"/>
      <c r="X494" s="236"/>
      <c r="Y494" s="236"/>
      <c r="Z494" s="236"/>
      <c r="AA494" s="236"/>
    </row>
    <row r="495" spans="21:27">
      <c r="U495" s="236"/>
      <c r="V495" s="236"/>
      <c r="W495" s="236"/>
      <c r="X495" s="236"/>
      <c r="Y495" s="236"/>
      <c r="Z495" s="236"/>
      <c r="AA495" s="236"/>
    </row>
    <row r="496" spans="21:27">
      <c r="U496" s="236"/>
      <c r="V496" s="236"/>
      <c r="W496" s="236"/>
      <c r="X496" s="236"/>
      <c r="Y496" s="236"/>
      <c r="Z496" s="236"/>
      <c r="AA496" s="236"/>
    </row>
    <row r="497" spans="21:27">
      <c r="U497" s="236"/>
      <c r="V497" s="236"/>
      <c r="W497" s="236"/>
      <c r="X497" s="236"/>
      <c r="Y497" s="236"/>
      <c r="Z497" s="236"/>
      <c r="AA497" s="236"/>
    </row>
    <row r="498" spans="21:27">
      <c r="U498" s="236"/>
      <c r="V498" s="236"/>
      <c r="W498" s="236"/>
      <c r="X498" s="236"/>
      <c r="Y498" s="236"/>
      <c r="Z498" s="236"/>
      <c r="AA498" s="236"/>
    </row>
  </sheetData>
  <mergeCells count="57">
    <mergeCell ref="K69:S71"/>
    <mergeCell ref="K61:S63"/>
    <mergeCell ref="F43:F44"/>
    <mergeCell ref="G43:G44"/>
    <mergeCell ref="H43:H44"/>
    <mergeCell ref="I43:I44"/>
    <mergeCell ref="F59:F60"/>
    <mergeCell ref="G59:G60"/>
    <mergeCell ref="H59:H60"/>
    <mergeCell ref="I59:I60"/>
    <mergeCell ref="AC65:AG68"/>
    <mergeCell ref="F67:F68"/>
    <mergeCell ref="G67:G68"/>
    <mergeCell ref="H67:H68"/>
    <mergeCell ref="I67:I68"/>
    <mergeCell ref="I25:I26"/>
    <mergeCell ref="I34:I35"/>
    <mergeCell ref="G57:H57"/>
    <mergeCell ref="J20:K20"/>
    <mergeCell ref="F51:F52"/>
    <mergeCell ref="G51:G52"/>
    <mergeCell ref="H51:H52"/>
    <mergeCell ref="I51:I52"/>
    <mergeCell ref="F25:F26"/>
    <mergeCell ref="G25:G26"/>
    <mergeCell ref="F34:F35"/>
    <mergeCell ref="G34:G35"/>
    <mergeCell ref="H34:H35"/>
    <mergeCell ref="H25:H26"/>
    <mergeCell ref="F115:F116"/>
    <mergeCell ref="G115:G116"/>
    <mergeCell ref="H115:H116"/>
    <mergeCell ref="I115:I116"/>
    <mergeCell ref="F91:F92"/>
    <mergeCell ref="G91:G92"/>
    <mergeCell ref="H91:H92"/>
    <mergeCell ref="I91:I92"/>
    <mergeCell ref="F99:F100"/>
    <mergeCell ref="G99:G100"/>
    <mergeCell ref="H99:H100"/>
    <mergeCell ref="I99:I100"/>
    <mergeCell ref="K77:S79"/>
    <mergeCell ref="K85:T87"/>
    <mergeCell ref="K27:S29"/>
    <mergeCell ref="F107:F108"/>
    <mergeCell ref="G107:G108"/>
    <mergeCell ref="H107:H108"/>
    <mergeCell ref="I107:I108"/>
    <mergeCell ref="F75:F76"/>
    <mergeCell ref="G75:G76"/>
    <mergeCell ref="H75:H76"/>
    <mergeCell ref="I75:I76"/>
    <mergeCell ref="F83:F84"/>
    <mergeCell ref="G83:G84"/>
    <mergeCell ref="H83:H84"/>
    <mergeCell ref="I83:I84"/>
    <mergeCell ref="F73:H73"/>
  </mergeCells>
  <conditionalFormatting sqref="I32:I33">
    <cfRule type="iconSet" priority="53">
      <iconSet iconSet="3Arrows">
        <cfvo type="percent" val="0"/>
        <cfvo type="num" val="0"/>
        <cfvo type="num" val="0"/>
      </iconSet>
    </cfRule>
  </conditionalFormatting>
  <conditionalFormatting sqref="I41:I42">
    <cfRule type="iconSet" priority="49">
      <iconSet iconSet="3Arrows">
        <cfvo type="percent" val="0"/>
        <cfvo type="num" val="0"/>
        <cfvo type="num" val="0"/>
      </iconSet>
    </cfRule>
  </conditionalFormatting>
  <conditionalFormatting sqref="I50">
    <cfRule type="iconSet" priority="45">
      <iconSet iconSet="3Arrows">
        <cfvo type="percent" val="0"/>
        <cfvo type="num" val="0"/>
        <cfvo type="num" val="0"/>
      </iconSet>
    </cfRule>
  </conditionalFormatting>
  <conditionalFormatting sqref="I58">
    <cfRule type="iconSet" priority="41">
      <iconSet iconSet="3Arrows">
        <cfvo type="percent" val="0"/>
        <cfvo type="num" val="0"/>
        <cfvo type="num" val="0"/>
      </iconSet>
    </cfRule>
  </conditionalFormatting>
  <conditionalFormatting sqref="I66">
    <cfRule type="iconSet" priority="37">
      <iconSet iconSet="3Arrows">
        <cfvo type="percent" val="0"/>
        <cfvo type="num" val="0"/>
        <cfvo type="num" val="0"/>
      </iconSet>
    </cfRule>
  </conditionalFormatting>
  <conditionalFormatting sqref="I74">
    <cfRule type="iconSet" priority="33">
      <iconSet iconSet="3Arrows">
        <cfvo type="percent" val="0"/>
        <cfvo type="num" val="0"/>
        <cfvo type="num" val="0"/>
      </iconSet>
    </cfRule>
  </conditionalFormatting>
  <conditionalFormatting sqref="I82">
    <cfRule type="iconSet" priority="29">
      <iconSet iconSet="3Arrows">
        <cfvo type="percent" val="0"/>
        <cfvo type="num" val="0"/>
        <cfvo type="num" val="0"/>
      </iconSet>
    </cfRule>
  </conditionalFormatting>
  <conditionalFormatting sqref="I90">
    <cfRule type="iconSet" priority="25">
      <iconSet iconSet="3Arrows">
        <cfvo type="percent" val="0"/>
        <cfvo type="num" val="0"/>
        <cfvo type="num" val="0"/>
      </iconSet>
    </cfRule>
  </conditionalFormatting>
  <conditionalFormatting sqref="I98">
    <cfRule type="iconSet" priority="21">
      <iconSet iconSet="3Arrows">
        <cfvo type="percent" val="0"/>
        <cfvo type="num" val="0"/>
        <cfvo type="num" val="0"/>
      </iconSet>
    </cfRule>
  </conditionalFormatting>
  <conditionalFormatting sqref="I106">
    <cfRule type="iconSet" priority="17">
      <iconSet iconSet="3Arrows">
        <cfvo type="percent" val="0"/>
        <cfvo type="num" val="0"/>
        <cfvo type="num" val="0"/>
      </iconSet>
    </cfRule>
  </conditionalFormatting>
  <conditionalFormatting sqref="I114">
    <cfRule type="iconSet" priority="13">
      <iconSet iconSet="3Arrows">
        <cfvo type="percent" val="0"/>
        <cfvo type="num" val="0"/>
        <cfvo type="num" val="0"/>
      </iconSet>
    </cfRule>
  </conditionalFormatting>
  <conditionalFormatting sqref="I65:J65">
    <cfRule type="iconSet" priority="74">
      <iconSet iconSet="3Arrows">
        <cfvo type="percent" val="0"/>
        <cfvo type="num" val="0"/>
        <cfvo type="num" val="9.9999999999999995E-8" gte="0"/>
      </iconSet>
    </cfRule>
  </conditionalFormatting>
  <conditionalFormatting sqref="J24 I21:I23">
    <cfRule type="iconSet" priority="57">
      <iconSet iconSet="3Arrows">
        <cfvo type="percent" val="0"/>
        <cfvo type="num" val="0"/>
        <cfvo type="num" val="0"/>
      </iconSet>
    </cfRule>
  </conditionalFormatting>
  <conditionalFormatting sqref="K32 L33">
    <cfRule type="iconSet" priority="52">
      <iconSet iconSet="3Arrows">
        <cfvo type="percent" val="0"/>
        <cfvo type="num" val="0"/>
        <cfvo type="num" val="0"/>
      </iconSet>
    </cfRule>
  </conditionalFormatting>
  <conditionalFormatting sqref="K41 L42">
    <cfRule type="iconSet" priority="48">
      <iconSet iconSet="3Arrows">
        <cfvo type="percent" val="0"/>
        <cfvo type="num" val="0"/>
        <cfvo type="num" val="0"/>
      </iconSet>
    </cfRule>
  </conditionalFormatting>
  <conditionalFormatting sqref="L24 K21:K23">
    <cfRule type="iconSet" priority="56">
      <iconSet iconSet="3Arrows">
        <cfvo type="percent" val="0"/>
        <cfvo type="num" val="0"/>
        <cfvo type="num" val="0"/>
      </iconSet>
    </cfRule>
  </conditionalFormatting>
  <conditionalFormatting sqref="L25">
    <cfRule type="containsText" dxfId="96" priority="54" operator="containsText" text="Lower than competition">
      <formula>NOT(ISERROR(SEARCH("Lower than competition",L25)))</formula>
    </cfRule>
    <cfRule type="containsText" dxfId="95" priority="55" operator="containsText" text="Better than competition">
      <formula>NOT(ISERROR(SEARCH("Better than competition",L25)))</formula>
    </cfRule>
  </conditionalFormatting>
  <conditionalFormatting sqref="L34">
    <cfRule type="containsText" dxfId="94" priority="50" operator="containsText" text="Lower than competition">
      <formula>NOT(ISERROR(SEARCH("Lower than competition",L34)))</formula>
    </cfRule>
    <cfRule type="containsText" dxfId="93" priority="51" operator="containsText" text="Better than competition">
      <formula>NOT(ISERROR(SEARCH("Better than competition",L34)))</formula>
    </cfRule>
  </conditionalFormatting>
  <conditionalFormatting sqref="L43">
    <cfRule type="containsText" dxfId="92" priority="46" operator="containsText" text="Lower than competition">
      <formula>NOT(ISERROR(SEARCH("Lower than competition",L43)))</formula>
    </cfRule>
    <cfRule type="containsText" dxfId="91" priority="47" operator="containsText" text="Better than competition">
      <formula>NOT(ISERROR(SEARCH("Better than competition",L43)))</formula>
    </cfRule>
  </conditionalFormatting>
  <conditionalFormatting sqref="L50">
    <cfRule type="iconSet" priority="44">
      <iconSet iconSet="3Arrows">
        <cfvo type="percent" val="0"/>
        <cfvo type="num" val="0"/>
        <cfvo type="num" val="0"/>
      </iconSet>
    </cfRule>
  </conditionalFormatting>
  <conditionalFormatting sqref="L58">
    <cfRule type="iconSet" priority="40">
      <iconSet iconSet="3Arrows">
        <cfvo type="percent" val="0"/>
        <cfvo type="num" val="0"/>
        <cfvo type="num" val="0"/>
      </iconSet>
    </cfRule>
  </conditionalFormatting>
  <conditionalFormatting sqref="L59">
    <cfRule type="containsText" dxfId="90" priority="9" operator="containsText" text="Needs to be improved">
      <formula>NOT(ISERROR(SEARCH("Needs to be improved",L59)))</formula>
    </cfRule>
    <cfRule type="containsText" dxfId="89" priority="38" operator="containsText" text="Lower than competition">
      <formula>NOT(ISERROR(SEARCH("Lower than competition",L59)))</formula>
    </cfRule>
    <cfRule type="containsText" dxfId="88" priority="39" operator="containsText" text="Better than competition">
      <formula>NOT(ISERROR(SEARCH("Better than competition",L59)))</formula>
    </cfRule>
  </conditionalFormatting>
  <conditionalFormatting sqref="L66">
    <cfRule type="iconSet" priority="36">
      <iconSet iconSet="3Arrows">
        <cfvo type="percent" val="0"/>
        <cfvo type="num" val="0"/>
        <cfvo type="num" val="0"/>
      </iconSet>
    </cfRule>
  </conditionalFormatting>
  <conditionalFormatting sqref="L67">
    <cfRule type="containsText" dxfId="87" priority="34" operator="containsText" text="Lower than competition">
      <formula>NOT(ISERROR(SEARCH("Lower than competition",L67)))</formula>
    </cfRule>
    <cfRule type="containsText" dxfId="86" priority="35" operator="containsText" text="Better than competition">
      <formula>NOT(ISERROR(SEARCH("Better than competition",L67)))</formula>
    </cfRule>
  </conditionalFormatting>
  <conditionalFormatting sqref="L74">
    <cfRule type="iconSet" priority="32">
      <iconSet iconSet="3Arrows">
        <cfvo type="percent" val="0"/>
        <cfvo type="num" val="0"/>
        <cfvo type="num" val="0"/>
      </iconSet>
    </cfRule>
  </conditionalFormatting>
  <conditionalFormatting sqref="L75">
    <cfRule type="containsText" dxfId="85" priority="6" operator="containsText" text="Needs to be improved">
      <formula>NOT(ISERROR(SEARCH("Needs to be improved",L75)))</formula>
    </cfRule>
    <cfRule type="containsText" dxfId="84" priority="7" operator="containsText" text="Lower than competition">
      <formula>NOT(ISERROR(SEARCH("Lower than competition",L75)))</formula>
    </cfRule>
    <cfRule type="containsText" dxfId="83" priority="8" operator="containsText" text="Better than competition">
      <formula>NOT(ISERROR(SEARCH("Better than competition",L75)))</formula>
    </cfRule>
  </conditionalFormatting>
  <conditionalFormatting sqref="L82">
    <cfRule type="iconSet" priority="28">
      <iconSet iconSet="3Arrows">
        <cfvo type="percent" val="0"/>
        <cfvo type="num" val="0"/>
        <cfvo type="num" val="0"/>
      </iconSet>
    </cfRule>
  </conditionalFormatting>
  <conditionalFormatting sqref="L83">
    <cfRule type="containsText" dxfId="82" priority="3" operator="containsText" text="Needs to be improved">
      <formula>NOT(ISERROR(SEARCH("Needs to be improved",L83)))</formula>
    </cfRule>
    <cfRule type="containsText" dxfId="81" priority="4" operator="containsText" text="Lower than competition">
      <formula>NOT(ISERROR(SEARCH("Lower than competition",L83)))</formula>
    </cfRule>
    <cfRule type="containsText" dxfId="80" priority="5" operator="containsText" text="Better than competition">
      <formula>NOT(ISERROR(SEARCH("Better than competition",L83)))</formula>
    </cfRule>
  </conditionalFormatting>
  <conditionalFormatting sqref="L90">
    <cfRule type="iconSet" priority="24">
      <iconSet iconSet="3Arrows">
        <cfvo type="percent" val="0"/>
        <cfvo type="num" val="0"/>
        <cfvo type="num" val="0"/>
      </iconSet>
    </cfRule>
  </conditionalFormatting>
  <conditionalFormatting sqref="L91">
    <cfRule type="containsText" dxfId="79" priority="22" operator="containsText" text="Lower than competition">
      <formula>NOT(ISERROR(SEARCH("Lower than competition",L91)))</formula>
    </cfRule>
    <cfRule type="containsText" dxfId="78" priority="23" operator="containsText" text="Better than competition">
      <formula>NOT(ISERROR(SEARCH("Better than competition",L91)))</formula>
    </cfRule>
  </conditionalFormatting>
  <conditionalFormatting sqref="L98">
    <cfRule type="iconSet" priority="20">
      <iconSet iconSet="3Arrows">
        <cfvo type="percent" val="0"/>
        <cfvo type="num" val="0"/>
        <cfvo type="num" val="0"/>
      </iconSet>
    </cfRule>
  </conditionalFormatting>
  <conditionalFormatting sqref="L99">
    <cfRule type="containsText" dxfId="77" priority="18" operator="containsText" text="Lower than competition">
      <formula>NOT(ISERROR(SEARCH("Lower than competition",L99)))</formula>
    </cfRule>
    <cfRule type="containsText" dxfId="76" priority="19" operator="containsText" text="Better than competition">
      <formula>NOT(ISERROR(SEARCH("Better than competition",L99)))</formula>
    </cfRule>
  </conditionalFormatting>
  <conditionalFormatting sqref="L106">
    <cfRule type="iconSet" priority="16">
      <iconSet iconSet="3Arrows">
        <cfvo type="percent" val="0"/>
        <cfvo type="num" val="0"/>
        <cfvo type="num" val="0"/>
      </iconSet>
    </cfRule>
  </conditionalFormatting>
  <conditionalFormatting sqref="L107">
    <cfRule type="containsText" dxfId="75" priority="14" operator="containsText" text="Lower than competition">
      <formula>NOT(ISERROR(SEARCH("Lower than competition",L107)))</formula>
    </cfRule>
    <cfRule type="containsText" dxfId="74" priority="15" operator="containsText" text="Better than competition">
      <formula>NOT(ISERROR(SEARCH("Better than competition",L107)))</formula>
    </cfRule>
  </conditionalFormatting>
  <conditionalFormatting sqref="L114">
    <cfRule type="iconSet" priority="12">
      <iconSet iconSet="3Arrows">
        <cfvo type="percent" val="0"/>
        <cfvo type="num" val="0"/>
        <cfvo type="num" val="0"/>
      </iconSet>
    </cfRule>
  </conditionalFormatting>
  <conditionalFormatting sqref="L115">
    <cfRule type="containsText" dxfId="73" priority="10" operator="containsText" text="Lower than competition">
      <formula>NOT(ISERROR(SEARCH("Lower than competition",L115)))</formula>
    </cfRule>
    <cfRule type="containsText" dxfId="72" priority="11" operator="containsText" text="Better than competition">
      <formula>NOT(ISERROR(SEARCH("Better than competition",L115)))</formula>
    </cfRule>
  </conditionalFormatting>
  <conditionalFormatting sqref="L51">
    <cfRule type="containsText" dxfId="71" priority="1" operator="containsText" text="Lower than competition">
      <formula>NOT(ISERROR(SEARCH("Lower than competition",L51)))</formula>
    </cfRule>
    <cfRule type="containsText" dxfId="70" priority="2" operator="containsText" text="Better than competition">
      <formula>NOT(ISERROR(SEARCH("Better than competition",L51)))</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DB54245-86FA-43CA-AC91-2A061EABDB27}">
          <x14:formula1>
            <xm:f>Reference!$A$2:$A$13</xm:f>
          </x14:formula1>
          <xm:sqref>G16</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C6887-DE30-4DF8-96C3-051FCCF151CB}">
  <sheetPr codeName="Sheet13">
    <tabColor theme="4" tint="0.79998168889431442"/>
  </sheetPr>
  <dimension ref="A1:Z94"/>
  <sheetViews>
    <sheetView showGridLines="0" topLeftCell="D1" zoomScale="80" zoomScaleNormal="80" workbookViewId="0"/>
  </sheetViews>
  <sheetFormatPr baseColWidth="10" defaultColWidth="8.83203125" defaultRowHeight="15"/>
  <cols>
    <col min="1" max="1" width="2.1640625" style="7" hidden="1" customWidth="1"/>
    <col min="2" max="2" width="33.1640625" style="7" hidden="1" customWidth="1"/>
    <col min="3" max="3" width="2.83203125" style="7" hidden="1" customWidth="1"/>
    <col min="4" max="5" width="2.1640625" style="236" customWidth="1"/>
    <col min="6" max="6" width="26.83203125" style="243" bestFit="1" customWidth="1"/>
    <col min="7" max="8" width="21.1640625" style="236" customWidth="1"/>
    <col min="9" max="9" width="12.5" style="265" customWidth="1"/>
    <col min="10" max="10" width="21.1640625" style="236" customWidth="1"/>
    <col min="11" max="11" width="12.5" style="265" customWidth="1"/>
    <col min="12" max="12" width="21.1640625" style="236" customWidth="1"/>
    <col min="13" max="13" width="2.1640625" style="236" customWidth="1"/>
    <col min="14" max="14" width="2.6640625" style="236" customWidth="1"/>
    <col min="15" max="15" width="12" style="236" customWidth="1"/>
    <col min="16" max="16" width="8.1640625" style="236" customWidth="1"/>
    <col min="17" max="17" width="16" style="236" bestFit="1" customWidth="1"/>
    <col min="18" max="18" width="4.5" style="236" customWidth="1"/>
    <col min="19" max="19" width="3.1640625" style="236" customWidth="1"/>
    <col min="20" max="20" width="26.1640625" style="236" customWidth="1"/>
    <col min="21" max="21" width="14.83203125" style="236" bestFit="1" customWidth="1"/>
    <col min="22" max="22" width="4.33203125" style="236" customWidth="1"/>
    <col min="23" max="23" width="13.6640625" style="236" bestFit="1" customWidth="1"/>
    <col min="24" max="24" width="8.83203125" style="236"/>
    <col min="25" max="25" width="5.83203125" style="236" customWidth="1"/>
    <col min="26" max="26" width="3.1640625" style="236" customWidth="1"/>
    <col min="27" max="27" width="9.1640625" style="236" customWidth="1"/>
    <col min="28" max="16384" width="8.83203125" style="236"/>
  </cols>
  <sheetData>
    <row r="1" spans="6:13" s="114" customFormat="1">
      <c r="F1" s="118"/>
      <c r="K1" s="264"/>
    </row>
    <row r="2" spans="6:13" s="114" customFormat="1">
      <c r="F2" s="118"/>
      <c r="K2" s="264"/>
    </row>
    <row r="3" spans="6:13" s="114" customFormat="1">
      <c r="F3" s="118"/>
      <c r="K3" s="264"/>
    </row>
    <row r="4" spans="6:13" s="114" customFormat="1">
      <c r="F4" s="118"/>
      <c r="K4" s="264"/>
    </row>
    <row r="5" spans="6:13" s="114" customFormat="1">
      <c r="F5" s="118"/>
      <c r="K5" s="264"/>
    </row>
    <row r="6" spans="6:13" s="114" customFormat="1">
      <c r="F6" s="118"/>
      <c r="K6" s="264"/>
    </row>
    <row r="7" spans="6:13" s="114" customFormat="1">
      <c r="F7" s="118"/>
      <c r="K7" s="264"/>
    </row>
    <row r="8" spans="6:13" s="114" customFormat="1">
      <c r="F8" s="118"/>
      <c r="K8" s="264"/>
    </row>
    <row r="9" spans="6:13" s="114" customFormat="1">
      <c r="F9" s="118"/>
      <c r="K9" s="264"/>
    </row>
    <row r="10" spans="6:13" s="114" customFormat="1">
      <c r="F10" s="118"/>
      <c r="K10" s="264"/>
    </row>
    <row r="11" spans="6:13" s="114" customFormat="1">
      <c r="F11" s="118"/>
      <c r="K11" s="264"/>
    </row>
    <row r="12" spans="6:13" s="114" customFormat="1">
      <c r="F12" s="118"/>
      <c r="K12" s="264"/>
    </row>
    <row r="13" spans="6:13" s="114" customFormat="1">
      <c r="F13" s="118"/>
      <c r="K13" s="264"/>
    </row>
    <row r="14" spans="6:13" s="114" customFormat="1">
      <c r="F14" s="118"/>
      <c r="K14" s="264"/>
    </row>
    <row r="15" spans="6:13" s="114" customFormat="1">
      <c r="F15" s="118"/>
      <c r="K15" s="264"/>
    </row>
    <row r="16" spans="6:13" s="114" customFormat="1">
      <c r="H16" s="419"/>
      <c r="I16" s="264"/>
      <c r="K16" s="264"/>
      <c r="M16" s="130"/>
    </row>
    <row r="17" spans="1:26" s="287" customFormat="1" ht="26.5" hidden="1" customHeight="1" thickBot="1">
      <c r="F17" s="653" t="s">
        <v>174</v>
      </c>
      <c r="G17" s="654" t="str">
        <f>+'Dashboard Aifina'!G16</f>
        <v>October</v>
      </c>
      <c r="H17" s="654">
        <f>+VLOOKUP(G17,Reference!A2:B13,2,0)</f>
        <v>10</v>
      </c>
      <c r="I17" s="655">
        <v>2022</v>
      </c>
      <c r="K17" s="478"/>
    </row>
    <row r="18" spans="1:26" s="114" customFormat="1">
      <c r="F18" s="118"/>
      <c r="I18" s="264"/>
      <c r="K18" s="264"/>
    </row>
    <row r="19" spans="1:26" ht="16" thickBot="1">
      <c r="A19" s="236"/>
      <c r="B19" s="236"/>
      <c r="C19" s="236"/>
    </row>
    <row r="20" spans="1:26" s="244" customFormat="1" ht="21" customHeight="1" thickBot="1">
      <c r="A20" s="241"/>
      <c r="B20" s="241"/>
      <c r="C20" s="241"/>
      <c r="E20" s="295"/>
      <c r="F20" s="525" t="s">
        <v>365</v>
      </c>
      <c r="G20" s="526" t="s">
        <v>366</v>
      </c>
      <c r="H20" s="470"/>
      <c r="I20" s="525" t="s">
        <v>376</v>
      </c>
      <c r="J20" s="770" t="s">
        <v>377</v>
      </c>
      <c r="K20" s="771"/>
      <c r="L20" s="495"/>
      <c r="M20" s="289"/>
      <c r="N20" s="289"/>
      <c r="O20" s="494"/>
      <c r="P20" s="292"/>
      <c r="Q20" s="292"/>
      <c r="R20" s="236"/>
      <c r="S20" s="236"/>
      <c r="T20" s="485"/>
    </row>
    <row r="21" spans="1:26" ht="18">
      <c r="O21" s="418"/>
      <c r="P21" s="418"/>
      <c r="Q21" s="418"/>
    </row>
    <row r="22" spans="1:26" s="244" customFormat="1" ht="21" customHeight="1">
      <c r="A22" s="241"/>
      <c r="B22" s="241"/>
      <c r="C22" s="241"/>
      <c r="E22" s="252"/>
      <c r="F22" s="537" t="s">
        <v>388</v>
      </c>
      <c r="G22" s="204"/>
      <c r="H22" s="409"/>
      <c r="I22" s="472"/>
      <c r="J22" s="409"/>
      <c r="K22" s="472"/>
      <c r="L22" s="409"/>
      <c r="M22" s="277" t="s">
        <v>398</v>
      </c>
      <c r="N22" s="204"/>
      <c r="O22" s="606">
        <v>45575</v>
      </c>
      <c r="P22" s="204"/>
      <c r="R22" s="236"/>
      <c r="S22" s="236"/>
      <c r="T22" s="485"/>
    </row>
    <row r="23" spans="1:26" ht="24.5" customHeight="1">
      <c r="B23" s="420" t="s">
        <v>163</v>
      </c>
      <c r="E23" s="234"/>
      <c r="F23" s="607" t="s">
        <v>961</v>
      </c>
      <c r="G23" s="607"/>
      <c r="H23" s="607"/>
      <c r="I23" s="607"/>
      <c r="J23" s="607"/>
      <c r="K23" s="607"/>
      <c r="L23" s="607"/>
      <c r="M23" s="607"/>
      <c r="N23" s="607"/>
      <c r="O23" s="607"/>
      <c r="P23" s="607"/>
      <c r="Q23" s="608"/>
      <c r="R23" s="473"/>
      <c r="S23" s="473"/>
      <c r="T23" s="495"/>
      <c r="U23" s="497"/>
      <c r="V23" s="473"/>
      <c r="W23" s="473"/>
      <c r="X23" s="473"/>
      <c r="Y23" s="473"/>
    </row>
    <row r="24" spans="1:26" ht="24.5" customHeight="1">
      <c r="B24" s="240"/>
      <c r="E24" s="234"/>
      <c r="F24" s="607"/>
      <c r="G24" s="607"/>
      <c r="H24" s="607"/>
      <c r="I24" s="607"/>
      <c r="J24" s="607"/>
      <c r="K24" s="607"/>
      <c r="L24" s="607"/>
      <c r="M24" s="607"/>
      <c r="N24" s="607"/>
      <c r="O24" s="607"/>
      <c r="P24" s="607"/>
      <c r="Q24" s="608"/>
      <c r="R24" s="473"/>
      <c r="S24" s="473"/>
      <c r="T24" s="495"/>
      <c r="U24" s="497"/>
      <c r="V24" s="473"/>
      <c r="W24" s="473"/>
      <c r="X24" s="473"/>
      <c r="Y24" s="473"/>
    </row>
    <row r="25" spans="1:26" ht="24.5" customHeight="1">
      <c r="E25" s="234"/>
      <c r="F25" s="607"/>
      <c r="G25" s="607"/>
      <c r="H25" s="607"/>
      <c r="I25" s="607"/>
      <c r="J25" s="607"/>
      <c r="K25" s="607"/>
      <c r="L25" s="607"/>
      <c r="M25" s="607"/>
      <c r="N25" s="607"/>
      <c r="O25" s="607"/>
      <c r="P25" s="607"/>
      <c r="Q25" s="608"/>
      <c r="R25" s="473"/>
      <c r="S25" s="473"/>
      <c r="T25" s="495"/>
      <c r="U25" s="497"/>
      <c r="V25" s="473"/>
      <c r="W25" s="473"/>
      <c r="X25" s="473"/>
      <c r="Y25" s="473"/>
    </row>
    <row r="26" spans="1:26" ht="24.5" customHeight="1">
      <c r="B26" s="240"/>
      <c r="E26" s="234"/>
      <c r="F26" s="607"/>
      <c r="G26" s="607"/>
      <c r="H26" s="607"/>
      <c r="I26" s="607"/>
      <c r="J26" s="607"/>
      <c r="K26" s="607"/>
      <c r="L26" s="607"/>
      <c r="M26" s="607"/>
      <c r="N26" s="607"/>
      <c r="O26" s="607"/>
      <c r="P26" s="607"/>
      <c r="Q26" s="608"/>
      <c r="R26" s="473"/>
      <c r="S26" s="473"/>
      <c r="T26" s="495"/>
      <c r="U26" s="497"/>
      <c r="V26" s="473"/>
      <c r="W26" s="473"/>
      <c r="X26" s="473"/>
      <c r="Y26" s="473"/>
    </row>
    <row r="27" spans="1:26" ht="19">
      <c r="B27" s="240"/>
      <c r="E27" s="234"/>
      <c r="F27" s="607"/>
      <c r="G27" s="607"/>
      <c r="H27" s="607"/>
      <c r="I27" s="607"/>
      <c r="J27" s="607"/>
      <c r="K27" s="607"/>
      <c r="L27" s="607"/>
      <c r="M27" s="607"/>
      <c r="N27" s="607"/>
      <c r="O27" s="607"/>
      <c r="P27" s="607"/>
      <c r="Q27" s="608"/>
      <c r="R27" s="473"/>
      <c r="S27" s="473"/>
      <c r="V27" s="473"/>
      <c r="W27" s="473"/>
      <c r="X27" s="473"/>
      <c r="Y27" s="473"/>
    </row>
    <row r="28" spans="1:26" ht="14.5" customHeight="1">
      <c r="E28" s="234"/>
      <c r="F28" s="607"/>
      <c r="G28" s="607"/>
      <c r="H28" s="607"/>
      <c r="I28" s="607"/>
      <c r="J28" s="607"/>
      <c r="K28" s="607"/>
      <c r="L28" s="607"/>
      <c r="M28" s="607"/>
      <c r="N28" s="607"/>
      <c r="O28" s="607"/>
      <c r="P28" s="607"/>
      <c r="Q28" s="608"/>
    </row>
    <row r="29" spans="1:26" ht="28.25" customHeight="1">
      <c r="B29" s="240"/>
      <c r="E29" s="114"/>
      <c r="F29" s="607"/>
      <c r="G29" s="607"/>
      <c r="H29" s="607"/>
      <c r="I29" s="607"/>
      <c r="J29" s="607"/>
      <c r="K29" s="607"/>
      <c r="L29" s="607"/>
      <c r="M29" s="607"/>
      <c r="N29" s="607"/>
      <c r="O29" s="607"/>
      <c r="P29" s="607"/>
      <c r="Q29" s="608"/>
    </row>
    <row r="30" spans="1:26" ht="19">
      <c r="A30" s="236"/>
      <c r="B30" s="469"/>
      <c r="C30" s="236"/>
      <c r="E30" s="234"/>
      <c r="F30" s="607"/>
      <c r="G30" s="607"/>
      <c r="H30" s="607"/>
      <c r="I30" s="607"/>
      <c r="J30" s="607"/>
      <c r="K30" s="607"/>
      <c r="L30" s="607"/>
      <c r="M30" s="607"/>
      <c r="N30" s="607"/>
      <c r="O30" s="607"/>
      <c r="P30" s="607"/>
      <c r="Q30" s="608"/>
      <c r="R30" s="508"/>
      <c r="S30" s="508"/>
      <c r="T30" s="508"/>
      <c r="U30" s="508"/>
      <c r="V30" s="508"/>
      <c r="W30" s="508"/>
      <c r="X30" s="508"/>
      <c r="Y30" s="508"/>
    </row>
    <row r="31" spans="1:26" ht="22">
      <c r="A31" s="236"/>
      <c r="B31" s="236"/>
      <c r="C31" s="236"/>
      <c r="E31" s="252"/>
      <c r="F31" s="490"/>
      <c r="G31" s="490"/>
      <c r="H31" s="490"/>
      <c r="I31" s="490"/>
      <c r="J31" s="490"/>
      <c r="K31" s="490"/>
      <c r="L31" s="490"/>
      <c r="M31" s="114"/>
      <c r="N31" s="114"/>
      <c r="O31" s="512"/>
      <c r="P31" s="512"/>
      <c r="Q31" s="508"/>
      <c r="R31" s="508"/>
      <c r="S31" s="508"/>
      <c r="T31" s="508"/>
      <c r="U31" s="508"/>
      <c r="V31" s="508"/>
      <c r="W31" s="508"/>
      <c r="X31" s="508"/>
      <c r="Y31" s="508"/>
      <c r="Z31" s="244"/>
    </row>
    <row r="32" spans="1:26" ht="33.5" customHeight="1">
      <c r="A32" s="236"/>
      <c r="B32" s="469"/>
      <c r="C32" s="236"/>
      <c r="E32" s="293"/>
      <c r="F32" s="502"/>
      <c r="G32" s="502"/>
      <c r="H32" s="502"/>
      <c r="I32" s="502"/>
      <c r="J32" s="502"/>
      <c r="K32" s="502"/>
      <c r="L32" s="502"/>
      <c r="O32" s="508"/>
      <c r="P32" s="508"/>
      <c r="Q32" s="508"/>
      <c r="R32" s="508"/>
      <c r="S32" s="508"/>
      <c r="T32" s="508"/>
      <c r="U32" s="508"/>
      <c r="V32" s="508"/>
      <c r="W32" s="508"/>
      <c r="X32" s="508"/>
      <c r="Y32" s="508"/>
    </row>
    <row r="33" spans="1:25" s="244" customFormat="1" ht="21" customHeight="1">
      <c r="A33" s="241"/>
      <c r="B33" s="241"/>
      <c r="C33" s="241"/>
      <c r="E33" s="295"/>
      <c r="F33" s="335" t="s">
        <v>389</v>
      </c>
      <c r="G33" s="204"/>
      <c r="H33" s="409"/>
      <c r="I33" s="472"/>
      <c r="J33" s="409"/>
      <c r="K33" s="472"/>
      <c r="L33" s="409"/>
      <c r="M33" s="277" t="s">
        <v>398</v>
      </c>
      <c r="N33" s="204"/>
      <c r="O33" s="606">
        <v>45575</v>
      </c>
      <c r="P33" s="204"/>
      <c r="Q33" s="292"/>
      <c r="R33" s="236"/>
      <c r="S33" s="236"/>
      <c r="T33" s="485"/>
    </row>
    <row r="34" spans="1:25" s="613" customFormat="1" ht="25.75" customHeight="1">
      <c r="A34" s="611"/>
      <c r="B34" s="612" t="s">
        <v>163</v>
      </c>
      <c r="C34" s="611"/>
      <c r="E34" s="614"/>
      <c r="F34" s="609" t="s">
        <v>390</v>
      </c>
      <c r="G34" s="615"/>
      <c r="H34" s="615"/>
      <c r="I34" s="616"/>
      <c r="J34" s="609" t="s">
        <v>393</v>
      </c>
      <c r="K34" s="617"/>
      <c r="L34" s="618"/>
      <c r="M34" s="619"/>
      <c r="N34" s="620"/>
      <c r="O34" s="621"/>
      <c r="P34" s="622"/>
      <c r="Q34" s="623"/>
      <c r="R34" s="468"/>
      <c r="S34" s="468"/>
      <c r="T34" s="624"/>
      <c r="U34" s="625"/>
      <c r="V34" s="468"/>
      <c r="W34" s="468"/>
      <c r="X34" s="468"/>
      <c r="Y34" s="468"/>
    </row>
    <row r="35" spans="1:25" s="613" customFormat="1" ht="25.75" customHeight="1">
      <c r="A35" s="611"/>
      <c r="B35" s="626"/>
      <c r="C35" s="611"/>
      <c r="E35" s="614"/>
      <c r="F35" s="778" t="str">
        <f>'Benchmark database'!B22</f>
        <v>Strategic Location:The UAE is a central hub between Europe, Asia, and Africa, making it an ideal location for retail distribution and global brands.
High Disposable Income: A large proportion of the population, especially expatriates, has high disposable income, driving demand for luxury goods, fashion, and premium services.
Tourism Industry: The UAE attracts millions of tourists annually, especially Dubai and Abu Dhabi, contributing to strong retail demand, especially in luxury, fashion, and electronics sectors.
Advanced Infrastructure: The UAE has world-class malls, airports, and logistics infrastructure, facilitating easy access to retail outlets and streamlined supply chains.
E-Commerce Growth: Accelerated adoption of e-commerce, fueled by high internet penetration and smartphone usage, has opened up new revenue channels for retailers.
Government Support: Initiatives such as reduced tariffs on goods and services, tax exemptions in free zones, and support for business diversification have strengthened the retail environment.</v>
      </c>
      <c r="G35" s="778"/>
      <c r="H35" s="778"/>
      <c r="I35" s="778"/>
      <c r="J35" s="610" t="s">
        <v>965</v>
      </c>
      <c r="K35" s="617"/>
      <c r="L35" s="617"/>
      <c r="M35" s="619"/>
      <c r="N35" s="576"/>
      <c r="O35" s="621"/>
      <c r="P35" s="622"/>
      <c r="Q35" s="623"/>
      <c r="R35" s="468"/>
      <c r="S35" s="468"/>
      <c r="T35" s="624"/>
      <c r="U35" s="625"/>
      <c r="V35" s="468"/>
      <c r="W35" s="468"/>
      <c r="X35" s="468"/>
      <c r="Y35" s="468"/>
    </row>
    <row r="36" spans="1:25" s="613" customFormat="1" ht="25.75" customHeight="1">
      <c r="A36" s="611"/>
      <c r="B36" s="611"/>
      <c r="C36" s="611"/>
      <c r="E36" s="614"/>
      <c r="F36" s="778"/>
      <c r="G36" s="778"/>
      <c r="H36" s="778"/>
      <c r="I36" s="778"/>
      <c r="J36" s="609"/>
      <c r="K36" s="617"/>
      <c r="L36" s="618"/>
      <c r="M36" s="619"/>
      <c r="N36" s="576"/>
      <c r="O36" s="621"/>
      <c r="P36" s="622"/>
      <c r="Q36" s="623"/>
      <c r="R36" s="468"/>
      <c r="S36" s="468"/>
      <c r="T36" s="624"/>
      <c r="U36" s="625"/>
      <c r="V36" s="468"/>
      <c r="W36" s="468"/>
      <c r="X36" s="468"/>
      <c r="Y36" s="468"/>
    </row>
    <row r="37" spans="1:25" s="613" customFormat="1" ht="25.75" customHeight="1">
      <c r="A37" s="611"/>
      <c r="B37" s="626"/>
      <c r="C37" s="611"/>
      <c r="E37" s="614"/>
      <c r="F37" s="778"/>
      <c r="G37" s="778"/>
      <c r="H37" s="778"/>
      <c r="I37" s="778"/>
      <c r="J37" s="609"/>
      <c r="K37" s="617"/>
      <c r="L37" s="618"/>
      <c r="M37" s="619"/>
      <c r="N37" s="576"/>
      <c r="O37" s="621"/>
      <c r="P37" s="627"/>
      <c r="Q37" s="628"/>
      <c r="R37" s="468"/>
      <c r="S37" s="468"/>
      <c r="T37" s="624"/>
      <c r="U37" s="625"/>
      <c r="V37" s="468"/>
      <c r="W37" s="468"/>
      <c r="X37" s="468"/>
      <c r="Y37" s="468"/>
    </row>
    <row r="38" spans="1:25" s="613" customFormat="1" ht="25.75" customHeight="1">
      <c r="A38" s="611"/>
      <c r="B38" s="612" t="s">
        <v>163</v>
      </c>
      <c r="C38" s="611"/>
      <c r="E38" s="614"/>
      <c r="F38" s="609" t="s">
        <v>392</v>
      </c>
      <c r="G38" s="615"/>
      <c r="H38" s="615"/>
      <c r="I38" s="616"/>
      <c r="J38" s="609" t="s">
        <v>391</v>
      </c>
      <c r="K38" s="617"/>
      <c r="L38" s="618"/>
      <c r="M38" s="619"/>
      <c r="N38" s="620"/>
      <c r="O38" s="621"/>
      <c r="P38" s="622"/>
      <c r="Q38" s="623"/>
      <c r="R38" s="468"/>
      <c r="S38" s="468"/>
      <c r="T38" s="624"/>
      <c r="U38" s="625"/>
      <c r="V38" s="468"/>
      <c r="W38" s="468"/>
      <c r="X38" s="468"/>
      <c r="Y38" s="468"/>
    </row>
    <row r="39" spans="1:25" s="613" customFormat="1" ht="25.75" customHeight="1">
      <c r="A39" s="611"/>
      <c r="B39" s="626"/>
      <c r="C39" s="611"/>
      <c r="E39" s="614"/>
      <c r="F39" s="629" t="s">
        <v>967</v>
      </c>
      <c r="G39" s="629"/>
      <c r="H39" s="629"/>
      <c r="I39" s="629"/>
      <c r="J39" s="610" t="s">
        <v>966</v>
      </c>
      <c r="K39" s="617"/>
      <c r="L39" s="617"/>
      <c r="M39" s="619"/>
      <c r="N39" s="576"/>
      <c r="O39" s="621"/>
      <c r="P39" s="622"/>
      <c r="Q39" s="623"/>
      <c r="R39" s="468"/>
      <c r="S39" s="468"/>
      <c r="T39" s="624"/>
      <c r="U39" s="625"/>
      <c r="V39" s="468"/>
      <c r="W39" s="468"/>
      <c r="X39" s="468"/>
      <c r="Y39" s="468"/>
    </row>
    <row r="40" spans="1:25" s="613" customFormat="1" ht="25.75" customHeight="1">
      <c r="A40" s="611"/>
      <c r="B40" s="611"/>
      <c r="C40" s="611"/>
      <c r="E40" s="614"/>
      <c r="F40" s="629"/>
      <c r="G40" s="629"/>
      <c r="H40" s="629"/>
      <c r="I40" s="629"/>
      <c r="J40" s="609"/>
      <c r="K40" s="617"/>
      <c r="L40" s="618"/>
      <c r="M40" s="619"/>
      <c r="N40" s="576"/>
      <c r="O40" s="621"/>
      <c r="P40" s="622"/>
      <c r="Q40" s="623"/>
      <c r="R40" s="468"/>
      <c r="S40" s="468"/>
      <c r="T40" s="624"/>
      <c r="U40" s="625"/>
      <c r="V40" s="468"/>
      <c r="W40" s="468"/>
      <c r="X40" s="468"/>
      <c r="Y40" s="468"/>
    </row>
    <row r="41" spans="1:25" s="613" customFormat="1" ht="25.75" customHeight="1">
      <c r="A41" s="611"/>
      <c r="B41" s="626"/>
      <c r="C41" s="611"/>
      <c r="E41" s="614"/>
      <c r="F41" s="629"/>
      <c r="G41" s="629"/>
      <c r="H41" s="629"/>
      <c r="I41" s="629"/>
      <c r="J41" s="609"/>
      <c r="K41" s="617"/>
      <c r="L41" s="618"/>
      <c r="M41" s="619"/>
      <c r="N41" s="576"/>
      <c r="O41" s="621"/>
      <c r="P41" s="627"/>
      <c r="Q41" s="628"/>
      <c r="R41" s="468"/>
      <c r="S41" s="468"/>
      <c r="T41" s="624"/>
      <c r="U41" s="625"/>
      <c r="V41" s="468"/>
      <c r="W41" s="468"/>
      <c r="X41" s="468"/>
      <c r="Y41" s="468"/>
    </row>
    <row r="42" spans="1:25" ht="19">
      <c r="A42" s="236"/>
      <c r="B42" s="469"/>
      <c r="C42" s="236"/>
      <c r="E42" s="293"/>
      <c r="K42" s="480"/>
    </row>
    <row r="43" spans="1:25" s="244" customFormat="1" ht="21" customHeight="1">
      <c r="A43" s="241"/>
      <c r="B43" s="241"/>
      <c r="C43" s="241"/>
      <c r="E43" s="295"/>
      <c r="F43" s="537" t="s">
        <v>394</v>
      </c>
      <c r="G43" s="204"/>
      <c r="H43" s="409"/>
      <c r="I43" s="472"/>
      <c r="J43" s="409"/>
      <c r="K43" s="472"/>
      <c r="L43" s="409"/>
      <c r="M43" s="258"/>
      <c r="N43" s="258"/>
      <c r="O43" s="471"/>
      <c r="P43" s="277" t="s">
        <v>398</v>
      </c>
      <c r="Q43" s="292"/>
      <c r="R43" s="236"/>
      <c r="S43" s="236"/>
      <c r="T43" s="485"/>
    </row>
    <row r="44" spans="1:25" ht="24.5" customHeight="1">
      <c r="B44" s="420" t="s">
        <v>163</v>
      </c>
      <c r="E44" s="293"/>
      <c r="F44" s="610" t="s">
        <v>968</v>
      </c>
      <c r="G44" s="503"/>
      <c r="H44" s="503"/>
      <c r="I44" s="504"/>
      <c r="J44" s="503"/>
      <c r="K44" s="504"/>
      <c r="L44" s="503"/>
      <c r="M44" s="253"/>
      <c r="N44" s="257"/>
      <c r="O44" s="409"/>
      <c r="P44" s="513"/>
      <c r="Q44" s="499"/>
      <c r="R44" s="473"/>
      <c r="S44" s="473"/>
      <c r="T44" s="495"/>
      <c r="U44" s="497"/>
      <c r="V44" s="473"/>
      <c r="W44" s="473"/>
      <c r="X44" s="473"/>
      <c r="Y44" s="473"/>
    </row>
    <row r="45" spans="1:25" ht="24.5" customHeight="1">
      <c r="B45" s="240"/>
      <c r="E45" s="293"/>
      <c r="F45" s="391"/>
      <c r="G45" s="519"/>
      <c r="H45" s="519"/>
      <c r="I45" s="504"/>
      <c r="J45" s="519"/>
      <c r="K45" s="504"/>
      <c r="L45" s="519"/>
      <c r="M45" s="253"/>
      <c r="N45" s="114"/>
      <c r="O45" s="409"/>
      <c r="P45" s="513"/>
      <c r="Q45" s="499"/>
      <c r="R45" s="473"/>
      <c r="S45" s="473"/>
      <c r="T45" s="495"/>
      <c r="U45" s="497"/>
      <c r="V45" s="473"/>
      <c r="W45" s="473"/>
      <c r="X45" s="473"/>
      <c r="Y45" s="473"/>
    </row>
    <row r="46" spans="1:25" ht="24.5" customHeight="1">
      <c r="E46" s="293"/>
      <c r="F46" s="391"/>
      <c r="G46" s="503"/>
      <c r="H46" s="503"/>
      <c r="I46" s="504"/>
      <c r="J46" s="503"/>
      <c r="K46" s="504"/>
      <c r="L46" s="503"/>
      <c r="M46" s="253"/>
      <c r="N46" s="114"/>
      <c r="O46" s="409"/>
      <c r="P46" s="513"/>
      <c r="Q46" s="499"/>
      <c r="R46" s="473"/>
      <c r="S46" s="473"/>
      <c r="T46" s="495"/>
      <c r="U46" s="497"/>
      <c r="V46" s="473"/>
      <c r="W46" s="473"/>
      <c r="X46" s="473"/>
      <c r="Y46" s="473"/>
    </row>
    <row r="47" spans="1:25" ht="24.5" customHeight="1">
      <c r="B47" s="240"/>
      <c r="E47" s="293"/>
      <c r="F47" s="335"/>
      <c r="G47" s="391"/>
      <c r="H47" s="391"/>
      <c r="I47" s="504"/>
      <c r="J47" s="391"/>
      <c r="K47" s="504"/>
      <c r="L47" s="503"/>
      <c r="M47" s="253"/>
      <c r="N47" s="114"/>
      <c r="O47" s="409"/>
      <c r="P47" s="510"/>
      <c r="Q47" s="501"/>
      <c r="R47" s="473"/>
      <c r="S47" s="473"/>
      <c r="T47" s="495"/>
      <c r="U47" s="497"/>
      <c r="V47" s="473"/>
      <c r="W47" s="473"/>
      <c r="X47" s="473"/>
      <c r="Y47" s="473"/>
    </row>
    <row r="48" spans="1:25" ht="19">
      <c r="B48" s="240"/>
      <c r="E48" s="293"/>
      <c r="F48" s="775"/>
      <c r="G48" s="775"/>
      <c r="H48" s="775"/>
      <c r="I48" s="264"/>
      <c r="J48" s="114"/>
      <c r="K48" s="509"/>
      <c r="L48" s="114"/>
      <c r="M48" s="114"/>
      <c r="N48" s="253"/>
      <c r="O48" s="114"/>
      <c r="P48" s="114"/>
      <c r="R48" s="473"/>
      <c r="S48" s="473"/>
      <c r="V48" s="473"/>
      <c r="W48" s="473"/>
      <c r="X48" s="473"/>
      <c r="Y48" s="473"/>
    </row>
    <row r="49" spans="1:26">
      <c r="E49" s="293"/>
      <c r="F49" s="775"/>
      <c r="G49" s="775"/>
      <c r="H49" s="775"/>
      <c r="I49" s="479"/>
      <c r="J49" s="234"/>
      <c r="K49" s="479"/>
      <c r="L49" s="114"/>
      <c r="M49" s="114"/>
      <c r="N49" s="114"/>
      <c r="O49" s="114"/>
      <c r="P49" s="114"/>
      <c r="R49" s="473"/>
      <c r="S49" s="473"/>
      <c r="T49" s="473"/>
      <c r="U49" s="473"/>
      <c r="V49" s="473"/>
      <c r="W49" s="473"/>
      <c r="X49" s="473"/>
      <c r="Y49" s="473"/>
    </row>
    <row r="50" spans="1:26" ht="28.25" customHeight="1">
      <c r="B50" s="240"/>
      <c r="F50" s="506"/>
      <c r="G50" s="506"/>
      <c r="H50" s="506"/>
      <c r="I50" s="264"/>
      <c r="J50" s="114"/>
      <c r="K50" s="264"/>
      <c r="L50" s="114"/>
      <c r="M50" s="114"/>
      <c r="N50" s="114"/>
      <c r="O50" s="487"/>
      <c r="P50" s="114"/>
      <c r="R50" s="473"/>
      <c r="S50" s="473"/>
      <c r="T50" s="473"/>
      <c r="U50" s="473"/>
      <c r="V50" s="473"/>
      <c r="W50" s="473"/>
      <c r="X50" s="473"/>
      <c r="Y50" s="473"/>
    </row>
    <row r="51" spans="1:26" ht="19">
      <c r="A51" s="236"/>
      <c r="B51" s="469"/>
      <c r="C51" s="236"/>
      <c r="E51" s="293"/>
      <c r="F51" s="490"/>
      <c r="G51" s="490"/>
      <c r="H51" s="490"/>
      <c r="I51" s="490"/>
      <c r="J51" s="490"/>
      <c r="K51" s="490"/>
      <c r="L51" s="490"/>
      <c r="M51" s="114"/>
      <c r="N51" s="114"/>
      <c r="O51" s="511"/>
      <c r="P51" s="512"/>
      <c r="Q51" s="508"/>
      <c r="R51" s="473"/>
      <c r="S51" s="473"/>
      <c r="T51" s="473"/>
      <c r="U51" s="473"/>
      <c r="V51" s="473"/>
      <c r="W51" s="473"/>
      <c r="X51" s="473"/>
      <c r="Y51" s="473"/>
    </row>
    <row r="52" spans="1:26" ht="22">
      <c r="A52" s="236"/>
      <c r="B52" s="236"/>
      <c r="C52" s="236"/>
      <c r="E52" s="295"/>
      <c r="F52" s="490"/>
      <c r="G52" s="490"/>
      <c r="H52" s="490"/>
      <c r="I52" s="490"/>
      <c r="J52" s="490"/>
      <c r="K52" s="490"/>
      <c r="L52" s="490"/>
      <c r="M52" s="114"/>
      <c r="N52" s="114"/>
      <c r="O52" s="512"/>
      <c r="P52" s="512"/>
      <c r="Q52" s="508"/>
      <c r="R52" s="473"/>
      <c r="S52" s="473"/>
      <c r="T52" s="473"/>
      <c r="U52" s="473"/>
      <c r="V52" s="473"/>
      <c r="W52" s="473"/>
      <c r="X52" s="473"/>
      <c r="Y52" s="473"/>
      <c r="Z52" s="244"/>
    </row>
    <row r="53" spans="1:26" ht="19">
      <c r="A53" s="236"/>
      <c r="B53" s="469"/>
      <c r="C53" s="236"/>
      <c r="E53" s="293"/>
      <c r="I53" s="750"/>
      <c r="J53" s="750"/>
      <c r="K53" s="480"/>
      <c r="R53" s="473"/>
      <c r="S53" s="473"/>
      <c r="T53" s="473"/>
      <c r="U53" s="473"/>
      <c r="V53" s="473"/>
      <c r="W53" s="473"/>
      <c r="X53" s="473"/>
      <c r="Y53" s="473"/>
    </row>
    <row r="54" spans="1:26" s="244" customFormat="1" ht="21" customHeight="1">
      <c r="A54" s="241"/>
      <c r="B54" s="241"/>
      <c r="C54" s="241"/>
      <c r="E54" s="295"/>
      <c r="F54" s="537" t="s">
        <v>395</v>
      </c>
      <c r="G54" s="204"/>
      <c r="H54" s="409"/>
      <c r="I54" s="472"/>
      <c r="J54" s="409"/>
      <c r="K54" s="472"/>
      <c r="L54" s="409"/>
      <c r="M54" s="258"/>
      <c r="N54" s="258"/>
      <c r="O54" s="471"/>
      <c r="P54" s="277" t="s">
        <v>398</v>
      </c>
      <c r="Q54" s="292"/>
      <c r="R54" s="236"/>
      <c r="S54" s="236"/>
      <c r="T54" s="485"/>
    </row>
    <row r="55" spans="1:26" ht="24.5" customHeight="1">
      <c r="B55" s="420" t="s">
        <v>163</v>
      </c>
      <c r="E55" s="293"/>
      <c r="F55" s="610" t="s">
        <v>969</v>
      </c>
      <c r="G55" s="503"/>
      <c r="H55" s="503"/>
      <c r="I55" s="504"/>
      <c r="J55" s="503"/>
      <c r="K55" s="504"/>
      <c r="L55" s="503"/>
      <c r="M55" s="253"/>
      <c r="N55" s="257"/>
      <c r="O55" s="409"/>
      <c r="P55" s="513"/>
      <c r="Q55" s="499"/>
      <c r="R55" s="473"/>
      <c r="S55" s="473"/>
      <c r="T55" s="495"/>
      <c r="U55" s="497"/>
      <c r="V55" s="473"/>
      <c r="W55" s="473"/>
      <c r="X55" s="473"/>
      <c r="Y55" s="473"/>
    </row>
    <row r="56" spans="1:26" ht="24.5" customHeight="1">
      <c r="B56" s="240"/>
      <c r="E56" s="293"/>
      <c r="F56" s="391"/>
      <c r="G56" s="519"/>
      <c r="H56" s="519"/>
      <c r="I56" s="504"/>
      <c r="J56" s="519"/>
      <c r="K56" s="504"/>
      <c r="L56" s="519"/>
      <c r="M56" s="253"/>
      <c r="N56" s="114"/>
      <c r="O56" s="409"/>
      <c r="P56" s="513"/>
      <c r="Q56" s="499"/>
      <c r="R56" s="473"/>
      <c r="S56" s="473"/>
      <c r="T56" s="495"/>
      <c r="U56" s="497"/>
      <c r="V56" s="473"/>
      <c r="W56" s="473"/>
      <c r="X56" s="473"/>
      <c r="Y56" s="473"/>
    </row>
    <row r="57" spans="1:26" ht="24.5" customHeight="1">
      <c r="E57" s="293"/>
      <c r="F57" s="391"/>
      <c r="G57" s="503"/>
      <c r="H57" s="503"/>
      <c r="I57" s="504"/>
      <c r="J57" s="503"/>
      <c r="K57" s="504"/>
      <c r="L57" s="503"/>
      <c r="M57" s="253"/>
      <c r="N57" s="114"/>
      <c r="O57" s="409"/>
      <c r="P57" s="513"/>
      <c r="Q57" s="499"/>
      <c r="R57" s="473"/>
      <c r="S57" s="473"/>
      <c r="T57" s="495"/>
      <c r="U57" s="497"/>
      <c r="V57" s="473"/>
      <c r="W57" s="473"/>
      <c r="X57" s="473"/>
      <c r="Y57" s="473"/>
    </row>
    <row r="58" spans="1:26" ht="24.5" customHeight="1">
      <c r="B58" s="240"/>
      <c r="E58" s="293"/>
      <c r="F58" s="335"/>
      <c r="G58" s="391"/>
      <c r="H58" s="391"/>
      <c r="I58" s="504"/>
      <c r="J58" s="391"/>
      <c r="K58" s="504"/>
      <c r="L58" s="503"/>
      <c r="M58" s="253"/>
      <c r="N58" s="114"/>
      <c r="O58" s="409"/>
      <c r="P58" s="510"/>
      <c r="Q58" s="501"/>
      <c r="R58" s="473"/>
      <c r="S58" s="473"/>
      <c r="T58" s="495"/>
      <c r="U58" s="497"/>
      <c r="V58" s="473"/>
      <c r="W58" s="473"/>
      <c r="X58" s="473"/>
      <c r="Y58" s="473"/>
    </row>
    <row r="59" spans="1:26" ht="19">
      <c r="B59" s="240"/>
      <c r="E59" s="293"/>
      <c r="F59" s="775"/>
      <c r="G59" s="775"/>
      <c r="H59" s="775"/>
      <c r="I59" s="264"/>
      <c r="J59" s="114"/>
      <c r="K59" s="509"/>
      <c r="L59" s="114"/>
      <c r="M59" s="114"/>
      <c r="N59" s="253"/>
      <c r="O59" s="114"/>
      <c r="P59" s="114"/>
      <c r="R59" s="473"/>
      <c r="S59" s="473"/>
      <c r="V59" s="473"/>
      <c r="W59" s="473"/>
      <c r="X59" s="473"/>
      <c r="Y59" s="473"/>
    </row>
    <row r="60" spans="1:26">
      <c r="E60" s="293"/>
      <c r="F60" s="775"/>
      <c r="G60" s="775"/>
      <c r="H60" s="775"/>
      <c r="I60" s="479"/>
      <c r="J60" s="234"/>
      <c r="K60" s="479"/>
      <c r="L60" s="114"/>
      <c r="M60" s="114"/>
      <c r="N60" s="114"/>
      <c r="O60" s="114"/>
      <c r="P60" s="114"/>
      <c r="R60" s="473"/>
      <c r="S60" s="473"/>
      <c r="T60" s="473"/>
      <c r="U60" s="473"/>
      <c r="V60" s="473"/>
      <c r="W60" s="473"/>
      <c r="X60" s="473"/>
      <c r="Y60" s="473"/>
    </row>
    <row r="61" spans="1:26" ht="28.25" customHeight="1">
      <c r="B61" s="240"/>
      <c r="F61" s="506"/>
      <c r="G61" s="506"/>
      <c r="H61" s="506"/>
      <c r="I61" s="264"/>
      <c r="J61" s="114"/>
      <c r="K61" s="264"/>
      <c r="L61" s="114"/>
      <c r="M61" s="114"/>
      <c r="N61" s="114"/>
      <c r="O61" s="487"/>
      <c r="P61" s="114"/>
      <c r="R61" s="473"/>
      <c r="S61" s="473"/>
      <c r="T61" s="473"/>
      <c r="U61" s="473"/>
      <c r="V61" s="473"/>
      <c r="W61" s="473"/>
      <c r="X61" s="473"/>
      <c r="Y61" s="473"/>
    </row>
    <row r="62" spans="1:26" ht="19">
      <c r="A62" s="236"/>
      <c r="B62" s="469"/>
      <c r="C62" s="236"/>
      <c r="E62" s="293"/>
      <c r="F62" s="490"/>
      <c r="G62" s="490"/>
      <c r="H62" s="490"/>
      <c r="I62" s="490"/>
      <c r="J62" s="490"/>
      <c r="K62" s="490"/>
      <c r="L62" s="490"/>
      <c r="M62" s="114"/>
      <c r="N62" s="114"/>
      <c r="O62" s="511"/>
      <c r="P62" s="512"/>
      <c r="Q62" s="508"/>
      <c r="R62" s="473"/>
      <c r="S62" s="473"/>
      <c r="T62" s="473"/>
      <c r="U62" s="473"/>
      <c r="V62" s="473"/>
      <c r="W62" s="473"/>
      <c r="X62" s="473"/>
      <c r="Y62" s="473"/>
    </row>
    <row r="63" spans="1:26" ht="22">
      <c r="A63" s="236"/>
      <c r="B63" s="236"/>
      <c r="C63" s="236"/>
      <c r="E63" s="295"/>
      <c r="F63" s="490"/>
      <c r="G63" s="490"/>
      <c r="H63" s="490"/>
      <c r="I63" s="490"/>
      <c r="J63" s="490"/>
      <c r="K63" s="490"/>
      <c r="L63" s="490"/>
      <c r="M63" s="114"/>
      <c r="N63" s="114"/>
      <c r="O63" s="512"/>
      <c r="P63" s="512"/>
      <c r="Q63" s="508"/>
      <c r="R63" s="473"/>
      <c r="S63" s="473"/>
      <c r="T63" s="473"/>
      <c r="U63" s="473"/>
      <c r="V63" s="473"/>
      <c r="W63" s="473"/>
      <c r="X63" s="473"/>
      <c r="Y63" s="473"/>
      <c r="Z63" s="244"/>
    </row>
    <row r="65" spans="6:23">
      <c r="F65" s="236"/>
    </row>
    <row r="66" spans="6:23">
      <c r="F66" s="236"/>
    </row>
    <row r="67" spans="6:23">
      <c r="F67" s="236"/>
    </row>
    <row r="68" spans="6:23">
      <c r="F68" s="236"/>
    </row>
    <row r="69" spans="6:23">
      <c r="F69" s="236"/>
      <c r="N69" s="459"/>
      <c r="O69" s="459"/>
      <c r="P69" s="459"/>
      <c r="Q69" s="459"/>
      <c r="R69" s="459"/>
      <c r="S69" s="459"/>
      <c r="T69" s="459"/>
      <c r="U69" s="459"/>
      <c r="V69" s="459"/>
      <c r="W69" s="459"/>
    </row>
    <row r="70" spans="6:23">
      <c r="F70" s="236"/>
      <c r="O70" s="459"/>
    </row>
    <row r="71" spans="6:23">
      <c r="F71" s="236"/>
    </row>
    <row r="72" spans="6:23">
      <c r="F72" s="236"/>
    </row>
    <row r="73" spans="6:23">
      <c r="F73" s="236"/>
    </row>
    <row r="74" spans="6:23">
      <c r="F74" s="236"/>
    </row>
    <row r="75" spans="6:23">
      <c r="F75" s="236"/>
    </row>
    <row r="76" spans="6:23">
      <c r="F76" s="236"/>
    </row>
    <row r="77" spans="6:23">
      <c r="F77" s="236"/>
    </row>
    <row r="78" spans="6:23">
      <c r="F78" s="236"/>
    </row>
    <row r="79" spans="6:23">
      <c r="F79" s="236"/>
    </row>
    <row r="80" spans="6:23">
      <c r="F80" s="236"/>
    </row>
    <row r="83" spans="5:14">
      <c r="E83" s="114"/>
      <c r="F83" s="236"/>
    </row>
    <row r="84" spans="5:14">
      <c r="E84" s="114"/>
      <c r="F84" s="236"/>
    </row>
    <row r="85" spans="5:14">
      <c r="E85" s="114"/>
      <c r="F85" s="236"/>
      <c r="N85" s="236" t="s">
        <v>330</v>
      </c>
    </row>
    <row r="86" spans="5:14">
      <c r="E86" s="114"/>
      <c r="F86" s="236"/>
    </row>
    <row r="87" spans="5:14">
      <c r="E87" s="114"/>
      <c r="F87" s="236"/>
    </row>
    <row r="88" spans="5:14">
      <c r="E88" s="114"/>
      <c r="F88" s="236"/>
    </row>
    <row r="89" spans="5:14">
      <c r="E89" s="114"/>
      <c r="F89" s="236"/>
    </row>
    <row r="90" spans="5:14">
      <c r="E90" s="114"/>
      <c r="F90" s="236"/>
    </row>
    <row r="91" spans="5:14">
      <c r="E91" s="114"/>
      <c r="F91" s="236"/>
    </row>
    <row r="92" spans="5:14">
      <c r="E92" s="114"/>
      <c r="F92" s="236"/>
    </row>
    <row r="93" spans="5:14">
      <c r="E93" s="114"/>
      <c r="F93" s="236"/>
    </row>
    <row r="94" spans="5:14">
      <c r="F94" s="236"/>
    </row>
  </sheetData>
  <mergeCells count="9">
    <mergeCell ref="J20:K20"/>
    <mergeCell ref="F48:F49"/>
    <mergeCell ref="F59:F60"/>
    <mergeCell ref="G59:G60"/>
    <mergeCell ref="H59:H60"/>
    <mergeCell ref="I53:J53"/>
    <mergeCell ref="G48:G49"/>
    <mergeCell ref="H48:H49"/>
    <mergeCell ref="F35:I37"/>
  </mergeCells>
  <conditionalFormatting sqref="I34">
    <cfRule type="iconSet" priority="18">
      <iconSet iconSet="3Arrows">
        <cfvo type="percent" val="0"/>
        <cfvo type="num" val="0"/>
        <cfvo type="num" val="0"/>
      </iconSet>
    </cfRule>
  </conditionalFormatting>
  <conditionalFormatting sqref="I44:I47">
    <cfRule type="iconSet" priority="14">
      <iconSet iconSet="3Arrows">
        <cfvo type="percent" val="0"/>
        <cfvo type="num" val="0"/>
        <cfvo type="num" val="0"/>
      </iconSet>
    </cfRule>
  </conditionalFormatting>
  <conditionalFormatting sqref="I55:I58">
    <cfRule type="iconSet" priority="10">
      <iconSet iconSet="3Arrows">
        <cfvo type="percent" val="0"/>
        <cfvo type="num" val="0"/>
        <cfvo type="num" val="0"/>
      </iconSet>
    </cfRule>
  </conditionalFormatting>
  <conditionalFormatting sqref="I53:J53">
    <cfRule type="iconSet" priority="30">
      <iconSet iconSet="3Arrows">
        <cfvo type="percent" val="0"/>
        <cfvo type="num" val="0"/>
        <cfvo type="num" val="1E-25" gte="0"/>
      </iconSet>
    </cfRule>
  </conditionalFormatting>
  <conditionalFormatting sqref="K34:K37">
    <cfRule type="iconSet" priority="17">
      <iconSet iconSet="3Arrows">
        <cfvo type="percent" val="0"/>
        <cfvo type="num" val="0"/>
        <cfvo type="num" val="0"/>
      </iconSet>
    </cfRule>
  </conditionalFormatting>
  <conditionalFormatting sqref="K44:K47">
    <cfRule type="iconSet" priority="13">
      <iconSet iconSet="3Arrows">
        <cfvo type="percent" val="0"/>
        <cfvo type="num" val="0"/>
        <cfvo type="num" val="0"/>
      </iconSet>
    </cfRule>
  </conditionalFormatting>
  <conditionalFormatting sqref="K48">
    <cfRule type="containsText" dxfId="69" priority="11" operator="containsText" text="Lower than competition">
      <formula>NOT(ISERROR(SEARCH("Lower than competition",K48)))</formula>
    </cfRule>
    <cfRule type="containsText" dxfId="68" priority="12" operator="containsText" text="Better than competition">
      <formula>NOT(ISERROR(SEARCH("Better than competition",K48)))</formula>
    </cfRule>
  </conditionalFormatting>
  <conditionalFormatting sqref="K55:K58">
    <cfRule type="iconSet" priority="9">
      <iconSet iconSet="3Arrows">
        <cfvo type="percent" val="0"/>
        <cfvo type="num" val="0"/>
        <cfvo type="num" val="0"/>
      </iconSet>
    </cfRule>
  </conditionalFormatting>
  <conditionalFormatting sqref="K59">
    <cfRule type="containsText" dxfId="67" priority="7" operator="containsText" text="Lower than competition">
      <formula>NOT(ISERROR(SEARCH("Lower than competition",K59)))</formula>
    </cfRule>
    <cfRule type="containsText" dxfId="66" priority="8" operator="containsText" text="Better than competition">
      <formula>NOT(ISERROR(SEARCH("Better than competition",K59)))</formula>
    </cfRule>
  </conditionalFormatting>
  <conditionalFormatting sqref="Q53">
    <cfRule type="iconSet" priority="29">
      <iconSet iconSet="3Arrows">
        <cfvo type="percent" val="0"/>
        <cfvo type="num" val="0"/>
        <cfvo type="num" val="1E-25" gte="0"/>
      </iconSet>
    </cfRule>
  </conditionalFormatting>
  <conditionalFormatting sqref="I38">
    <cfRule type="iconSet" priority="2">
      <iconSet iconSet="3Arrows">
        <cfvo type="percent" val="0"/>
        <cfvo type="num" val="0"/>
        <cfvo type="num" val="0"/>
      </iconSet>
    </cfRule>
  </conditionalFormatting>
  <conditionalFormatting sqref="K38:K41">
    <cfRule type="iconSet" priority="1">
      <iconSet iconSet="3Arrows">
        <cfvo type="percent" val="0"/>
        <cfvo type="num" val="0"/>
        <cfvo type="num" val="0"/>
      </iconSet>
    </cfRule>
  </conditionalFormatting>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DA02482-A9AF-473C-A3DB-6AB2E14E954D}">
          <x14:formula1>
            <xm:f>Reference!$A$2:$A$13</xm:f>
          </x14:formula1>
          <xm:sqref>G17</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A3D8D-730B-4990-89B4-D1FB6E22C751}">
  <sheetPr codeName="Sheet14">
    <tabColor theme="4" tint="0.79998168889431442"/>
  </sheetPr>
  <dimension ref="A1:AA446"/>
  <sheetViews>
    <sheetView showGridLines="0" topLeftCell="D1" zoomScale="80" zoomScaleNormal="80" workbookViewId="0">
      <pane ySplit="18" topLeftCell="A25" activePane="bottomLeft" state="frozen"/>
      <selection pane="bottomLeft"/>
    </sheetView>
  </sheetViews>
  <sheetFormatPr baseColWidth="10" defaultColWidth="8.83203125" defaultRowHeight="15"/>
  <cols>
    <col min="1" max="1" width="2.1640625" style="7" hidden="1" customWidth="1"/>
    <col min="2" max="2" width="33.1640625" style="7" hidden="1" customWidth="1"/>
    <col min="3" max="3" width="2.83203125" style="7" hidden="1" customWidth="1"/>
    <col min="4" max="5" width="2.1640625" style="236" customWidth="1"/>
    <col min="6" max="6" width="26.83203125" style="243" bestFit="1" customWidth="1"/>
    <col min="7" max="8" width="21.1640625" style="236" customWidth="1"/>
    <col min="9" max="9" width="12.5" style="265" customWidth="1"/>
    <col min="10" max="10" width="21.1640625" style="236" customWidth="1"/>
    <col min="11" max="11" width="12.5" style="265" customWidth="1"/>
    <col min="12" max="12" width="21.1640625" style="236" customWidth="1"/>
    <col min="13" max="13" width="2.1640625" style="236" customWidth="1"/>
    <col min="14" max="14" width="2.6640625" style="236" customWidth="1"/>
    <col min="15" max="15" width="12" style="236" customWidth="1"/>
    <col min="16" max="16" width="9.5" style="236" bestFit="1" customWidth="1"/>
    <col min="17" max="17" width="13.1640625" style="236" bestFit="1" customWidth="1"/>
    <col min="18" max="18" width="4.5" style="236" customWidth="1"/>
    <col min="19" max="19" width="3.1640625" style="236" customWidth="1"/>
    <col min="20" max="20" width="26.1640625" style="236" customWidth="1"/>
    <col min="21" max="21" width="14.83203125" style="114" customWidth="1"/>
    <col min="22" max="22" width="4.33203125" style="114" customWidth="1"/>
    <col min="23" max="23" width="13.6640625" style="114" customWidth="1"/>
    <col min="24" max="24" width="8.83203125" style="114"/>
    <col min="25" max="25" width="5.83203125" style="114" customWidth="1"/>
    <col min="26" max="26" width="3.1640625" style="114" customWidth="1"/>
    <col min="27" max="27" width="9.1640625" style="114" customWidth="1"/>
    <col min="28" max="16384" width="8.83203125" style="114"/>
  </cols>
  <sheetData>
    <row r="1" spans="1:20">
      <c r="A1" s="114"/>
      <c r="B1" s="114"/>
      <c r="C1" s="114"/>
      <c r="D1" s="114"/>
      <c r="E1" s="114"/>
      <c r="F1" s="118"/>
      <c r="G1" s="114"/>
      <c r="H1" s="114"/>
      <c r="I1" s="114"/>
      <c r="J1" s="114"/>
      <c r="K1" s="264"/>
      <c r="L1" s="114"/>
      <c r="M1" s="114"/>
      <c r="N1" s="114"/>
      <c r="O1" s="114"/>
      <c r="P1" s="114"/>
      <c r="Q1" s="114"/>
      <c r="R1" s="114"/>
      <c r="S1" s="114"/>
      <c r="T1" s="114"/>
    </row>
    <row r="2" spans="1:20">
      <c r="A2" s="114"/>
      <c r="B2" s="114"/>
      <c r="C2" s="114"/>
      <c r="D2" s="114"/>
      <c r="E2" s="114"/>
      <c r="F2" s="118"/>
      <c r="G2" s="114"/>
      <c r="H2" s="114"/>
      <c r="I2" s="114"/>
      <c r="J2" s="114"/>
      <c r="K2" s="264"/>
      <c r="L2" s="114"/>
      <c r="M2" s="114"/>
      <c r="N2" s="114"/>
      <c r="O2" s="114"/>
      <c r="P2" s="114"/>
      <c r="Q2" s="114"/>
      <c r="R2" s="114"/>
      <c r="S2" s="114"/>
      <c r="T2" s="114"/>
    </row>
    <row r="3" spans="1:20">
      <c r="A3" s="114"/>
      <c r="B3" s="114"/>
      <c r="C3" s="114"/>
      <c r="D3" s="114"/>
      <c r="E3" s="114"/>
      <c r="F3" s="118"/>
      <c r="G3" s="114"/>
      <c r="H3" s="114"/>
      <c r="I3" s="114"/>
      <c r="J3" s="114"/>
      <c r="K3" s="264"/>
      <c r="L3" s="114"/>
      <c r="M3" s="114"/>
      <c r="N3" s="114"/>
      <c r="O3" s="114"/>
      <c r="P3" s="114"/>
      <c r="Q3" s="114"/>
      <c r="R3" s="114"/>
      <c r="S3" s="114"/>
      <c r="T3" s="114"/>
    </row>
    <row r="4" spans="1:20">
      <c r="A4" s="114"/>
      <c r="B4" s="114"/>
      <c r="C4" s="114"/>
      <c r="D4" s="114"/>
      <c r="E4" s="114"/>
      <c r="F4" s="118"/>
      <c r="G4" s="114"/>
      <c r="H4" s="114"/>
      <c r="I4" s="114"/>
      <c r="J4" s="114"/>
      <c r="K4" s="264"/>
      <c r="L4" s="114"/>
      <c r="M4" s="114"/>
      <c r="N4" s="114"/>
      <c r="O4" s="114"/>
      <c r="P4" s="114"/>
      <c r="Q4" s="114"/>
      <c r="R4" s="114"/>
      <c r="S4" s="114"/>
      <c r="T4" s="114"/>
    </row>
    <row r="5" spans="1:20">
      <c r="A5" s="114"/>
      <c r="B5" s="114"/>
      <c r="C5" s="114"/>
      <c r="D5" s="114"/>
      <c r="E5" s="114"/>
      <c r="F5" s="118"/>
      <c r="G5" s="114"/>
      <c r="H5" s="114"/>
      <c r="I5" s="114"/>
      <c r="J5" s="114"/>
      <c r="K5" s="264"/>
      <c r="L5" s="114"/>
      <c r="M5" s="114"/>
      <c r="N5" s="114"/>
      <c r="O5" s="114"/>
      <c r="P5" s="114"/>
      <c r="Q5" s="114"/>
      <c r="R5" s="114"/>
      <c r="S5" s="114"/>
      <c r="T5" s="114"/>
    </row>
    <row r="6" spans="1:20">
      <c r="A6" s="114"/>
      <c r="B6" s="114"/>
      <c r="C6" s="114"/>
      <c r="D6" s="114"/>
      <c r="E6" s="114"/>
      <c r="F6" s="118"/>
      <c r="G6" s="114"/>
      <c r="H6" s="114"/>
      <c r="I6" s="114"/>
      <c r="J6" s="114"/>
      <c r="K6" s="264"/>
      <c r="L6" s="114"/>
      <c r="M6" s="114"/>
      <c r="N6" s="114"/>
      <c r="O6" s="114"/>
      <c r="P6" s="114"/>
      <c r="Q6" s="114"/>
      <c r="R6" s="114"/>
      <c r="S6" s="114"/>
      <c r="T6" s="114"/>
    </row>
    <row r="7" spans="1:20">
      <c r="A7" s="114"/>
      <c r="B7" s="114"/>
      <c r="C7" s="114"/>
      <c r="D7" s="114"/>
      <c r="E7" s="114"/>
      <c r="F7" s="118"/>
      <c r="G7" s="114"/>
      <c r="H7" s="114"/>
      <c r="I7" s="114"/>
      <c r="J7" s="114"/>
      <c r="K7" s="264"/>
      <c r="L7" s="114"/>
      <c r="M7" s="114"/>
      <c r="N7" s="114"/>
      <c r="O7" s="114"/>
      <c r="P7" s="114"/>
      <c r="Q7" s="114"/>
      <c r="R7" s="114"/>
      <c r="S7" s="114"/>
      <c r="T7" s="114"/>
    </row>
    <row r="8" spans="1:20">
      <c r="A8" s="114"/>
      <c r="B8" s="114"/>
      <c r="C8" s="114"/>
      <c r="D8" s="114"/>
      <c r="E8" s="114"/>
      <c r="F8" s="118"/>
      <c r="G8" s="114"/>
      <c r="H8" s="114"/>
      <c r="I8" s="114"/>
      <c r="J8" s="114"/>
      <c r="K8" s="264"/>
      <c r="L8" s="114"/>
      <c r="M8" s="114"/>
      <c r="N8" s="114"/>
      <c r="O8" s="114"/>
      <c r="P8" s="114"/>
      <c r="Q8" s="114"/>
      <c r="R8" s="114"/>
      <c r="S8" s="114"/>
      <c r="T8" s="114"/>
    </row>
    <row r="9" spans="1:20">
      <c r="A9" s="114"/>
      <c r="B9" s="114"/>
      <c r="C9" s="114"/>
      <c r="D9" s="114"/>
      <c r="E9" s="114"/>
      <c r="F9" s="118"/>
      <c r="G9" s="114"/>
      <c r="H9" s="114"/>
      <c r="I9" s="114"/>
      <c r="J9" s="114"/>
      <c r="K9" s="264"/>
      <c r="L9" s="114"/>
      <c r="M9" s="114"/>
      <c r="N9" s="114"/>
      <c r="O9" s="114"/>
      <c r="P9" s="114"/>
      <c r="Q9" s="114"/>
      <c r="R9" s="114"/>
      <c r="S9" s="114"/>
      <c r="T9" s="114"/>
    </row>
    <row r="10" spans="1:20">
      <c r="A10" s="114"/>
      <c r="B10" s="114"/>
      <c r="C10" s="114"/>
      <c r="D10" s="114"/>
      <c r="E10" s="114"/>
      <c r="F10" s="118"/>
      <c r="G10" s="114"/>
      <c r="H10" s="114"/>
      <c r="I10" s="114"/>
      <c r="J10" s="114"/>
      <c r="K10" s="264"/>
      <c r="L10" s="114"/>
      <c r="M10" s="114"/>
      <c r="N10" s="114"/>
      <c r="O10" s="114"/>
      <c r="P10" s="114"/>
      <c r="Q10" s="114"/>
      <c r="R10" s="114"/>
      <c r="S10" s="114"/>
      <c r="T10" s="114"/>
    </row>
    <row r="11" spans="1:20">
      <c r="A11" s="114"/>
      <c r="B11" s="114"/>
      <c r="C11" s="114"/>
      <c r="D11" s="114"/>
      <c r="E11" s="114"/>
      <c r="F11" s="118"/>
      <c r="G11" s="114"/>
      <c r="H11" s="114"/>
      <c r="I11" s="114"/>
      <c r="J11" s="114"/>
      <c r="K11" s="264"/>
      <c r="L11" s="114"/>
      <c r="M11" s="114"/>
      <c r="N11" s="114"/>
      <c r="O11" s="114"/>
      <c r="P11" s="114"/>
      <c r="Q11" s="114"/>
      <c r="R11" s="114"/>
      <c r="S11" s="114"/>
      <c r="T11" s="114"/>
    </row>
    <row r="12" spans="1:20">
      <c r="A12" s="114"/>
      <c r="B12" s="114"/>
      <c r="C12" s="114"/>
      <c r="D12" s="114"/>
      <c r="E12" s="114"/>
      <c r="F12" s="118"/>
      <c r="G12" s="114"/>
      <c r="H12" s="114"/>
      <c r="I12" s="114"/>
      <c r="J12" s="114"/>
      <c r="K12" s="264"/>
      <c r="L12" s="114"/>
      <c r="M12" s="114"/>
      <c r="N12" s="114"/>
      <c r="O12" s="114"/>
      <c r="P12" s="114"/>
      <c r="Q12" s="114"/>
      <c r="R12" s="114"/>
      <c r="S12" s="114"/>
      <c r="T12" s="114"/>
    </row>
    <row r="13" spans="1:20">
      <c r="A13" s="114"/>
      <c r="B13" s="114"/>
      <c r="C13" s="114"/>
      <c r="D13" s="114"/>
      <c r="E13" s="114"/>
      <c r="F13" s="118"/>
      <c r="G13" s="114"/>
      <c r="H13" s="114"/>
      <c r="I13" s="114"/>
      <c r="J13" s="114"/>
      <c r="K13" s="264"/>
      <c r="L13" s="114"/>
      <c r="M13" s="114"/>
      <c r="N13" s="114"/>
      <c r="O13" s="114"/>
      <c r="P13" s="114"/>
      <c r="Q13" s="114"/>
      <c r="R13" s="114"/>
      <c r="S13" s="114"/>
      <c r="T13" s="114"/>
    </row>
    <row r="14" spans="1:20">
      <c r="A14" s="114"/>
      <c r="B14" s="114"/>
      <c r="C14" s="114"/>
      <c r="D14" s="114"/>
      <c r="E14" s="114"/>
      <c r="F14" s="118"/>
      <c r="G14" s="114"/>
      <c r="H14" s="114"/>
      <c r="I14" s="114"/>
      <c r="J14" s="114"/>
      <c r="K14" s="264"/>
      <c r="L14" s="114"/>
      <c r="M14" s="114"/>
      <c r="N14" s="114"/>
      <c r="O14" s="114"/>
      <c r="P14" s="114"/>
      <c r="Q14" s="114"/>
      <c r="R14" s="114"/>
      <c r="S14" s="114"/>
      <c r="T14" s="114"/>
    </row>
    <row r="15" spans="1:20" hidden="1">
      <c r="A15" s="114"/>
      <c r="B15" s="114"/>
      <c r="C15" s="114"/>
      <c r="D15" s="114"/>
      <c r="E15" s="114"/>
      <c r="F15" s="118"/>
      <c r="G15" s="114"/>
      <c r="H15" s="114"/>
      <c r="I15" s="114"/>
      <c r="J15" s="114"/>
      <c r="K15" s="264"/>
      <c r="L15" s="114"/>
      <c r="M15" s="114"/>
      <c r="N15" s="114"/>
      <c r="O15" s="114"/>
      <c r="P15" s="114"/>
      <c r="Q15" s="114"/>
      <c r="R15" s="114"/>
      <c r="S15" s="114"/>
      <c r="T15" s="114"/>
    </row>
    <row r="16" spans="1:20" ht="16" hidden="1" thickBot="1">
      <c r="D16" s="114"/>
      <c r="E16" s="114"/>
      <c r="F16" s="114"/>
      <c r="G16" s="114"/>
      <c r="H16" s="419"/>
      <c r="I16" s="264"/>
      <c r="J16" s="114"/>
      <c r="K16" s="264"/>
      <c r="L16" s="114"/>
      <c r="M16" s="130"/>
      <c r="N16" s="114"/>
      <c r="O16" s="114"/>
      <c r="P16" s="114"/>
      <c r="Q16" s="114"/>
      <c r="R16" s="114"/>
      <c r="S16" s="114"/>
      <c r="T16" s="114"/>
    </row>
    <row r="17" spans="1:27" s="287" customFormat="1" ht="26.5" hidden="1" customHeight="1" thickBot="1">
      <c r="A17" s="286"/>
      <c r="B17" s="286"/>
      <c r="C17" s="286"/>
      <c r="F17" s="281" t="s">
        <v>174</v>
      </c>
      <c r="G17" s="282" t="str">
        <f>+'Dashboard Aifina'!G16</f>
        <v>October</v>
      </c>
      <c r="H17" s="282">
        <f>+VLOOKUP(G17,Reference!A2:B13,2,0)</f>
        <v>10</v>
      </c>
      <c r="I17" s="386">
        <v>2022</v>
      </c>
      <c r="K17" s="478"/>
    </row>
    <row r="18" spans="1:27">
      <c r="D18" s="114"/>
      <c r="E18" s="114"/>
      <c r="F18" s="118"/>
      <c r="G18" s="114"/>
      <c r="H18" s="114"/>
      <c r="I18" s="264"/>
      <c r="J18" s="114"/>
      <c r="K18" s="264"/>
      <c r="L18" s="114"/>
      <c r="M18" s="114"/>
      <c r="N18" s="114"/>
      <c r="O18" s="114"/>
      <c r="P18" s="114"/>
      <c r="Q18" s="114"/>
      <c r="R18" s="114"/>
      <c r="S18" s="114"/>
      <c r="T18" s="114"/>
    </row>
    <row r="19" spans="1:27" ht="16" thickBot="1">
      <c r="A19" s="236"/>
      <c r="B19" s="236"/>
      <c r="C19" s="236"/>
      <c r="U19" s="236"/>
      <c r="V19" s="236"/>
      <c r="W19" s="236"/>
      <c r="X19" s="236"/>
      <c r="Y19" s="236"/>
      <c r="Z19" s="236"/>
      <c r="AA19" s="236"/>
    </row>
    <row r="20" spans="1:27" s="204" customFormat="1" ht="21" customHeight="1" thickBot="1">
      <c r="A20" s="241"/>
      <c r="B20" s="241"/>
      <c r="C20" s="241"/>
      <c r="D20" s="244"/>
      <c r="E20" s="295"/>
      <c r="F20" s="525" t="s">
        <v>365</v>
      </c>
      <c r="G20" s="526" t="s">
        <v>366</v>
      </c>
      <c r="H20" s="470"/>
      <c r="I20" s="525" t="s">
        <v>376</v>
      </c>
      <c r="J20" s="770" t="s">
        <v>377</v>
      </c>
      <c r="K20" s="771"/>
      <c r="L20" s="495"/>
      <c r="M20" s="289"/>
      <c r="N20" s="289"/>
      <c r="O20" s="494"/>
      <c r="P20" s="292"/>
      <c r="Q20" s="292"/>
      <c r="R20" s="236"/>
      <c r="S20" s="236"/>
      <c r="T20" s="485"/>
      <c r="U20" s="244"/>
      <c r="V20" s="244"/>
      <c r="W20" s="244"/>
      <c r="X20" s="244"/>
      <c r="Y20" s="244"/>
      <c r="Z20" s="244"/>
      <c r="AA20" s="244"/>
    </row>
    <row r="21" spans="1:27" ht="18">
      <c r="O21" s="418"/>
      <c r="P21" s="418"/>
      <c r="Q21" s="418"/>
      <c r="U21" s="236"/>
      <c r="V21" s="236"/>
      <c r="W21" s="236"/>
      <c r="X21" s="236"/>
      <c r="Y21" s="236"/>
      <c r="Z21" s="236"/>
      <c r="AA21" s="236"/>
    </row>
    <row r="22" spans="1:27" s="204" customFormat="1" ht="21" customHeight="1">
      <c r="A22" s="241"/>
      <c r="B22" s="241"/>
      <c r="C22" s="241"/>
      <c r="D22" s="244"/>
      <c r="E22" s="295"/>
      <c r="F22" s="537" t="s">
        <v>396</v>
      </c>
      <c r="H22" s="409"/>
      <c r="I22" s="472"/>
      <c r="J22" s="409"/>
      <c r="K22" s="472"/>
      <c r="L22" s="409"/>
      <c r="M22" s="409"/>
      <c r="N22" s="277" t="s">
        <v>398</v>
      </c>
      <c r="O22" s="779">
        <v>45575</v>
      </c>
      <c r="P22" s="779"/>
      <c r="R22" s="606"/>
      <c r="S22" s="236"/>
      <c r="T22" s="485"/>
      <c r="U22" s="244"/>
      <c r="V22" s="244"/>
      <c r="W22" s="244"/>
      <c r="X22" s="244"/>
      <c r="Y22" s="244"/>
      <c r="Z22" s="244"/>
      <c r="AA22" s="244"/>
    </row>
    <row r="23" spans="1:27" ht="24.5" customHeight="1">
      <c r="B23" s="420" t="s">
        <v>163</v>
      </c>
      <c r="E23" s="293"/>
      <c r="F23" s="631" t="s">
        <v>970</v>
      </c>
      <c r="G23" s="503"/>
      <c r="H23" s="503"/>
      <c r="I23" s="504"/>
      <c r="J23" s="503"/>
      <c r="K23" s="504"/>
      <c r="L23" s="503"/>
      <c r="M23" s="253"/>
      <c r="N23" s="257"/>
      <c r="O23" s="409"/>
      <c r="P23" s="513"/>
      <c r="Q23" s="513"/>
      <c r="R23" s="474"/>
      <c r="S23" s="473"/>
      <c r="T23" s="495"/>
      <c r="U23" s="497"/>
      <c r="V23" s="473"/>
      <c r="W23" s="473"/>
      <c r="X23" s="473"/>
      <c r="Y23" s="473"/>
      <c r="Z23" s="236"/>
      <c r="AA23" s="236"/>
    </row>
    <row r="24" spans="1:27" ht="24.5" customHeight="1">
      <c r="B24" s="240"/>
      <c r="E24" s="293"/>
      <c r="F24" s="391"/>
      <c r="G24" s="519"/>
      <c r="H24" s="519"/>
      <c r="I24" s="504"/>
      <c r="J24" s="519"/>
      <c r="K24" s="504"/>
      <c r="L24" s="519"/>
      <c r="M24" s="253"/>
      <c r="N24" s="114"/>
      <c r="O24" s="409"/>
      <c r="P24" s="513"/>
      <c r="Q24" s="513"/>
      <c r="R24" s="474"/>
      <c r="S24" s="473"/>
      <c r="T24" s="495"/>
      <c r="U24" s="497"/>
      <c r="V24" s="473"/>
      <c r="W24" s="473"/>
      <c r="X24" s="473"/>
      <c r="Y24" s="473"/>
      <c r="Z24" s="236"/>
      <c r="AA24" s="236"/>
    </row>
    <row r="25" spans="1:27" ht="24.5" customHeight="1">
      <c r="E25" s="293"/>
      <c r="F25" s="391"/>
      <c r="G25" s="503"/>
      <c r="H25" s="503"/>
      <c r="I25" s="504"/>
      <c r="J25" s="503"/>
      <c r="K25" s="504"/>
      <c r="L25" s="503"/>
      <c r="M25" s="253"/>
      <c r="N25" s="114"/>
      <c r="O25" s="409"/>
      <c r="P25" s="513"/>
      <c r="Q25" s="513"/>
      <c r="R25" s="474"/>
      <c r="S25" s="473"/>
      <c r="T25" s="495"/>
      <c r="U25" s="497"/>
      <c r="V25" s="473"/>
      <c r="W25" s="473"/>
      <c r="X25" s="473"/>
      <c r="Y25" s="473"/>
      <c r="Z25" s="236"/>
      <c r="AA25" s="236"/>
    </row>
    <row r="26" spans="1:27" ht="24.5" customHeight="1">
      <c r="B26" s="240"/>
      <c r="E26" s="293"/>
      <c r="F26" s="335"/>
      <c r="G26" s="391"/>
      <c r="H26" s="391"/>
      <c r="I26" s="504"/>
      <c r="J26" s="391"/>
      <c r="K26" s="504"/>
      <c r="L26" s="503"/>
      <c r="M26" s="253"/>
      <c r="N26" s="114"/>
      <c r="O26" s="409"/>
      <c r="P26" s="510"/>
      <c r="Q26" s="510"/>
      <c r="R26" s="474"/>
      <c r="S26" s="473"/>
      <c r="T26" s="495"/>
      <c r="U26" s="497"/>
      <c r="V26" s="473"/>
      <c r="W26" s="473"/>
      <c r="X26" s="473"/>
      <c r="Y26" s="473"/>
      <c r="Z26" s="236"/>
      <c r="AA26" s="236"/>
    </row>
    <row r="27" spans="1:27" ht="19">
      <c r="B27" s="240"/>
      <c r="E27" s="293"/>
      <c r="F27" s="775"/>
      <c r="G27" s="775"/>
      <c r="H27" s="775"/>
      <c r="I27" s="264"/>
      <c r="J27" s="114"/>
      <c r="K27" s="509"/>
      <c r="L27" s="114"/>
      <c r="M27" s="114"/>
      <c r="N27" s="253"/>
      <c r="O27" s="114"/>
      <c r="P27" s="114"/>
      <c r="Q27" s="114"/>
      <c r="R27" s="474"/>
      <c r="S27" s="473"/>
      <c r="U27" s="236"/>
      <c r="V27" s="473"/>
      <c r="W27" s="473"/>
      <c r="X27" s="473"/>
      <c r="Y27" s="473"/>
      <c r="Z27" s="236"/>
      <c r="AA27" s="236"/>
    </row>
    <row r="28" spans="1:27">
      <c r="E28" s="293"/>
      <c r="F28" s="775"/>
      <c r="G28" s="775"/>
      <c r="H28" s="775"/>
      <c r="I28" s="479"/>
      <c r="J28" s="234"/>
      <c r="K28" s="479"/>
      <c r="L28" s="114"/>
      <c r="M28" s="114"/>
      <c r="N28" s="114"/>
      <c r="O28" s="114"/>
      <c r="P28" s="114"/>
      <c r="Q28" s="114"/>
      <c r="R28" s="114"/>
      <c r="U28" s="236"/>
      <c r="V28" s="236"/>
      <c r="W28" s="236"/>
      <c r="X28" s="236"/>
      <c r="Y28" s="236"/>
      <c r="Z28" s="236"/>
      <c r="AA28" s="236"/>
    </row>
    <row r="29" spans="1:27" ht="28.25" customHeight="1">
      <c r="B29" s="240"/>
      <c r="F29" s="506"/>
      <c r="G29" s="506"/>
      <c r="H29" s="506"/>
      <c r="I29" s="264"/>
      <c r="J29" s="114"/>
      <c r="K29" s="264"/>
      <c r="L29" s="114"/>
      <c r="M29" s="114"/>
      <c r="N29" s="114"/>
      <c r="O29" s="487"/>
      <c r="P29" s="114"/>
      <c r="Q29" s="114"/>
      <c r="R29" s="114"/>
      <c r="U29" s="236"/>
      <c r="V29" s="236"/>
      <c r="W29" s="236"/>
      <c r="X29" s="236"/>
      <c r="Y29" s="236"/>
      <c r="Z29" s="236"/>
      <c r="AA29" s="236"/>
    </row>
    <row r="30" spans="1:27" ht="19">
      <c r="A30" s="236"/>
      <c r="B30" s="469"/>
      <c r="C30" s="236"/>
      <c r="E30" s="293"/>
      <c r="F30" s="490"/>
      <c r="G30" s="490"/>
      <c r="H30" s="490"/>
      <c r="I30" s="490"/>
      <c r="J30" s="490"/>
      <c r="K30" s="490"/>
      <c r="L30" s="490"/>
      <c r="M30" s="114"/>
      <c r="N30" s="114"/>
      <c r="O30" s="511"/>
      <c r="P30" s="512"/>
      <c r="Q30" s="512"/>
      <c r="R30" s="512"/>
      <c r="S30" s="508"/>
      <c r="T30" s="508"/>
      <c r="U30" s="508"/>
      <c r="V30" s="508"/>
      <c r="W30" s="508"/>
      <c r="X30" s="508"/>
      <c r="Y30" s="508"/>
      <c r="Z30" s="236"/>
      <c r="AA30" s="236"/>
    </row>
    <row r="31" spans="1:27" ht="22">
      <c r="A31" s="236"/>
      <c r="B31" s="236"/>
      <c r="C31" s="236"/>
      <c r="E31" s="295"/>
      <c r="F31" s="490"/>
      <c r="G31" s="490"/>
      <c r="H31" s="490"/>
      <c r="I31" s="490"/>
      <c r="J31" s="490"/>
      <c r="K31" s="490"/>
      <c r="L31" s="490"/>
      <c r="M31" s="114"/>
      <c r="N31" s="114"/>
      <c r="O31" s="512"/>
      <c r="P31" s="512"/>
      <c r="Q31" s="512"/>
      <c r="R31" s="512"/>
      <c r="S31" s="508"/>
      <c r="T31" s="508"/>
      <c r="U31" s="508"/>
      <c r="V31" s="508"/>
      <c r="W31" s="508"/>
      <c r="X31" s="508"/>
      <c r="Y31" s="508"/>
      <c r="Z31" s="244"/>
      <c r="AA31" s="236"/>
    </row>
    <row r="32" spans="1:27" s="236" customFormat="1" ht="33.5" customHeight="1">
      <c r="B32" s="469"/>
      <c r="E32" s="293"/>
      <c r="F32" s="502"/>
      <c r="G32" s="502"/>
      <c r="H32" s="502"/>
      <c r="I32" s="502"/>
      <c r="J32" s="502"/>
      <c r="K32" s="502"/>
      <c r="L32" s="502"/>
      <c r="O32" s="508"/>
      <c r="P32" s="508"/>
      <c r="Q32" s="508"/>
      <c r="R32" s="508"/>
      <c r="S32" s="508"/>
      <c r="T32" s="508"/>
      <c r="U32" s="508"/>
      <c r="V32" s="508"/>
      <c r="W32" s="508"/>
      <c r="X32" s="508"/>
      <c r="Y32" s="508"/>
    </row>
    <row r="33" spans="1:27" s="204" customFormat="1" ht="21" customHeight="1">
      <c r="A33" s="241"/>
      <c r="B33" s="241"/>
      <c r="C33" s="241"/>
      <c r="D33" s="244"/>
      <c r="E33" s="295"/>
      <c r="F33" s="537" t="s">
        <v>397</v>
      </c>
      <c r="H33" s="409"/>
      <c r="I33" s="472"/>
      <c r="J33" s="409"/>
      <c r="K33" s="472"/>
      <c r="L33" s="409"/>
      <c r="M33" s="258"/>
      <c r="N33" s="258"/>
      <c r="O33" s="471"/>
      <c r="P33" s="277" t="s">
        <v>398</v>
      </c>
      <c r="Q33" s="277"/>
      <c r="R33" s="114"/>
      <c r="S33" s="236"/>
      <c r="T33" s="485"/>
      <c r="U33" s="244"/>
      <c r="V33" s="244"/>
      <c r="W33" s="244"/>
      <c r="X33" s="244"/>
      <c r="Y33" s="244"/>
      <c r="Z33" s="244"/>
      <c r="AA33" s="244"/>
    </row>
    <row r="34" spans="1:27" ht="24.5" customHeight="1">
      <c r="B34" s="420" t="s">
        <v>163</v>
      </c>
      <c r="E34" s="293"/>
      <c r="F34" s="632" t="s">
        <v>971</v>
      </c>
      <c r="G34" s="540"/>
      <c r="H34" s="540"/>
      <c r="I34" s="541"/>
      <c r="J34" s="539"/>
      <c r="K34" s="504"/>
      <c r="L34" s="542"/>
      <c r="M34" s="488"/>
      <c r="N34" s="543"/>
      <c r="O34" s="472"/>
      <c r="P34" s="513"/>
      <c r="Q34" s="513"/>
      <c r="R34" s="474"/>
      <c r="S34" s="473"/>
      <c r="T34" s="495"/>
      <c r="U34" s="497"/>
      <c r="V34" s="473"/>
      <c r="W34" s="473"/>
      <c r="X34" s="473"/>
      <c r="Y34" s="473"/>
      <c r="Z34" s="236"/>
      <c r="AA34" s="236"/>
    </row>
    <row r="35" spans="1:27" ht="24.5" customHeight="1">
      <c r="B35" s="240"/>
      <c r="E35" s="293"/>
      <c r="F35" s="539"/>
      <c r="G35" s="541"/>
      <c r="H35" s="541"/>
      <c r="I35" s="541"/>
      <c r="J35" s="539"/>
      <c r="K35" s="504"/>
      <c r="L35" s="504"/>
      <c r="M35" s="488"/>
      <c r="N35" s="264"/>
      <c r="O35" s="472"/>
      <c r="P35" s="513"/>
      <c r="Q35" s="513"/>
      <c r="R35" s="474"/>
      <c r="S35" s="473"/>
      <c r="T35" s="495"/>
      <c r="U35" s="497"/>
      <c r="V35" s="473"/>
      <c r="W35" s="473"/>
      <c r="X35" s="473"/>
      <c r="Y35" s="473"/>
      <c r="Z35" s="236"/>
      <c r="AA35" s="236"/>
    </row>
    <row r="36" spans="1:27" ht="24.5" customHeight="1">
      <c r="E36" s="293"/>
      <c r="F36" s="544"/>
      <c r="G36" s="540"/>
      <c r="H36" s="540"/>
      <c r="I36" s="541"/>
      <c r="J36" s="539"/>
      <c r="K36" s="504"/>
      <c r="L36" s="542"/>
      <c r="M36" s="488"/>
      <c r="N36" s="264"/>
      <c r="O36" s="472"/>
      <c r="P36" s="513"/>
      <c r="Q36" s="513"/>
      <c r="R36" s="474"/>
      <c r="S36" s="473"/>
      <c r="T36" s="495"/>
      <c r="U36" s="497"/>
      <c r="V36" s="473"/>
      <c r="W36" s="473"/>
      <c r="X36" s="473"/>
      <c r="Y36" s="473"/>
      <c r="Z36" s="236"/>
      <c r="AA36" s="236"/>
    </row>
    <row r="37" spans="1:27" ht="24.5" customHeight="1">
      <c r="B37" s="240"/>
      <c r="E37" s="293"/>
      <c r="F37" s="544"/>
      <c r="G37" s="544"/>
      <c r="H37" s="544"/>
      <c r="I37" s="541"/>
      <c r="J37" s="539"/>
      <c r="K37" s="504"/>
      <c r="L37" s="542"/>
      <c r="M37" s="488"/>
      <c r="N37" s="264"/>
      <c r="O37" s="472"/>
      <c r="P37" s="510"/>
      <c r="Q37" s="510"/>
      <c r="R37" s="474"/>
      <c r="S37" s="473"/>
      <c r="T37" s="495"/>
      <c r="U37" s="497"/>
      <c r="V37" s="473"/>
      <c r="W37" s="473"/>
      <c r="X37" s="473"/>
      <c r="Y37" s="473"/>
      <c r="Z37" s="236"/>
      <c r="AA37" s="236"/>
    </row>
    <row r="38" spans="1:27" ht="19">
      <c r="B38" s="240"/>
      <c r="E38" s="293"/>
      <c r="F38" s="539"/>
      <c r="G38" s="539"/>
      <c r="H38" s="539"/>
      <c r="I38" s="545"/>
      <c r="J38" s="539"/>
      <c r="K38" s="546"/>
      <c r="L38" s="264"/>
      <c r="M38" s="264"/>
      <c r="N38" s="488"/>
      <c r="O38" s="264"/>
      <c r="P38" s="264"/>
      <c r="Q38" s="264"/>
      <c r="R38" s="474"/>
      <c r="S38" s="473"/>
      <c r="U38" s="236"/>
      <c r="V38" s="473"/>
      <c r="W38" s="473"/>
      <c r="X38" s="473"/>
      <c r="Y38" s="473"/>
      <c r="Z38" s="236"/>
      <c r="AA38" s="236"/>
    </row>
    <row r="39" spans="1:27">
      <c r="E39" s="293"/>
      <c r="F39" s="547"/>
      <c r="G39" s="547"/>
      <c r="H39" s="547"/>
      <c r="I39" s="479"/>
      <c r="J39" s="479"/>
      <c r="K39" s="479"/>
      <c r="L39" s="264"/>
      <c r="M39" s="264"/>
      <c r="N39" s="264"/>
      <c r="O39" s="264"/>
      <c r="P39" s="264"/>
      <c r="Q39" s="264"/>
      <c r="R39" s="114"/>
      <c r="U39" s="236"/>
      <c r="V39" s="236"/>
      <c r="W39" s="236"/>
      <c r="X39" s="236"/>
      <c r="Y39" s="236"/>
      <c r="Z39" s="236"/>
      <c r="AA39" s="236"/>
    </row>
    <row r="40" spans="1:27" ht="28.25" customHeight="1">
      <c r="B40" s="240"/>
      <c r="F40" s="548"/>
      <c r="G40" s="548"/>
      <c r="H40" s="548"/>
      <c r="I40" s="264"/>
      <c r="J40" s="264"/>
      <c r="K40" s="264"/>
      <c r="L40" s="264"/>
      <c r="M40" s="264"/>
      <c r="N40" s="264"/>
      <c r="O40" s="549"/>
      <c r="P40" s="264"/>
      <c r="Q40" s="264"/>
      <c r="R40" s="114"/>
      <c r="U40" s="236"/>
      <c r="V40" s="236"/>
      <c r="W40" s="236"/>
      <c r="X40" s="236"/>
      <c r="Y40" s="236"/>
      <c r="Z40" s="236"/>
      <c r="AA40" s="236"/>
    </row>
    <row r="41" spans="1:27" ht="19">
      <c r="A41" s="236"/>
      <c r="B41" s="469"/>
      <c r="C41" s="236"/>
      <c r="E41" s="293"/>
      <c r="F41" s="550"/>
      <c r="G41" s="550"/>
      <c r="H41" s="550"/>
      <c r="I41" s="550"/>
      <c r="J41" s="550"/>
      <c r="K41" s="550"/>
      <c r="L41" s="550"/>
      <c r="M41" s="264"/>
      <c r="N41" s="264"/>
      <c r="O41" s="551"/>
      <c r="P41" s="552"/>
      <c r="Q41" s="552"/>
      <c r="R41" s="512"/>
      <c r="S41" s="508"/>
      <c r="T41" s="508"/>
      <c r="U41" s="508"/>
      <c r="V41" s="508"/>
      <c r="W41" s="508"/>
      <c r="X41" s="508"/>
      <c r="Y41" s="508"/>
      <c r="Z41" s="236"/>
      <c r="AA41" s="236"/>
    </row>
    <row r="42" spans="1:27" ht="22">
      <c r="A42" s="236"/>
      <c r="B42" s="236"/>
      <c r="C42" s="236"/>
      <c r="E42" s="295"/>
      <c r="F42" s="490"/>
      <c r="G42" s="490"/>
      <c r="H42" s="490"/>
      <c r="I42" s="490"/>
      <c r="J42" s="490"/>
      <c r="K42" s="490"/>
      <c r="L42" s="490"/>
      <c r="M42" s="114"/>
      <c r="N42" s="114"/>
      <c r="O42" s="512"/>
      <c r="P42" s="512"/>
      <c r="Q42" s="512"/>
      <c r="R42" s="512"/>
      <c r="S42" s="508"/>
      <c r="T42" s="508"/>
      <c r="U42" s="508"/>
      <c r="V42" s="508"/>
      <c r="W42" s="508"/>
      <c r="X42" s="508"/>
      <c r="Y42" s="508"/>
      <c r="Z42" s="244"/>
      <c r="AA42" s="236"/>
    </row>
    <row r="43" spans="1:27" ht="19">
      <c r="A43" s="236"/>
      <c r="B43" s="469"/>
      <c r="C43" s="236"/>
      <c r="E43" s="293"/>
      <c r="K43" s="480"/>
      <c r="U43" s="236"/>
      <c r="V43" s="236"/>
      <c r="W43" s="236"/>
      <c r="X43" s="236"/>
      <c r="Y43" s="236"/>
      <c r="Z43" s="236"/>
      <c r="AA43" s="236"/>
    </row>
    <row r="44" spans="1:27">
      <c r="F44" s="236"/>
      <c r="U44" s="236"/>
      <c r="V44" s="236"/>
      <c r="W44" s="236"/>
      <c r="X44" s="236"/>
      <c r="Y44" s="236"/>
      <c r="Z44" s="236"/>
      <c r="AA44" s="236"/>
    </row>
    <row r="45" spans="1:27">
      <c r="F45" s="236"/>
      <c r="U45" s="236"/>
      <c r="V45" s="236"/>
      <c r="W45" s="236"/>
      <c r="X45" s="236"/>
      <c r="Y45" s="236"/>
      <c r="Z45" s="236"/>
      <c r="AA45" s="236"/>
    </row>
    <row r="46" spans="1:27">
      <c r="F46" s="236"/>
      <c r="U46" s="236"/>
      <c r="V46" s="236"/>
      <c r="W46" s="236"/>
      <c r="X46" s="236"/>
      <c r="Y46" s="236"/>
      <c r="Z46" s="236"/>
      <c r="AA46" s="236"/>
    </row>
    <row r="47" spans="1:27">
      <c r="F47" s="236"/>
      <c r="U47" s="236"/>
      <c r="V47" s="236"/>
      <c r="W47" s="236"/>
      <c r="X47" s="236"/>
      <c r="Y47" s="236"/>
      <c r="Z47" s="236"/>
      <c r="AA47" s="236"/>
    </row>
    <row r="48" spans="1:27">
      <c r="F48" s="236"/>
      <c r="N48" s="459"/>
      <c r="O48" s="459"/>
      <c r="P48" s="459"/>
      <c r="Q48" s="459"/>
      <c r="R48" s="459"/>
      <c r="S48" s="459"/>
      <c r="T48" s="459"/>
      <c r="U48" s="459"/>
      <c r="V48" s="459"/>
      <c r="W48" s="459"/>
      <c r="X48" s="236"/>
      <c r="Y48" s="236"/>
      <c r="Z48" s="236"/>
      <c r="AA48" s="236"/>
    </row>
    <row r="49" spans="5:27">
      <c r="F49" s="236"/>
      <c r="O49" s="459"/>
      <c r="U49" s="236"/>
      <c r="V49" s="236"/>
      <c r="W49" s="236"/>
      <c r="X49" s="236"/>
      <c r="Y49" s="236"/>
      <c r="Z49" s="236"/>
      <c r="AA49" s="236"/>
    </row>
    <row r="50" spans="5:27">
      <c r="F50" s="236"/>
      <c r="U50" s="236"/>
      <c r="V50" s="236"/>
      <c r="W50" s="236"/>
      <c r="X50" s="236"/>
      <c r="Y50" s="236"/>
      <c r="Z50" s="236"/>
      <c r="AA50" s="236"/>
    </row>
    <row r="51" spans="5:27">
      <c r="F51" s="236"/>
      <c r="U51" s="236"/>
      <c r="V51" s="236"/>
      <c r="W51" s="236"/>
      <c r="X51" s="236"/>
      <c r="Y51" s="236"/>
      <c r="Z51" s="236"/>
      <c r="AA51" s="236"/>
    </row>
    <row r="52" spans="5:27">
      <c r="F52" s="236"/>
      <c r="U52" s="236"/>
      <c r="V52" s="236"/>
      <c r="W52" s="236"/>
      <c r="X52" s="236"/>
      <c r="Y52" s="236"/>
      <c r="Z52" s="236"/>
      <c r="AA52" s="236"/>
    </row>
    <row r="53" spans="5:27">
      <c r="F53" s="236"/>
      <c r="U53" s="236"/>
      <c r="V53" s="236"/>
      <c r="W53" s="236"/>
      <c r="X53" s="236"/>
      <c r="Y53" s="236"/>
      <c r="Z53" s="236"/>
      <c r="AA53" s="236"/>
    </row>
    <row r="54" spans="5:27">
      <c r="F54" s="236"/>
      <c r="U54" s="236"/>
      <c r="V54" s="236"/>
      <c r="W54" s="236"/>
      <c r="X54" s="236"/>
      <c r="Y54" s="236"/>
      <c r="Z54" s="236"/>
      <c r="AA54" s="236"/>
    </row>
    <row r="55" spans="5:27">
      <c r="F55" s="236"/>
      <c r="U55" s="236"/>
      <c r="V55" s="236"/>
      <c r="W55" s="236"/>
      <c r="X55" s="236"/>
      <c r="Y55" s="236"/>
      <c r="Z55" s="236"/>
      <c r="AA55" s="236"/>
    </row>
    <row r="56" spans="5:27">
      <c r="F56" s="236"/>
      <c r="U56" s="236"/>
      <c r="V56" s="236"/>
      <c r="W56" s="236"/>
      <c r="X56" s="236"/>
      <c r="Y56" s="236"/>
      <c r="Z56" s="236"/>
      <c r="AA56" s="236"/>
    </row>
    <row r="57" spans="5:27">
      <c r="F57" s="236"/>
      <c r="U57" s="236"/>
      <c r="V57" s="236"/>
      <c r="W57" s="236"/>
      <c r="X57" s="236"/>
      <c r="Y57" s="236"/>
      <c r="Z57" s="236"/>
      <c r="AA57" s="236"/>
    </row>
    <row r="58" spans="5:27">
      <c r="F58" s="236"/>
      <c r="U58" s="236"/>
      <c r="V58" s="236"/>
      <c r="W58" s="236"/>
      <c r="X58" s="236"/>
      <c r="Y58" s="236"/>
      <c r="Z58" s="236"/>
      <c r="AA58" s="236"/>
    </row>
    <row r="59" spans="5:27">
      <c r="F59" s="236"/>
      <c r="U59" s="236"/>
      <c r="V59" s="236"/>
      <c r="W59" s="236"/>
      <c r="X59" s="236"/>
      <c r="Y59" s="236"/>
      <c r="Z59" s="236"/>
      <c r="AA59" s="236"/>
    </row>
    <row r="60" spans="5:27">
      <c r="U60" s="236"/>
      <c r="V60" s="236"/>
      <c r="W60" s="236"/>
      <c r="X60" s="236"/>
      <c r="Y60" s="236"/>
      <c r="Z60" s="236"/>
      <c r="AA60" s="236"/>
    </row>
    <row r="61" spans="5:27">
      <c r="U61" s="236"/>
      <c r="V61" s="236"/>
      <c r="W61" s="236"/>
      <c r="X61" s="236"/>
      <c r="Y61" s="236"/>
      <c r="Z61" s="236"/>
      <c r="AA61" s="236"/>
    </row>
    <row r="62" spans="5:27">
      <c r="E62" s="114"/>
      <c r="F62" s="236"/>
      <c r="U62" s="236"/>
      <c r="V62" s="236"/>
      <c r="W62" s="236"/>
      <c r="X62" s="236"/>
      <c r="Y62" s="236"/>
      <c r="Z62" s="236"/>
      <c r="AA62" s="236"/>
    </row>
    <row r="63" spans="5:27">
      <c r="E63" s="114"/>
      <c r="F63" s="236"/>
      <c r="U63" s="236"/>
      <c r="V63" s="236"/>
      <c r="W63" s="236"/>
      <c r="X63" s="236"/>
      <c r="Y63" s="236"/>
      <c r="Z63" s="236"/>
      <c r="AA63" s="236"/>
    </row>
    <row r="64" spans="5:27">
      <c r="E64" s="114"/>
      <c r="F64" s="236"/>
      <c r="N64" s="236" t="s">
        <v>330</v>
      </c>
      <c r="U64" s="236"/>
      <c r="V64" s="236"/>
      <c r="W64" s="236"/>
      <c r="X64" s="236"/>
      <c r="Y64" s="236"/>
      <c r="Z64" s="236"/>
      <c r="AA64" s="236"/>
    </row>
    <row r="65" spans="5:27">
      <c r="E65" s="114"/>
      <c r="F65" s="236"/>
      <c r="U65" s="236"/>
      <c r="V65" s="236"/>
      <c r="W65" s="236"/>
      <c r="X65" s="236"/>
      <c r="Y65" s="236"/>
      <c r="Z65" s="236"/>
      <c r="AA65" s="236"/>
    </row>
    <row r="66" spans="5:27">
      <c r="E66" s="114"/>
      <c r="F66" s="236"/>
      <c r="U66" s="236"/>
      <c r="V66" s="236"/>
      <c r="W66" s="236"/>
      <c r="X66" s="236"/>
      <c r="Y66" s="236"/>
      <c r="Z66" s="236"/>
      <c r="AA66" s="236"/>
    </row>
    <row r="67" spans="5:27">
      <c r="E67" s="114"/>
      <c r="F67" s="236"/>
      <c r="U67" s="236"/>
      <c r="V67" s="236"/>
      <c r="W67" s="236"/>
      <c r="X67" s="236"/>
      <c r="Y67" s="236"/>
      <c r="Z67" s="236"/>
      <c r="AA67" s="236"/>
    </row>
    <row r="68" spans="5:27">
      <c r="E68" s="114"/>
      <c r="F68" s="236"/>
      <c r="U68" s="236"/>
      <c r="V68" s="236"/>
      <c r="W68" s="236"/>
      <c r="X68" s="236"/>
      <c r="Y68" s="236"/>
      <c r="Z68" s="236"/>
      <c r="AA68" s="236"/>
    </row>
    <row r="69" spans="5:27">
      <c r="E69" s="114"/>
      <c r="F69" s="236"/>
      <c r="U69" s="236"/>
      <c r="V69" s="236"/>
      <c r="W69" s="236"/>
      <c r="X69" s="236"/>
      <c r="Y69" s="236"/>
      <c r="Z69" s="236"/>
      <c r="AA69" s="236"/>
    </row>
    <row r="70" spans="5:27">
      <c r="E70" s="114"/>
      <c r="F70" s="236"/>
      <c r="U70" s="236"/>
      <c r="V70" s="236"/>
      <c r="W70" s="236"/>
      <c r="X70" s="236"/>
      <c r="Y70" s="236"/>
      <c r="Z70" s="236"/>
      <c r="AA70" s="236"/>
    </row>
    <row r="71" spans="5:27">
      <c r="E71" s="114"/>
      <c r="F71" s="236"/>
      <c r="U71" s="236"/>
      <c r="V71" s="236"/>
      <c r="W71" s="236"/>
      <c r="X71" s="236"/>
      <c r="Y71" s="236"/>
      <c r="Z71" s="236"/>
      <c r="AA71" s="236"/>
    </row>
    <row r="72" spans="5:27">
      <c r="E72" s="114"/>
      <c r="F72" s="236"/>
      <c r="U72" s="236"/>
      <c r="V72" s="236"/>
      <c r="W72" s="236"/>
      <c r="X72" s="236"/>
      <c r="Y72" s="236"/>
      <c r="Z72" s="236"/>
      <c r="AA72" s="236"/>
    </row>
    <row r="73" spans="5:27">
      <c r="F73" s="236"/>
      <c r="U73" s="236"/>
      <c r="V73" s="236"/>
      <c r="W73" s="236"/>
      <c r="X73" s="236"/>
      <c r="Y73" s="236"/>
      <c r="Z73" s="236"/>
      <c r="AA73" s="236"/>
    </row>
    <row r="74" spans="5:27">
      <c r="U74" s="236"/>
      <c r="V74" s="236"/>
      <c r="W74" s="236"/>
      <c r="X74" s="236"/>
      <c r="Y74" s="236"/>
      <c r="Z74" s="236"/>
      <c r="AA74" s="236"/>
    </row>
    <row r="75" spans="5:27">
      <c r="U75" s="236"/>
      <c r="V75" s="236"/>
      <c r="W75" s="236"/>
      <c r="X75" s="236"/>
      <c r="Y75" s="236"/>
      <c r="Z75" s="236"/>
      <c r="AA75" s="236"/>
    </row>
    <row r="76" spans="5:27">
      <c r="U76" s="236"/>
      <c r="V76" s="236"/>
      <c r="W76" s="236"/>
      <c r="X76" s="236"/>
      <c r="Y76" s="236"/>
      <c r="Z76" s="236"/>
      <c r="AA76" s="236"/>
    </row>
    <row r="77" spans="5:27">
      <c r="U77" s="236"/>
      <c r="V77" s="236"/>
      <c r="W77" s="236"/>
      <c r="X77" s="236"/>
      <c r="Y77" s="236"/>
      <c r="Z77" s="236"/>
      <c r="AA77" s="236"/>
    </row>
    <row r="78" spans="5:27">
      <c r="U78" s="236"/>
      <c r="V78" s="236"/>
      <c r="W78" s="236"/>
      <c r="X78" s="236"/>
      <c r="Y78" s="236"/>
      <c r="Z78" s="236"/>
      <c r="AA78" s="236"/>
    </row>
    <row r="79" spans="5:27">
      <c r="U79" s="236"/>
      <c r="V79" s="236"/>
      <c r="W79" s="236"/>
      <c r="X79" s="236"/>
      <c r="Y79" s="236"/>
      <c r="Z79" s="236"/>
      <c r="AA79" s="236"/>
    </row>
    <row r="80" spans="5:27">
      <c r="U80" s="236"/>
      <c r="V80" s="236"/>
      <c r="W80" s="236"/>
      <c r="X80" s="236"/>
      <c r="Y80" s="236"/>
      <c r="Z80" s="236"/>
      <c r="AA80" s="236"/>
    </row>
    <row r="81" spans="21:27">
      <c r="U81" s="236"/>
      <c r="V81" s="236"/>
      <c r="W81" s="236"/>
      <c r="X81" s="236"/>
      <c r="Y81" s="236"/>
      <c r="Z81" s="236"/>
      <c r="AA81" s="236"/>
    </row>
    <row r="82" spans="21:27">
      <c r="U82" s="236"/>
      <c r="V82" s="236"/>
      <c r="W82" s="236"/>
      <c r="X82" s="236"/>
      <c r="Y82" s="236"/>
      <c r="Z82" s="236"/>
      <c r="AA82" s="236"/>
    </row>
    <row r="83" spans="21:27">
      <c r="U83" s="236"/>
      <c r="V83" s="236"/>
      <c r="W83" s="236"/>
      <c r="X83" s="236"/>
      <c r="Y83" s="236"/>
      <c r="Z83" s="236"/>
      <c r="AA83" s="236"/>
    </row>
    <row r="84" spans="21:27">
      <c r="U84" s="236"/>
      <c r="V84" s="236"/>
      <c r="W84" s="236"/>
      <c r="X84" s="236"/>
      <c r="Y84" s="236"/>
      <c r="Z84" s="236"/>
      <c r="AA84" s="236"/>
    </row>
    <row r="85" spans="21:27">
      <c r="U85" s="236"/>
      <c r="V85" s="236"/>
      <c r="W85" s="236"/>
      <c r="X85" s="236"/>
      <c r="Y85" s="236"/>
      <c r="Z85" s="236"/>
      <c r="AA85" s="236"/>
    </row>
    <row r="86" spans="21:27">
      <c r="U86" s="236"/>
      <c r="V86" s="236"/>
      <c r="W86" s="236"/>
      <c r="X86" s="236"/>
      <c r="Y86" s="236"/>
      <c r="Z86" s="236"/>
      <c r="AA86" s="236"/>
    </row>
    <row r="87" spans="21:27">
      <c r="U87" s="236"/>
      <c r="V87" s="236"/>
      <c r="W87" s="236"/>
      <c r="X87" s="236"/>
      <c r="Y87" s="236"/>
      <c r="Z87" s="236"/>
      <c r="AA87" s="236"/>
    </row>
    <row r="88" spans="21:27">
      <c r="U88" s="236"/>
      <c r="V88" s="236"/>
      <c r="W88" s="236"/>
      <c r="X88" s="236"/>
      <c r="Y88" s="236"/>
      <c r="Z88" s="236"/>
      <c r="AA88" s="236"/>
    </row>
    <row r="89" spans="21:27">
      <c r="U89" s="236"/>
      <c r="V89" s="236"/>
      <c r="W89" s="236"/>
      <c r="X89" s="236"/>
      <c r="Y89" s="236"/>
      <c r="Z89" s="236"/>
      <c r="AA89" s="236"/>
    </row>
    <row r="90" spans="21:27">
      <c r="U90" s="236"/>
      <c r="V90" s="236"/>
      <c r="W90" s="236"/>
      <c r="X90" s="236"/>
      <c r="Y90" s="236"/>
      <c r="Z90" s="236"/>
      <c r="AA90" s="236"/>
    </row>
    <row r="91" spans="21:27">
      <c r="U91" s="236"/>
      <c r="V91" s="236"/>
      <c r="W91" s="236"/>
      <c r="X91" s="236"/>
      <c r="Y91" s="236"/>
      <c r="Z91" s="236"/>
      <c r="AA91" s="236"/>
    </row>
    <row r="92" spans="21:27">
      <c r="U92" s="236"/>
      <c r="V92" s="236"/>
      <c r="W92" s="236"/>
      <c r="X92" s="236"/>
      <c r="Y92" s="236"/>
      <c r="Z92" s="236"/>
      <c r="AA92" s="236"/>
    </row>
    <row r="93" spans="21:27">
      <c r="U93" s="236"/>
      <c r="V93" s="236"/>
      <c r="W93" s="236"/>
      <c r="X93" s="236"/>
      <c r="Y93" s="236"/>
      <c r="Z93" s="236"/>
      <c r="AA93" s="236"/>
    </row>
    <row r="94" spans="21:27">
      <c r="U94" s="236"/>
      <c r="V94" s="236"/>
      <c r="W94" s="236"/>
      <c r="X94" s="236"/>
      <c r="Y94" s="236"/>
      <c r="Z94" s="236"/>
      <c r="AA94" s="236"/>
    </row>
    <row r="95" spans="21:27">
      <c r="U95" s="236"/>
      <c r="V95" s="236"/>
      <c r="W95" s="236"/>
      <c r="X95" s="236"/>
      <c r="Y95" s="236"/>
      <c r="Z95" s="236"/>
      <c r="AA95" s="236"/>
    </row>
    <row r="96" spans="21:27">
      <c r="U96" s="236"/>
      <c r="V96" s="236"/>
      <c r="W96" s="236"/>
      <c r="X96" s="236"/>
      <c r="Y96" s="236"/>
      <c r="Z96" s="236"/>
      <c r="AA96" s="236"/>
    </row>
    <row r="97" spans="21:27">
      <c r="U97" s="236"/>
      <c r="V97" s="236"/>
      <c r="W97" s="236"/>
      <c r="X97" s="236"/>
      <c r="Y97" s="236"/>
      <c r="Z97" s="236"/>
      <c r="AA97" s="236"/>
    </row>
    <row r="98" spans="21:27">
      <c r="U98" s="236"/>
      <c r="V98" s="236"/>
      <c r="W98" s="236"/>
      <c r="X98" s="236"/>
      <c r="Y98" s="236"/>
      <c r="Z98" s="236"/>
      <c r="AA98" s="236"/>
    </row>
    <row r="99" spans="21:27">
      <c r="U99" s="236"/>
      <c r="V99" s="236"/>
      <c r="W99" s="236"/>
      <c r="X99" s="236"/>
      <c r="Y99" s="236"/>
      <c r="Z99" s="236"/>
      <c r="AA99" s="236"/>
    </row>
    <row r="100" spans="21:27">
      <c r="U100" s="236"/>
      <c r="V100" s="236"/>
      <c r="W100" s="236"/>
      <c r="X100" s="236"/>
      <c r="Y100" s="236"/>
      <c r="Z100" s="236"/>
      <c r="AA100" s="236"/>
    </row>
    <row r="101" spans="21:27">
      <c r="U101" s="236"/>
      <c r="V101" s="236"/>
      <c r="W101" s="236"/>
      <c r="X101" s="236"/>
      <c r="Y101" s="236"/>
      <c r="Z101" s="236"/>
      <c r="AA101" s="236"/>
    </row>
    <row r="102" spans="21:27">
      <c r="U102" s="236"/>
      <c r="V102" s="236"/>
      <c r="W102" s="236"/>
      <c r="X102" s="236"/>
      <c r="Y102" s="236"/>
      <c r="Z102" s="236"/>
      <c r="AA102" s="236"/>
    </row>
    <row r="103" spans="21:27">
      <c r="U103" s="236"/>
      <c r="V103" s="236"/>
      <c r="W103" s="236"/>
      <c r="X103" s="236"/>
      <c r="Y103" s="236"/>
      <c r="Z103" s="236"/>
      <c r="AA103" s="236"/>
    </row>
    <row r="104" spans="21:27">
      <c r="U104" s="236"/>
      <c r="V104" s="236"/>
      <c r="W104" s="236"/>
      <c r="X104" s="236"/>
      <c r="Y104" s="236"/>
      <c r="Z104" s="236"/>
      <c r="AA104" s="236"/>
    </row>
    <row r="105" spans="21:27">
      <c r="U105" s="236"/>
      <c r="V105" s="236"/>
      <c r="W105" s="236"/>
      <c r="X105" s="236"/>
      <c r="Y105" s="236"/>
      <c r="Z105" s="236"/>
      <c r="AA105" s="236"/>
    </row>
    <row r="106" spans="21:27">
      <c r="U106" s="236"/>
      <c r="V106" s="236"/>
      <c r="W106" s="236"/>
      <c r="X106" s="236"/>
      <c r="Y106" s="236"/>
      <c r="Z106" s="236"/>
      <c r="AA106" s="236"/>
    </row>
    <row r="107" spans="21:27">
      <c r="U107" s="236"/>
      <c r="V107" s="236"/>
      <c r="W107" s="236"/>
      <c r="X107" s="236"/>
      <c r="Y107" s="236"/>
      <c r="Z107" s="236"/>
      <c r="AA107" s="236"/>
    </row>
    <row r="108" spans="21:27">
      <c r="U108" s="236"/>
      <c r="V108" s="236"/>
      <c r="W108" s="236"/>
      <c r="X108" s="236"/>
      <c r="Y108" s="236"/>
      <c r="Z108" s="236"/>
      <c r="AA108" s="236"/>
    </row>
    <row r="109" spans="21:27">
      <c r="U109" s="236"/>
      <c r="V109" s="236"/>
      <c r="W109" s="236"/>
      <c r="X109" s="236"/>
      <c r="Y109" s="236"/>
      <c r="Z109" s="236"/>
      <c r="AA109" s="236"/>
    </row>
    <row r="110" spans="21:27">
      <c r="U110" s="236"/>
      <c r="V110" s="236"/>
      <c r="W110" s="236"/>
      <c r="X110" s="236"/>
      <c r="Y110" s="236"/>
      <c r="Z110" s="236"/>
      <c r="AA110" s="236"/>
    </row>
    <row r="111" spans="21:27">
      <c r="U111" s="236"/>
      <c r="V111" s="236"/>
      <c r="W111" s="236"/>
      <c r="X111" s="236"/>
      <c r="Y111" s="236"/>
      <c r="Z111" s="236"/>
      <c r="AA111" s="236"/>
    </row>
    <row r="112" spans="21:27">
      <c r="U112" s="236"/>
      <c r="V112" s="236"/>
      <c r="W112" s="236"/>
      <c r="X112" s="236"/>
      <c r="Y112" s="236"/>
      <c r="Z112" s="236"/>
      <c r="AA112" s="236"/>
    </row>
    <row r="113" spans="21:27">
      <c r="U113" s="236"/>
      <c r="V113" s="236"/>
      <c r="W113" s="236"/>
      <c r="X113" s="236"/>
      <c r="Y113" s="236"/>
      <c r="Z113" s="236"/>
      <c r="AA113" s="236"/>
    </row>
    <row r="114" spans="21:27">
      <c r="U114" s="236"/>
      <c r="V114" s="236"/>
      <c r="W114" s="236"/>
      <c r="X114" s="236"/>
      <c r="Y114" s="236"/>
      <c r="Z114" s="236"/>
      <c r="AA114" s="236"/>
    </row>
    <row r="115" spans="21:27">
      <c r="U115" s="236"/>
      <c r="V115" s="236"/>
      <c r="W115" s="236"/>
      <c r="X115" s="236"/>
      <c r="Y115" s="236"/>
      <c r="Z115" s="236"/>
      <c r="AA115" s="236"/>
    </row>
    <row r="116" spans="21:27">
      <c r="U116" s="236"/>
      <c r="V116" s="236"/>
      <c r="W116" s="236"/>
      <c r="X116" s="236"/>
      <c r="Y116" s="236"/>
      <c r="Z116" s="236"/>
      <c r="AA116" s="236"/>
    </row>
    <row r="117" spans="21:27">
      <c r="U117" s="236"/>
      <c r="V117" s="236"/>
      <c r="W117" s="236"/>
      <c r="X117" s="236"/>
      <c r="Y117" s="236"/>
      <c r="Z117" s="236"/>
      <c r="AA117" s="236"/>
    </row>
    <row r="118" spans="21:27">
      <c r="U118" s="236"/>
      <c r="V118" s="236"/>
      <c r="W118" s="236"/>
      <c r="X118" s="236"/>
      <c r="Y118" s="236"/>
      <c r="Z118" s="236"/>
      <c r="AA118" s="236"/>
    </row>
    <row r="119" spans="21:27">
      <c r="U119" s="236"/>
      <c r="V119" s="236"/>
      <c r="W119" s="236"/>
      <c r="X119" s="236"/>
      <c r="Y119" s="236"/>
      <c r="Z119" s="236"/>
      <c r="AA119" s="236"/>
    </row>
    <row r="120" spans="21:27">
      <c r="U120" s="236"/>
      <c r="V120" s="236"/>
      <c r="W120" s="236"/>
      <c r="X120" s="236"/>
      <c r="Y120" s="236"/>
      <c r="Z120" s="236"/>
      <c r="AA120" s="236"/>
    </row>
    <row r="121" spans="21:27">
      <c r="U121" s="236"/>
      <c r="V121" s="236"/>
      <c r="W121" s="236"/>
      <c r="X121" s="236"/>
      <c r="Y121" s="236"/>
      <c r="Z121" s="236"/>
      <c r="AA121" s="236"/>
    </row>
    <row r="122" spans="21:27">
      <c r="U122" s="236"/>
      <c r="V122" s="236"/>
      <c r="W122" s="236"/>
      <c r="X122" s="236"/>
      <c r="Y122" s="236"/>
      <c r="Z122" s="236"/>
      <c r="AA122" s="236"/>
    </row>
    <row r="123" spans="21:27">
      <c r="U123" s="236"/>
      <c r="V123" s="236"/>
      <c r="W123" s="236"/>
      <c r="X123" s="236"/>
      <c r="Y123" s="236"/>
      <c r="Z123" s="236"/>
      <c r="AA123" s="236"/>
    </row>
    <row r="124" spans="21:27">
      <c r="U124" s="236"/>
      <c r="V124" s="236"/>
      <c r="W124" s="236"/>
      <c r="X124" s="236"/>
      <c r="Y124" s="236"/>
      <c r="Z124" s="236"/>
      <c r="AA124" s="236"/>
    </row>
    <row r="125" spans="21:27">
      <c r="U125" s="236"/>
      <c r="V125" s="236"/>
      <c r="W125" s="236"/>
      <c r="X125" s="236"/>
      <c r="Y125" s="236"/>
      <c r="Z125" s="236"/>
      <c r="AA125" s="236"/>
    </row>
    <row r="126" spans="21:27">
      <c r="U126" s="236"/>
      <c r="V126" s="236"/>
      <c r="W126" s="236"/>
      <c r="X126" s="236"/>
      <c r="Y126" s="236"/>
      <c r="Z126" s="236"/>
      <c r="AA126" s="236"/>
    </row>
    <row r="127" spans="21:27">
      <c r="U127" s="236"/>
      <c r="V127" s="236"/>
      <c r="W127" s="236"/>
      <c r="X127" s="236"/>
      <c r="Y127" s="236"/>
      <c r="Z127" s="236"/>
      <c r="AA127" s="236"/>
    </row>
    <row r="128" spans="21:27">
      <c r="U128" s="236"/>
      <c r="V128" s="236"/>
      <c r="W128" s="236"/>
      <c r="X128" s="236"/>
      <c r="Y128" s="236"/>
      <c r="Z128" s="236"/>
      <c r="AA128" s="236"/>
    </row>
    <row r="129" spans="21:27">
      <c r="U129" s="236"/>
      <c r="V129" s="236"/>
      <c r="W129" s="236"/>
      <c r="X129" s="236"/>
      <c r="Y129" s="236"/>
      <c r="Z129" s="236"/>
      <c r="AA129" s="236"/>
    </row>
    <row r="130" spans="21:27">
      <c r="U130" s="236"/>
      <c r="V130" s="236"/>
      <c r="W130" s="236"/>
      <c r="X130" s="236"/>
      <c r="Y130" s="236"/>
      <c r="Z130" s="236"/>
      <c r="AA130" s="236"/>
    </row>
    <row r="131" spans="21:27">
      <c r="U131" s="236"/>
      <c r="V131" s="236"/>
      <c r="W131" s="236"/>
      <c r="X131" s="236"/>
      <c r="Y131" s="236"/>
      <c r="Z131" s="236"/>
      <c r="AA131" s="236"/>
    </row>
    <row r="132" spans="21:27">
      <c r="U132" s="236"/>
      <c r="V132" s="236"/>
      <c r="W132" s="236"/>
      <c r="X132" s="236"/>
      <c r="Y132" s="236"/>
      <c r="Z132" s="236"/>
      <c r="AA132" s="236"/>
    </row>
    <row r="133" spans="21:27">
      <c r="U133" s="236"/>
      <c r="V133" s="236"/>
      <c r="W133" s="236"/>
      <c r="X133" s="236"/>
      <c r="Y133" s="236"/>
      <c r="Z133" s="236"/>
      <c r="AA133" s="236"/>
    </row>
    <row r="134" spans="21:27">
      <c r="U134" s="236"/>
      <c r="V134" s="236"/>
      <c r="W134" s="236"/>
      <c r="X134" s="236"/>
      <c r="Y134" s="236"/>
      <c r="Z134" s="236"/>
      <c r="AA134" s="236"/>
    </row>
    <row r="135" spans="21:27">
      <c r="U135" s="236"/>
      <c r="V135" s="236"/>
      <c r="W135" s="236"/>
      <c r="X135" s="236"/>
      <c r="Y135" s="236"/>
      <c r="Z135" s="236"/>
      <c r="AA135" s="236"/>
    </row>
    <row r="136" spans="21:27">
      <c r="U136" s="236"/>
      <c r="V136" s="236"/>
      <c r="W136" s="236"/>
      <c r="X136" s="236"/>
      <c r="Y136" s="236"/>
      <c r="Z136" s="236"/>
      <c r="AA136" s="236"/>
    </row>
    <row r="137" spans="21:27">
      <c r="U137" s="236"/>
      <c r="V137" s="236"/>
      <c r="W137" s="236"/>
      <c r="X137" s="236"/>
      <c r="Y137" s="236"/>
      <c r="Z137" s="236"/>
      <c r="AA137" s="236"/>
    </row>
    <row r="138" spans="21:27">
      <c r="U138" s="236"/>
      <c r="V138" s="236"/>
      <c r="W138" s="236"/>
      <c r="X138" s="236"/>
      <c r="Y138" s="236"/>
      <c r="Z138" s="236"/>
      <c r="AA138" s="236"/>
    </row>
    <row r="139" spans="21:27">
      <c r="U139" s="236"/>
      <c r="V139" s="236"/>
      <c r="W139" s="236"/>
      <c r="X139" s="236"/>
      <c r="Y139" s="236"/>
      <c r="Z139" s="236"/>
      <c r="AA139" s="236"/>
    </row>
    <row r="140" spans="21:27">
      <c r="U140" s="236"/>
      <c r="V140" s="236"/>
      <c r="W140" s="236"/>
      <c r="X140" s="236"/>
      <c r="Y140" s="236"/>
      <c r="Z140" s="236"/>
      <c r="AA140" s="236"/>
    </row>
    <row r="141" spans="21:27">
      <c r="U141" s="236"/>
      <c r="V141" s="236"/>
      <c r="W141" s="236"/>
      <c r="X141" s="236"/>
      <c r="Y141" s="236"/>
      <c r="Z141" s="236"/>
      <c r="AA141" s="236"/>
    </row>
    <row r="142" spans="21:27">
      <c r="U142" s="236"/>
      <c r="V142" s="236"/>
      <c r="W142" s="236"/>
      <c r="X142" s="236"/>
      <c r="Y142" s="236"/>
      <c r="Z142" s="236"/>
      <c r="AA142" s="236"/>
    </row>
    <row r="143" spans="21:27">
      <c r="U143" s="236"/>
      <c r="V143" s="236"/>
      <c r="W143" s="236"/>
      <c r="X143" s="236"/>
      <c r="Y143" s="236"/>
      <c r="Z143" s="236"/>
      <c r="AA143" s="236"/>
    </row>
    <row r="144" spans="21:27">
      <c r="U144" s="236"/>
      <c r="V144" s="236"/>
      <c r="W144" s="236"/>
      <c r="X144" s="236"/>
      <c r="Y144" s="236"/>
      <c r="Z144" s="236"/>
      <c r="AA144" s="236"/>
    </row>
    <row r="145" spans="21:27">
      <c r="U145" s="236"/>
      <c r="V145" s="236"/>
      <c r="W145" s="236"/>
      <c r="X145" s="236"/>
      <c r="Y145" s="236"/>
      <c r="Z145" s="236"/>
      <c r="AA145" s="236"/>
    </row>
    <row r="146" spans="21:27">
      <c r="U146" s="236"/>
      <c r="V146" s="236"/>
      <c r="W146" s="236"/>
      <c r="X146" s="236"/>
      <c r="Y146" s="236"/>
      <c r="Z146" s="236"/>
      <c r="AA146" s="236"/>
    </row>
    <row r="147" spans="21:27">
      <c r="U147" s="236"/>
      <c r="V147" s="236"/>
      <c r="W147" s="236"/>
      <c r="X147" s="236"/>
      <c r="Y147" s="236"/>
      <c r="Z147" s="236"/>
      <c r="AA147" s="236"/>
    </row>
    <row r="148" spans="21:27">
      <c r="U148" s="236"/>
      <c r="V148" s="236"/>
      <c r="W148" s="236"/>
      <c r="X148" s="236"/>
      <c r="Y148" s="236"/>
      <c r="Z148" s="236"/>
      <c r="AA148" s="236"/>
    </row>
    <row r="149" spans="21:27">
      <c r="U149" s="236"/>
      <c r="V149" s="236"/>
      <c r="W149" s="236"/>
      <c r="X149" s="236"/>
      <c r="Y149" s="236"/>
      <c r="Z149" s="236"/>
      <c r="AA149" s="236"/>
    </row>
    <row r="150" spans="21:27">
      <c r="U150" s="236"/>
      <c r="V150" s="236"/>
      <c r="W150" s="236"/>
      <c r="X150" s="236"/>
      <c r="Y150" s="236"/>
      <c r="Z150" s="236"/>
      <c r="AA150" s="236"/>
    </row>
    <row r="151" spans="21:27">
      <c r="U151" s="236"/>
      <c r="V151" s="236"/>
      <c r="W151" s="236"/>
      <c r="X151" s="236"/>
      <c r="Y151" s="236"/>
      <c r="Z151" s="236"/>
      <c r="AA151" s="236"/>
    </row>
    <row r="152" spans="21:27">
      <c r="U152" s="236"/>
      <c r="V152" s="236"/>
      <c r="W152" s="236"/>
      <c r="X152" s="236"/>
      <c r="Y152" s="236"/>
      <c r="Z152" s="236"/>
      <c r="AA152" s="236"/>
    </row>
    <row r="153" spans="21:27">
      <c r="U153" s="236"/>
      <c r="V153" s="236"/>
      <c r="W153" s="236"/>
      <c r="X153" s="236"/>
      <c r="Y153" s="236"/>
      <c r="Z153" s="236"/>
      <c r="AA153" s="236"/>
    </row>
    <row r="154" spans="21:27">
      <c r="U154" s="236"/>
      <c r="V154" s="236"/>
      <c r="W154" s="236"/>
      <c r="X154" s="236"/>
      <c r="Y154" s="236"/>
      <c r="Z154" s="236"/>
      <c r="AA154" s="236"/>
    </row>
    <row r="155" spans="21:27">
      <c r="U155" s="236"/>
      <c r="V155" s="236"/>
      <c r="W155" s="236"/>
      <c r="X155" s="236"/>
      <c r="Y155" s="236"/>
      <c r="Z155" s="236"/>
      <c r="AA155" s="236"/>
    </row>
    <row r="156" spans="21:27">
      <c r="U156" s="236"/>
      <c r="V156" s="236"/>
      <c r="W156" s="236"/>
      <c r="X156" s="236"/>
      <c r="Y156" s="236"/>
      <c r="Z156" s="236"/>
      <c r="AA156" s="236"/>
    </row>
    <row r="157" spans="21:27">
      <c r="U157" s="236"/>
      <c r="V157" s="236"/>
      <c r="W157" s="236"/>
      <c r="X157" s="236"/>
      <c r="Y157" s="236"/>
      <c r="Z157" s="236"/>
      <c r="AA157" s="236"/>
    </row>
    <row r="158" spans="21:27">
      <c r="U158" s="236"/>
      <c r="V158" s="236"/>
      <c r="W158" s="236"/>
      <c r="X158" s="236"/>
      <c r="Y158" s="236"/>
      <c r="Z158" s="236"/>
      <c r="AA158" s="236"/>
    </row>
    <row r="159" spans="21:27">
      <c r="U159" s="236"/>
      <c r="V159" s="236"/>
      <c r="W159" s="236"/>
      <c r="X159" s="236"/>
      <c r="Y159" s="236"/>
      <c r="Z159" s="236"/>
      <c r="AA159" s="236"/>
    </row>
    <row r="160" spans="21:27">
      <c r="U160" s="236"/>
      <c r="V160" s="236"/>
      <c r="W160" s="236"/>
      <c r="X160" s="236"/>
      <c r="Y160" s="236"/>
      <c r="Z160" s="236"/>
      <c r="AA160" s="236"/>
    </row>
    <row r="161" spans="21:27">
      <c r="U161" s="236"/>
      <c r="V161" s="236"/>
      <c r="W161" s="236"/>
      <c r="X161" s="236"/>
      <c r="Y161" s="236"/>
      <c r="Z161" s="236"/>
      <c r="AA161" s="236"/>
    </row>
    <row r="162" spans="21:27">
      <c r="U162" s="236"/>
      <c r="V162" s="236"/>
      <c r="W162" s="236"/>
      <c r="X162" s="236"/>
      <c r="Y162" s="236"/>
      <c r="Z162" s="236"/>
      <c r="AA162" s="236"/>
    </row>
    <row r="163" spans="21:27">
      <c r="U163" s="236"/>
      <c r="V163" s="236"/>
      <c r="W163" s="236"/>
      <c r="X163" s="236"/>
      <c r="Y163" s="236"/>
      <c r="Z163" s="236"/>
      <c r="AA163" s="236"/>
    </row>
    <row r="164" spans="21:27">
      <c r="U164" s="236"/>
      <c r="V164" s="236"/>
      <c r="W164" s="236"/>
      <c r="X164" s="236"/>
      <c r="Y164" s="236"/>
      <c r="Z164" s="236"/>
      <c r="AA164" s="236"/>
    </row>
    <row r="165" spans="21:27">
      <c r="U165" s="236"/>
      <c r="V165" s="236"/>
      <c r="W165" s="236"/>
      <c r="X165" s="236"/>
      <c r="Y165" s="236"/>
      <c r="Z165" s="236"/>
      <c r="AA165" s="236"/>
    </row>
    <row r="166" spans="21:27">
      <c r="U166" s="236"/>
      <c r="V166" s="236"/>
      <c r="W166" s="236"/>
      <c r="X166" s="236"/>
      <c r="Y166" s="236"/>
      <c r="Z166" s="236"/>
      <c r="AA166" s="236"/>
    </row>
    <row r="167" spans="21:27">
      <c r="U167" s="236"/>
      <c r="V167" s="236"/>
      <c r="W167" s="236"/>
      <c r="X167" s="236"/>
      <c r="Y167" s="236"/>
      <c r="Z167" s="236"/>
      <c r="AA167" s="236"/>
    </row>
    <row r="168" spans="21:27">
      <c r="U168" s="236"/>
      <c r="V168" s="236"/>
      <c r="W168" s="236"/>
      <c r="X168" s="236"/>
      <c r="Y168" s="236"/>
      <c r="Z168" s="236"/>
      <c r="AA168" s="236"/>
    </row>
    <row r="169" spans="21:27">
      <c r="U169" s="236"/>
      <c r="V169" s="236"/>
      <c r="W169" s="236"/>
      <c r="X169" s="236"/>
      <c r="Y169" s="236"/>
      <c r="Z169" s="236"/>
      <c r="AA169" s="236"/>
    </row>
    <row r="170" spans="21:27">
      <c r="U170" s="236"/>
      <c r="V170" s="236"/>
      <c r="W170" s="236"/>
      <c r="X170" s="236"/>
      <c r="Y170" s="236"/>
      <c r="Z170" s="236"/>
      <c r="AA170" s="236"/>
    </row>
    <row r="171" spans="21:27">
      <c r="U171" s="236"/>
      <c r="V171" s="236"/>
      <c r="W171" s="236"/>
      <c r="X171" s="236"/>
      <c r="Y171" s="236"/>
      <c r="Z171" s="236"/>
      <c r="AA171" s="236"/>
    </row>
    <row r="172" spans="21:27">
      <c r="U172" s="236"/>
      <c r="V172" s="236"/>
      <c r="W172" s="236"/>
      <c r="X172" s="236"/>
      <c r="Y172" s="236"/>
      <c r="Z172" s="236"/>
      <c r="AA172" s="236"/>
    </row>
    <row r="173" spans="21:27">
      <c r="U173" s="236"/>
      <c r="V173" s="236"/>
      <c r="W173" s="236"/>
      <c r="X173" s="236"/>
      <c r="Y173" s="236"/>
      <c r="Z173" s="236"/>
      <c r="AA173" s="236"/>
    </row>
    <row r="174" spans="21:27">
      <c r="U174" s="236"/>
      <c r="V174" s="236"/>
      <c r="W174" s="236"/>
      <c r="X174" s="236"/>
      <c r="Y174" s="236"/>
      <c r="Z174" s="236"/>
      <c r="AA174" s="236"/>
    </row>
    <row r="175" spans="21:27">
      <c r="U175" s="236"/>
      <c r="V175" s="236"/>
      <c r="W175" s="236"/>
      <c r="X175" s="236"/>
      <c r="Y175" s="236"/>
      <c r="Z175" s="236"/>
      <c r="AA175" s="236"/>
    </row>
    <row r="176" spans="21:27">
      <c r="U176" s="236"/>
      <c r="V176" s="236"/>
      <c r="W176" s="236"/>
      <c r="X176" s="236"/>
      <c r="Y176" s="236"/>
      <c r="Z176" s="236"/>
      <c r="AA176" s="236"/>
    </row>
    <row r="177" spans="21:27">
      <c r="U177" s="236"/>
      <c r="V177" s="236"/>
      <c r="W177" s="236"/>
      <c r="X177" s="236"/>
      <c r="Y177" s="236"/>
      <c r="Z177" s="236"/>
      <c r="AA177" s="236"/>
    </row>
    <row r="178" spans="21:27">
      <c r="U178" s="236"/>
      <c r="V178" s="236"/>
      <c r="W178" s="236"/>
      <c r="X178" s="236"/>
      <c r="Y178" s="236"/>
      <c r="Z178" s="236"/>
      <c r="AA178" s="236"/>
    </row>
    <row r="179" spans="21:27">
      <c r="U179" s="236"/>
      <c r="V179" s="236"/>
      <c r="W179" s="236"/>
      <c r="X179" s="236"/>
      <c r="Y179" s="236"/>
      <c r="Z179" s="236"/>
      <c r="AA179" s="236"/>
    </row>
    <row r="180" spans="21:27">
      <c r="U180" s="236"/>
      <c r="V180" s="236"/>
      <c r="W180" s="236"/>
      <c r="X180" s="236"/>
      <c r="Y180" s="236"/>
      <c r="Z180" s="236"/>
      <c r="AA180" s="236"/>
    </row>
    <row r="181" spans="21:27">
      <c r="U181" s="236"/>
      <c r="V181" s="236"/>
      <c r="W181" s="236"/>
      <c r="X181" s="236"/>
      <c r="Y181" s="236"/>
      <c r="Z181" s="236"/>
      <c r="AA181" s="236"/>
    </row>
    <row r="182" spans="21:27">
      <c r="U182" s="236"/>
      <c r="V182" s="236"/>
      <c r="W182" s="236"/>
      <c r="X182" s="236"/>
      <c r="Y182" s="236"/>
      <c r="Z182" s="236"/>
      <c r="AA182" s="236"/>
    </row>
    <row r="183" spans="21:27">
      <c r="U183" s="236"/>
      <c r="V183" s="236"/>
      <c r="W183" s="236"/>
      <c r="X183" s="236"/>
      <c r="Y183" s="236"/>
      <c r="Z183" s="236"/>
      <c r="AA183" s="236"/>
    </row>
    <row r="184" spans="21:27">
      <c r="U184" s="236"/>
      <c r="V184" s="236"/>
      <c r="W184" s="236"/>
      <c r="X184" s="236"/>
      <c r="Y184" s="236"/>
      <c r="Z184" s="236"/>
      <c r="AA184" s="236"/>
    </row>
    <row r="185" spans="21:27">
      <c r="U185" s="236"/>
      <c r="V185" s="236"/>
      <c r="W185" s="236"/>
      <c r="X185" s="236"/>
      <c r="Y185" s="236"/>
      <c r="Z185" s="236"/>
      <c r="AA185" s="236"/>
    </row>
    <row r="186" spans="21:27">
      <c r="U186" s="236"/>
      <c r="V186" s="236"/>
      <c r="W186" s="236"/>
      <c r="X186" s="236"/>
      <c r="Y186" s="236"/>
      <c r="Z186" s="236"/>
      <c r="AA186" s="236"/>
    </row>
    <row r="187" spans="21:27">
      <c r="U187" s="236"/>
      <c r="V187" s="236"/>
      <c r="W187" s="236"/>
      <c r="X187" s="236"/>
      <c r="Y187" s="236"/>
      <c r="Z187" s="236"/>
      <c r="AA187" s="236"/>
    </row>
    <row r="188" spans="21:27">
      <c r="U188" s="236"/>
      <c r="V188" s="236"/>
      <c r="W188" s="236"/>
      <c r="X188" s="236"/>
      <c r="Y188" s="236"/>
      <c r="Z188" s="236"/>
      <c r="AA188" s="236"/>
    </row>
    <row r="189" spans="21:27">
      <c r="U189" s="236"/>
      <c r="V189" s="236"/>
      <c r="W189" s="236"/>
      <c r="X189" s="236"/>
      <c r="Y189" s="236"/>
      <c r="Z189" s="236"/>
      <c r="AA189" s="236"/>
    </row>
    <row r="190" spans="21:27">
      <c r="U190" s="236"/>
      <c r="V190" s="236"/>
      <c r="W190" s="236"/>
      <c r="X190" s="236"/>
      <c r="Y190" s="236"/>
      <c r="Z190" s="236"/>
      <c r="AA190" s="236"/>
    </row>
    <row r="191" spans="21:27">
      <c r="U191" s="236"/>
      <c r="V191" s="236"/>
      <c r="W191" s="236"/>
      <c r="X191" s="236"/>
      <c r="Y191" s="236"/>
      <c r="Z191" s="236"/>
      <c r="AA191" s="236"/>
    </row>
    <row r="192" spans="21:27">
      <c r="U192" s="236"/>
      <c r="V192" s="236"/>
      <c r="W192" s="236"/>
      <c r="X192" s="236"/>
      <c r="Y192" s="236"/>
      <c r="Z192" s="236"/>
      <c r="AA192" s="236"/>
    </row>
    <row r="193" spans="21:27">
      <c r="U193" s="236"/>
      <c r="V193" s="236"/>
      <c r="W193" s="236"/>
      <c r="X193" s="236"/>
      <c r="Y193" s="236"/>
      <c r="Z193" s="236"/>
      <c r="AA193" s="236"/>
    </row>
    <row r="194" spans="21:27">
      <c r="U194" s="236"/>
      <c r="V194" s="236"/>
      <c r="W194" s="236"/>
      <c r="X194" s="236"/>
      <c r="Y194" s="236"/>
      <c r="Z194" s="236"/>
      <c r="AA194" s="236"/>
    </row>
    <row r="195" spans="21:27">
      <c r="U195" s="236"/>
      <c r="V195" s="236"/>
      <c r="W195" s="236"/>
      <c r="X195" s="236"/>
      <c r="Y195" s="236"/>
      <c r="Z195" s="236"/>
      <c r="AA195" s="236"/>
    </row>
    <row r="196" spans="21:27">
      <c r="U196" s="236"/>
      <c r="V196" s="236"/>
      <c r="W196" s="236"/>
      <c r="X196" s="236"/>
      <c r="Y196" s="236"/>
      <c r="Z196" s="236"/>
      <c r="AA196" s="236"/>
    </row>
    <row r="197" spans="21:27">
      <c r="U197" s="236"/>
      <c r="V197" s="236"/>
      <c r="W197" s="236"/>
      <c r="X197" s="236"/>
      <c r="Y197" s="236"/>
      <c r="Z197" s="236"/>
      <c r="AA197" s="236"/>
    </row>
    <row r="198" spans="21:27">
      <c r="U198" s="236"/>
      <c r="V198" s="236"/>
      <c r="W198" s="236"/>
      <c r="X198" s="236"/>
      <c r="Y198" s="236"/>
      <c r="Z198" s="236"/>
      <c r="AA198" s="236"/>
    </row>
    <row r="199" spans="21:27">
      <c r="U199" s="236"/>
      <c r="V199" s="236"/>
      <c r="W199" s="236"/>
      <c r="X199" s="236"/>
      <c r="Y199" s="236"/>
      <c r="Z199" s="236"/>
      <c r="AA199" s="236"/>
    </row>
    <row r="200" spans="21:27">
      <c r="U200" s="236"/>
      <c r="V200" s="236"/>
      <c r="W200" s="236"/>
      <c r="X200" s="236"/>
      <c r="Y200" s="236"/>
      <c r="Z200" s="236"/>
      <c r="AA200" s="236"/>
    </row>
    <row r="201" spans="21:27">
      <c r="U201" s="236"/>
      <c r="V201" s="236"/>
      <c r="W201" s="236"/>
      <c r="X201" s="236"/>
      <c r="Y201" s="236"/>
      <c r="Z201" s="236"/>
      <c r="AA201" s="236"/>
    </row>
    <row r="202" spans="21:27">
      <c r="U202" s="236"/>
      <c r="V202" s="236"/>
      <c r="W202" s="236"/>
      <c r="X202" s="236"/>
      <c r="Y202" s="236"/>
      <c r="Z202" s="236"/>
      <c r="AA202" s="236"/>
    </row>
    <row r="203" spans="21:27">
      <c r="U203" s="236"/>
      <c r="V203" s="236"/>
      <c r="W203" s="236"/>
      <c r="X203" s="236"/>
      <c r="Y203" s="236"/>
      <c r="Z203" s="236"/>
      <c r="AA203" s="236"/>
    </row>
    <row r="204" spans="21:27">
      <c r="U204" s="236"/>
      <c r="V204" s="236"/>
      <c r="W204" s="236"/>
      <c r="X204" s="236"/>
      <c r="Y204" s="236"/>
      <c r="Z204" s="236"/>
      <c r="AA204" s="236"/>
    </row>
    <row r="205" spans="21:27">
      <c r="U205" s="236"/>
      <c r="V205" s="236"/>
      <c r="W205" s="236"/>
      <c r="X205" s="236"/>
      <c r="Y205" s="236"/>
      <c r="Z205" s="236"/>
      <c r="AA205" s="236"/>
    </row>
    <row r="206" spans="21:27">
      <c r="U206" s="236"/>
      <c r="V206" s="236"/>
      <c r="W206" s="236"/>
      <c r="X206" s="236"/>
      <c r="Y206" s="236"/>
      <c r="Z206" s="236"/>
      <c r="AA206" s="236"/>
    </row>
    <row r="207" spans="21:27">
      <c r="U207" s="236"/>
      <c r="V207" s="236"/>
      <c r="W207" s="236"/>
      <c r="X207" s="236"/>
      <c r="Y207" s="236"/>
      <c r="Z207" s="236"/>
      <c r="AA207" s="236"/>
    </row>
    <row r="208" spans="21:27">
      <c r="U208" s="236"/>
      <c r="V208" s="236"/>
      <c r="W208" s="236"/>
      <c r="X208" s="236"/>
      <c r="Y208" s="236"/>
      <c r="Z208" s="236"/>
      <c r="AA208" s="236"/>
    </row>
    <row r="209" spans="21:27">
      <c r="U209" s="236"/>
      <c r="V209" s="236"/>
      <c r="W209" s="236"/>
      <c r="X209" s="236"/>
      <c r="Y209" s="236"/>
      <c r="Z209" s="236"/>
      <c r="AA209" s="236"/>
    </row>
    <row r="210" spans="21:27">
      <c r="U210" s="236"/>
      <c r="V210" s="236"/>
      <c r="W210" s="236"/>
      <c r="X210" s="236"/>
      <c r="Y210" s="236"/>
      <c r="Z210" s="236"/>
      <c r="AA210" s="236"/>
    </row>
    <row r="211" spans="21:27">
      <c r="U211" s="236"/>
      <c r="V211" s="236"/>
      <c r="W211" s="236"/>
      <c r="X211" s="236"/>
      <c r="Y211" s="236"/>
      <c r="Z211" s="236"/>
      <c r="AA211" s="236"/>
    </row>
    <row r="212" spans="21:27">
      <c r="U212" s="236"/>
      <c r="V212" s="236"/>
      <c r="W212" s="236"/>
      <c r="X212" s="236"/>
      <c r="Y212" s="236"/>
      <c r="Z212" s="236"/>
      <c r="AA212" s="236"/>
    </row>
    <row r="213" spans="21:27">
      <c r="U213" s="236"/>
      <c r="V213" s="236"/>
      <c r="W213" s="236"/>
      <c r="X213" s="236"/>
      <c r="Y213" s="236"/>
      <c r="Z213" s="236"/>
      <c r="AA213" s="236"/>
    </row>
    <row r="214" spans="21:27">
      <c r="U214" s="236"/>
      <c r="V214" s="236"/>
      <c r="W214" s="236"/>
      <c r="X214" s="236"/>
      <c r="Y214" s="236"/>
      <c r="Z214" s="236"/>
      <c r="AA214" s="236"/>
    </row>
    <row r="215" spans="21:27">
      <c r="U215" s="236"/>
      <c r="V215" s="236"/>
      <c r="W215" s="236"/>
      <c r="X215" s="236"/>
      <c r="Y215" s="236"/>
      <c r="Z215" s="236"/>
      <c r="AA215" s="236"/>
    </row>
    <row r="216" spans="21:27">
      <c r="U216" s="236"/>
      <c r="V216" s="236"/>
      <c r="W216" s="236"/>
      <c r="X216" s="236"/>
      <c r="Y216" s="236"/>
      <c r="Z216" s="236"/>
      <c r="AA216" s="236"/>
    </row>
    <row r="217" spans="21:27">
      <c r="U217" s="236"/>
      <c r="V217" s="236"/>
      <c r="W217" s="236"/>
      <c r="X217" s="236"/>
      <c r="Y217" s="236"/>
      <c r="Z217" s="236"/>
      <c r="AA217" s="236"/>
    </row>
    <row r="218" spans="21:27">
      <c r="U218" s="236"/>
      <c r="V218" s="236"/>
      <c r="W218" s="236"/>
      <c r="X218" s="236"/>
      <c r="Y218" s="236"/>
      <c r="Z218" s="236"/>
      <c r="AA218" s="236"/>
    </row>
    <row r="219" spans="21:27">
      <c r="U219" s="236"/>
      <c r="V219" s="236"/>
      <c r="W219" s="236"/>
      <c r="X219" s="236"/>
      <c r="Y219" s="236"/>
      <c r="Z219" s="236"/>
      <c r="AA219" s="236"/>
    </row>
    <row r="220" spans="21:27">
      <c r="U220" s="236"/>
      <c r="V220" s="236"/>
      <c r="W220" s="236"/>
      <c r="X220" s="236"/>
      <c r="Y220" s="236"/>
      <c r="Z220" s="236"/>
      <c r="AA220" s="236"/>
    </row>
    <row r="221" spans="21:27">
      <c r="U221" s="236"/>
      <c r="V221" s="236"/>
      <c r="W221" s="236"/>
      <c r="X221" s="236"/>
      <c r="Y221" s="236"/>
      <c r="Z221" s="236"/>
      <c r="AA221" s="236"/>
    </row>
    <row r="222" spans="21:27">
      <c r="U222" s="236"/>
      <c r="V222" s="236"/>
      <c r="W222" s="236"/>
      <c r="X222" s="236"/>
      <c r="Y222" s="236"/>
      <c r="Z222" s="236"/>
      <c r="AA222" s="236"/>
    </row>
    <row r="223" spans="21:27">
      <c r="U223" s="236"/>
      <c r="V223" s="236"/>
      <c r="W223" s="236"/>
      <c r="X223" s="236"/>
      <c r="Y223" s="236"/>
      <c r="Z223" s="236"/>
      <c r="AA223" s="236"/>
    </row>
    <row r="224" spans="21:27">
      <c r="U224" s="236"/>
      <c r="V224" s="236"/>
      <c r="W224" s="236"/>
      <c r="X224" s="236"/>
      <c r="Y224" s="236"/>
      <c r="Z224" s="236"/>
      <c r="AA224" s="236"/>
    </row>
    <row r="225" spans="21:27">
      <c r="U225" s="236"/>
      <c r="V225" s="236"/>
      <c r="W225" s="236"/>
      <c r="X225" s="236"/>
      <c r="Y225" s="236"/>
      <c r="Z225" s="236"/>
      <c r="AA225" s="236"/>
    </row>
    <row r="226" spans="21:27">
      <c r="U226" s="236"/>
      <c r="V226" s="236"/>
      <c r="W226" s="236"/>
      <c r="X226" s="236"/>
      <c r="Y226" s="236"/>
      <c r="Z226" s="236"/>
      <c r="AA226" s="236"/>
    </row>
    <row r="227" spans="21:27">
      <c r="U227" s="236"/>
      <c r="V227" s="236"/>
      <c r="W227" s="236"/>
      <c r="X227" s="236"/>
      <c r="Y227" s="236"/>
      <c r="Z227" s="236"/>
      <c r="AA227" s="236"/>
    </row>
    <row r="228" spans="21:27">
      <c r="U228" s="236"/>
      <c r="V228" s="236"/>
      <c r="W228" s="236"/>
      <c r="X228" s="236"/>
      <c r="Y228" s="236"/>
      <c r="Z228" s="236"/>
      <c r="AA228" s="236"/>
    </row>
    <row r="229" spans="21:27">
      <c r="U229" s="236"/>
      <c r="V229" s="236"/>
      <c r="W229" s="236"/>
      <c r="X229" s="236"/>
      <c r="Y229" s="236"/>
      <c r="Z229" s="236"/>
      <c r="AA229" s="236"/>
    </row>
    <row r="230" spans="21:27">
      <c r="U230" s="236"/>
      <c r="V230" s="236"/>
      <c r="W230" s="236"/>
      <c r="X230" s="236"/>
      <c r="Y230" s="236"/>
      <c r="Z230" s="236"/>
      <c r="AA230" s="236"/>
    </row>
    <row r="231" spans="21:27">
      <c r="U231" s="236"/>
      <c r="V231" s="236"/>
      <c r="W231" s="236"/>
      <c r="X231" s="236"/>
      <c r="Y231" s="236"/>
      <c r="Z231" s="236"/>
      <c r="AA231" s="236"/>
    </row>
    <row r="232" spans="21:27">
      <c r="U232" s="236"/>
      <c r="V232" s="236"/>
      <c r="W232" s="236"/>
      <c r="X232" s="236"/>
      <c r="Y232" s="236"/>
      <c r="Z232" s="236"/>
      <c r="AA232" s="236"/>
    </row>
    <row r="233" spans="21:27">
      <c r="U233" s="236"/>
      <c r="V233" s="236"/>
      <c r="W233" s="236"/>
      <c r="X233" s="236"/>
      <c r="Y233" s="236"/>
      <c r="Z233" s="236"/>
      <c r="AA233" s="236"/>
    </row>
    <row r="234" spans="21:27">
      <c r="U234" s="236"/>
      <c r="V234" s="236"/>
      <c r="W234" s="236"/>
      <c r="X234" s="236"/>
      <c r="Y234" s="236"/>
      <c r="Z234" s="236"/>
      <c r="AA234" s="236"/>
    </row>
    <row r="235" spans="21:27">
      <c r="U235" s="236"/>
      <c r="V235" s="236"/>
      <c r="W235" s="236"/>
      <c r="X235" s="236"/>
      <c r="Y235" s="236"/>
      <c r="Z235" s="236"/>
      <c r="AA235" s="236"/>
    </row>
    <row r="236" spans="21:27">
      <c r="U236" s="236"/>
      <c r="V236" s="236"/>
      <c r="W236" s="236"/>
      <c r="X236" s="236"/>
      <c r="Y236" s="236"/>
      <c r="Z236" s="236"/>
      <c r="AA236" s="236"/>
    </row>
    <row r="237" spans="21:27">
      <c r="U237" s="236"/>
      <c r="V237" s="236"/>
      <c r="W237" s="236"/>
      <c r="X237" s="236"/>
      <c r="Y237" s="236"/>
      <c r="Z237" s="236"/>
      <c r="AA237" s="236"/>
    </row>
    <row r="238" spans="21:27">
      <c r="U238" s="236"/>
      <c r="V238" s="236"/>
      <c r="W238" s="236"/>
      <c r="X238" s="236"/>
      <c r="Y238" s="236"/>
      <c r="Z238" s="236"/>
      <c r="AA238" s="236"/>
    </row>
    <row r="239" spans="21:27">
      <c r="U239" s="236"/>
      <c r="V239" s="236"/>
      <c r="W239" s="236"/>
      <c r="X239" s="236"/>
      <c r="Y239" s="236"/>
      <c r="Z239" s="236"/>
      <c r="AA239" s="236"/>
    </row>
    <row r="240" spans="21:27">
      <c r="U240" s="236"/>
      <c r="V240" s="236"/>
      <c r="W240" s="236"/>
      <c r="X240" s="236"/>
      <c r="Y240" s="236"/>
      <c r="Z240" s="236"/>
      <c r="AA240" s="236"/>
    </row>
    <row r="241" spans="21:27">
      <c r="U241" s="236"/>
      <c r="V241" s="236"/>
      <c r="W241" s="236"/>
      <c r="X241" s="236"/>
      <c r="Y241" s="236"/>
      <c r="Z241" s="236"/>
      <c r="AA241" s="236"/>
    </row>
    <row r="242" spans="21:27">
      <c r="U242" s="236"/>
      <c r="V242" s="236"/>
      <c r="W242" s="236"/>
      <c r="X242" s="236"/>
      <c r="Y242" s="236"/>
      <c r="Z242" s="236"/>
      <c r="AA242" s="236"/>
    </row>
    <row r="243" spans="21:27">
      <c r="U243" s="236"/>
      <c r="V243" s="236"/>
      <c r="W243" s="236"/>
      <c r="X243" s="236"/>
      <c r="Y243" s="236"/>
      <c r="Z243" s="236"/>
      <c r="AA243" s="236"/>
    </row>
    <row r="244" spans="21:27">
      <c r="U244" s="236"/>
      <c r="V244" s="236"/>
      <c r="W244" s="236"/>
      <c r="X244" s="236"/>
      <c r="Y244" s="236"/>
      <c r="Z244" s="236"/>
      <c r="AA244" s="236"/>
    </row>
    <row r="245" spans="21:27">
      <c r="U245" s="236"/>
      <c r="V245" s="236"/>
      <c r="W245" s="236"/>
      <c r="X245" s="236"/>
      <c r="Y245" s="236"/>
      <c r="Z245" s="236"/>
      <c r="AA245" s="236"/>
    </row>
    <row r="246" spans="21:27">
      <c r="U246" s="236"/>
      <c r="V246" s="236"/>
      <c r="W246" s="236"/>
      <c r="X246" s="236"/>
      <c r="Y246" s="236"/>
      <c r="Z246" s="236"/>
      <c r="AA246" s="236"/>
    </row>
    <row r="247" spans="21:27">
      <c r="U247" s="236"/>
      <c r="V247" s="236"/>
      <c r="W247" s="236"/>
      <c r="X247" s="236"/>
      <c r="Y247" s="236"/>
      <c r="Z247" s="236"/>
      <c r="AA247" s="236"/>
    </row>
    <row r="248" spans="21:27">
      <c r="U248" s="236"/>
      <c r="V248" s="236"/>
      <c r="W248" s="236"/>
      <c r="X248" s="236"/>
      <c r="Y248" s="236"/>
      <c r="Z248" s="236"/>
      <c r="AA248" s="236"/>
    </row>
    <row r="249" spans="21:27">
      <c r="U249" s="236"/>
      <c r="V249" s="236"/>
      <c r="W249" s="236"/>
      <c r="X249" s="236"/>
      <c r="Y249" s="236"/>
      <c r="Z249" s="236"/>
      <c r="AA249" s="236"/>
    </row>
    <row r="250" spans="21:27">
      <c r="U250" s="236"/>
      <c r="V250" s="236"/>
      <c r="W250" s="236"/>
      <c r="X250" s="236"/>
      <c r="Y250" s="236"/>
      <c r="Z250" s="236"/>
      <c r="AA250" s="236"/>
    </row>
    <row r="251" spans="21:27">
      <c r="U251" s="236"/>
      <c r="V251" s="236"/>
      <c r="W251" s="236"/>
      <c r="X251" s="236"/>
      <c r="Y251" s="236"/>
      <c r="Z251" s="236"/>
      <c r="AA251" s="236"/>
    </row>
    <row r="252" spans="21:27">
      <c r="U252" s="236"/>
      <c r="V252" s="236"/>
      <c r="W252" s="236"/>
      <c r="X252" s="236"/>
      <c r="Y252" s="236"/>
      <c r="Z252" s="236"/>
      <c r="AA252" s="236"/>
    </row>
    <row r="253" spans="21:27">
      <c r="U253" s="236"/>
      <c r="V253" s="236"/>
      <c r="W253" s="236"/>
      <c r="X253" s="236"/>
      <c r="Y253" s="236"/>
      <c r="Z253" s="236"/>
      <c r="AA253" s="236"/>
    </row>
    <row r="254" spans="21:27">
      <c r="U254" s="236"/>
      <c r="V254" s="236"/>
      <c r="W254" s="236"/>
      <c r="X254" s="236"/>
      <c r="Y254" s="236"/>
      <c r="Z254" s="236"/>
      <c r="AA254" s="236"/>
    </row>
    <row r="255" spans="21:27">
      <c r="U255" s="236"/>
      <c r="V255" s="236"/>
      <c r="W255" s="236"/>
      <c r="X255" s="236"/>
      <c r="Y255" s="236"/>
      <c r="Z255" s="236"/>
      <c r="AA255" s="236"/>
    </row>
    <row r="256" spans="21:27">
      <c r="U256" s="236"/>
      <c r="V256" s="236"/>
      <c r="W256" s="236"/>
      <c r="X256" s="236"/>
      <c r="Y256" s="236"/>
      <c r="Z256" s="236"/>
      <c r="AA256" s="236"/>
    </row>
    <row r="257" spans="21:27">
      <c r="U257" s="236"/>
      <c r="V257" s="236"/>
      <c r="W257" s="236"/>
      <c r="X257" s="236"/>
      <c r="Y257" s="236"/>
      <c r="Z257" s="236"/>
      <c r="AA257" s="236"/>
    </row>
    <row r="258" spans="21:27">
      <c r="U258" s="236"/>
      <c r="V258" s="236"/>
      <c r="W258" s="236"/>
      <c r="X258" s="236"/>
      <c r="Y258" s="236"/>
      <c r="Z258" s="236"/>
      <c r="AA258" s="236"/>
    </row>
    <row r="259" spans="21:27">
      <c r="U259" s="236"/>
      <c r="V259" s="236"/>
      <c r="W259" s="236"/>
      <c r="X259" s="236"/>
      <c r="Y259" s="236"/>
      <c r="Z259" s="236"/>
      <c r="AA259" s="236"/>
    </row>
    <row r="260" spans="21:27">
      <c r="U260" s="236"/>
      <c r="V260" s="236"/>
      <c r="W260" s="236"/>
      <c r="X260" s="236"/>
      <c r="Y260" s="236"/>
      <c r="Z260" s="236"/>
      <c r="AA260" s="236"/>
    </row>
    <row r="261" spans="21:27">
      <c r="U261" s="236"/>
      <c r="V261" s="236"/>
      <c r="W261" s="236"/>
      <c r="X261" s="236"/>
      <c r="Y261" s="236"/>
      <c r="Z261" s="236"/>
      <c r="AA261" s="236"/>
    </row>
    <row r="262" spans="21:27">
      <c r="U262" s="236"/>
      <c r="V262" s="236"/>
      <c r="W262" s="236"/>
      <c r="X262" s="236"/>
      <c r="Y262" s="236"/>
      <c r="Z262" s="236"/>
      <c r="AA262" s="236"/>
    </row>
    <row r="263" spans="21:27">
      <c r="U263" s="236"/>
      <c r="V263" s="236"/>
      <c r="W263" s="236"/>
      <c r="X263" s="236"/>
      <c r="Y263" s="236"/>
      <c r="Z263" s="236"/>
      <c r="AA263" s="236"/>
    </row>
    <row r="264" spans="21:27">
      <c r="U264" s="236"/>
      <c r="V264" s="236"/>
      <c r="W264" s="236"/>
      <c r="X264" s="236"/>
      <c r="Y264" s="236"/>
      <c r="Z264" s="236"/>
      <c r="AA264" s="236"/>
    </row>
    <row r="265" spans="21:27">
      <c r="U265" s="236"/>
      <c r="V265" s="236"/>
      <c r="W265" s="236"/>
      <c r="X265" s="236"/>
      <c r="Y265" s="236"/>
      <c r="Z265" s="236"/>
      <c r="AA265" s="236"/>
    </row>
    <row r="266" spans="21:27">
      <c r="U266" s="236"/>
      <c r="V266" s="236"/>
      <c r="W266" s="236"/>
      <c r="X266" s="236"/>
      <c r="Y266" s="236"/>
      <c r="Z266" s="236"/>
      <c r="AA266" s="236"/>
    </row>
    <row r="267" spans="21:27">
      <c r="U267" s="236"/>
      <c r="V267" s="236"/>
      <c r="W267" s="236"/>
      <c r="X267" s="236"/>
      <c r="Y267" s="236"/>
      <c r="Z267" s="236"/>
      <c r="AA267" s="236"/>
    </row>
    <row r="268" spans="21:27">
      <c r="U268" s="236"/>
      <c r="V268" s="236"/>
      <c r="W268" s="236"/>
      <c r="X268" s="236"/>
      <c r="Y268" s="236"/>
      <c r="Z268" s="236"/>
      <c r="AA268" s="236"/>
    </row>
    <row r="269" spans="21:27">
      <c r="U269" s="236"/>
      <c r="V269" s="236"/>
      <c r="W269" s="236"/>
      <c r="X269" s="236"/>
      <c r="Y269" s="236"/>
      <c r="Z269" s="236"/>
      <c r="AA269" s="236"/>
    </row>
    <row r="270" spans="21:27">
      <c r="U270" s="236"/>
      <c r="V270" s="236"/>
      <c r="W270" s="236"/>
      <c r="X270" s="236"/>
      <c r="Y270" s="236"/>
      <c r="Z270" s="236"/>
      <c r="AA270" s="236"/>
    </row>
    <row r="271" spans="21:27">
      <c r="U271" s="236"/>
      <c r="V271" s="236"/>
      <c r="W271" s="236"/>
      <c r="X271" s="236"/>
      <c r="Y271" s="236"/>
      <c r="Z271" s="236"/>
      <c r="AA271" s="236"/>
    </row>
    <row r="272" spans="21:27">
      <c r="U272" s="236"/>
      <c r="V272" s="236"/>
      <c r="W272" s="236"/>
      <c r="X272" s="236"/>
      <c r="Y272" s="236"/>
      <c r="Z272" s="236"/>
      <c r="AA272" s="236"/>
    </row>
    <row r="273" spans="21:27">
      <c r="U273" s="236"/>
      <c r="V273" s="236"/>
      <c r="W273" s="236"/>
      <c r="X273" s="236"/>
      <c r="Y273" s="236"/>
      <c r="Z273" s="236"/>
      <c r="AA273" s="236"/>
    </row>
    <row r="274" spans="21:27">
      <c r="U274" s="236"/>
      <c r="V274" s="236"/>
      <c r="W274" s="236"/>
      <c r="X274" s="236"/>
      <c r="Y274" s="236"/>
      <c r="Z274" s="236"/>
      <c r="AA274" s="236"/>
    </row>
    <row r="275" spans="21:27">
      <c r="U275" s="236"/>
      <c r="V275" s="236"/>
      <c r="W275" s="236"/>
      <c r="X275" s="236"/>
      <c r="Y275" s="236"/>
      <c r="Z275" s="236"/>
      <c r="AA275" s="236"/>
    </row>
    <row r="276" spans="21:27">
      <c r="U276" s="236"/>
      <c r="V276" s="236"/>
      <c r="W276" s="236"/>
      <c r="X276" s="236"/>
      <c r="Y276" s="236"/>
      <c r="Z276" s="236"/>
      <c r="AA276" s="236"/>
    </row>
    <row r="277" spans="21:27">
      <c r="U277" s="236"/>
      <c r="V277" s="236"/>
      <c r="W277" s="236"/>
      <c r="X277" s="236"/>
      <c r="Y277" s="236"/>
      <c r="Z277" s="236"/>
      <c r="AA277" s="236"/>
    </row>
    <row r="278" spans="21:27">
      <c r="U278" s="236"/>
      <c r="V278" s="236"/>
      <c r="W278" s="236"/>
      <c r="X278" s="236"/>
      <c r="Y278" s="236"/>
      <c r="Z278" s="236"/>
      <c r="AA278" s="236"/>
    </row>
    <row r="279" spans="21:27">
      <c r="U279" s="236"/>
      <c r="V279" s="236"/>
      <c r="W279" s="236"/>
      <c r="X279" s="236"/>
      <c r="Y279" s="236"/>
      <c r="Z279" s="236"/>
      <c r="AA279" s="236"/>
    </row>
    <row r="280" spans="21:27">
      <c r="U280" s="236"/>
      <c r="V280" s="236"/>
      <c r="W280" s="236"/>
      <c r="X280" s="236"/>
      <c r="Y280" s="236"/>
      <c r="Z280" s="236"/>
      <c r="AA280" s="236"/>
    </row>
    <row r="281" spans="21:27">
      <c r="U281" s="236"/>
      <c r="V281" s="236"/>
      <c r="W281" s="236"/>
      <c r="X281" s="236"/>
      <c r="Y281" s="236"/>
      <c r="Z281" s="236"/>
      <c r="AA281" s="236"/>
    </row>
    <row r="282" spans="21:27">
      <c r="U282" s="236"/>
      <c r="V282" s="236"/>
      <c r="W282" s="236"/>
      <c r="X282" s="236"/>
      <c r="Y282" s="236"/>
      <c r="Z282" s="236"/>
      <c r="AA282" s="236"/>
    </row>
    <row r="283" spans="21:27">
      <c r="U283" s="236"/>
      <c r="V283" s="236"/>
      <c r="W283" s="236"/>
      <c r="X283" s="236"/>
      <c r="Y283" s="236"/>
      <c r="Z283" s="236"/>
      <c r="AA283" s="236"/>
    </row>
    <row r="284" spans="21:27">
      <c r="U284" s="236"/>
      <c r="V284" s="236"/>
      <c r="W284" s="236"/>
      <c r="X284" s="236"/>
      <c r="Y284" s="236"/>
      <c r="Z284" s="236"/>
      <c r="AA284" s="236"/>
    </row>
    <row r="285" spans="21:27">
      <c r="U285" s="236"/>
      <c r="V285" s="236"/>
      <c r="W285" s="236"/>
      <c r="X285" s="236"/>
      <c r="Y285" s="236"/>
      <c r="Z285" s="236"/>
      <c r="AA285" s="236"/>
    </row>
    <row r="286" spans="21:27">
      <c r="U286" s="236"/>
      <c r="V286" s="236"/>
      <c r="W286" s="236"/>
      <c r="X286" s="236"/>
      <c r="Y286" s="236"/>
      <c r="Z286" s="236"/>
      <c r="AA286" s="236"/>
    </row>
    <row r="287" spans="21:27">
      <c r="U287" s="236"/>
      <c r="V287" s="236"/>
      <c r="W287" s="236"/>
      <c r="X287" s="236"/>
      <c r="Y287" s="236"/>
      <c r="Z287" s="236"/>
      <c r="AA287" s="236"/>
    </row>
    <row r="288" spans="21:27">
      <c r="U288" s="236"/>
      <c r="V288" s="236"/>
      <c r="W288" s="236"/>
      <c r="X288" s="236"/>
      <c r="Y288" s="236"/>
      <c r="Z288" s="236"/>
      <c r="AA288" s="236"/>
    </row>
    <row r="289" spans="21:27">
      <c r="U289" s="236"/>
      <c r="V289" s="236"/>
      <c r="W289" s="236"/>
      <c r="X289" s="236"/>
      <c r="Y289" s="236"/>
      <c r="Z289" s="236"/>
      <c r="AA289" s="236"/>
    </row>
    <row r="290" spans="21:27">
      <c r="U290" s="236"/>
      <c r="V290" s="236"/>
      <c r="W290" s="236"/>
      <c r="X290" s="236"/>
      <c r="Y290" s="236"/>
      <c r="Z290" s="236"/>
      <c r="AA290" s="236"/>
    </row>
    <row r="291" spans="21:27">
      <c r="U291" s="236"/>
      <c r="V291" s="236"/>
      <c r="W291" s="236"/>
      <c r="X291" s="236"/>
      <c r="Y291" s="236"/>
      <c r="Z291" s="236"/>
      <c r="AA291" s="236"/>
    </row>
    <row r="292" spans="21:27">
      <c r="U292" s="236"/>
      <c r="V292" s="236"/>
      <c r="W292" s="236"/>
      <c r="X292" s="236"/>
      <c r="Y292" s="236"/>
      <c r="Z292" s="236"/>
      <c r="AA292" s="236"/>
    </row>
    <row r="293" spans="21:27">
      <c r="U293" s="236"/>
      <c r="V293" s="236"/>
      <c r="W293" s="236"/>
      <c r="X293" s="236"/>
      <c r="Y293" s="236"/>
      <c r="Z293" s="236"/>
      <c r="AA293" s="236"/>
    </row>
    <row r="294" spans="21:27">
      <c r="U294" s="236"/>
      <c r="V294" s="236"/>
      <c r="W294" s="236"/>
      <c r="X294" s="236"/>
      <c r="Y294" s="236"/>
      <c r="Z294" s="236"/>
      <c r="AA294" s="236"/>
    </row>
    <row r="295" spans="21:27">
      <c r="U295" s="236"/>
      <c r="V295" s="236"/>
      <c r="W295" s="236"/>
      <c r="X295" s="236"/>
      <c r="Y295" s="236"/>
      <c r="Z295" s="236"/>
      <c r="AA295" s="236"/>
    </row>
    <row r="296" spans="21:27">
      <c r="U296" s="236"/>
      <c r="V296" s="236"/>
      <c r="W296" s="236"/>
      <c r="X296" s="236"/>
      <c r="Y296" s="236"/>
      <c r="Z296" s="236"/>
      <c r="AA296" s="236"/>
    </row>
    <row r="297" spans="21:27">
      <c r="U297" s="236"/>
      <c r="V297" s="236"/>
      <c r="W297" s="236"/>
      <c r="X297" s="236"/>
      <c r="Y297" s="236"/>
      <c r="Z297" s="236"/>
      <c r="AA297" s="236"/>
    </row>
    <row r="298" spans="21:27">
      <c r="U298" s="236"/>
      <c r="V298" s="236"/>
      <c r="W298" s="236"/>
      <c r="X298" s="236"/>
      <c r="Y298" s="236"/>
      <c r="Z298" s="236"/>
      <c r="AA298" s="236"/>
    </row>
    <row r="299" spans="21:27">
      <c r="U299" s="236"/>
      <c r="V299" s="236"/>
      <c r="W299" s="236"/>
      <c r="X299" s="236"/>
      <c r="Y299" s="236"/>
      <c r="Z299" s="236"/>
      <c r="AA299" s="236"/>
    </row>
    <row r="300" spans="21:27">
      <c r="U300" s="236"/>
      <c r="V300" s="236"/>
      <c r="W300" s="236"/>
      <c r="X300" s="236"/>
      <c r="Y300" s="236"/>
      <c r="Z300" s="236"/>
      <c r="AA300" s="236"/>
    </row>
    <row r="301" spans="21:27">
      <c r="U301" s="236"/>
      <c r="V301" s="236"/>
      <c r="W301" s="236"/>
      <c r="X301" s="236"/>
      <c r="Y301" s="236"/>
      <c r="Z301" s="236"/>
      <c r="AA301" s="236"/>
    </row>
    <row r="302" spans="21:27">
      <c r="U302" s="236"/>
      <c r="V302" s="236"/>
      <c r="W302" s="236"/>
      <c r="X302" s="236"/>
      <c r="Y302" s="236"/>
      <c r="Z302" s="236"/>
      <c r="AA302" s="236"/>
    </row>
    <row r="303" spans="21:27">
      <c r="U303" s="236"/>
      <c r="V303" s="236"/>
      <c r="W303" s="236"/>
      <c r="X303" s="236"/>
      <c r="Y303" s="236"/>
      <c r="Z303" s="236"/>
      <c r="AA303" s="236"/>
    </row>
    <row r="304" spans="21:27">
      <c r="U304" s="236"/>
      <c r="V304" s="236"/>
      <c r="W304" s="236"/>
      <c r="X304" s="236"/>
      <c r="Y304" s="236"/>
      <c r="Z304" s="236"/>
      <c r="AA304" s="236"/>
    </row>
    <row r="305" spans="21:27">
      <c r="U305" s="236"/>
      <c r="V305" s="236"/>
      <c r="W305" s="236"/>
      <c r="X305" s="236"/>
      <c r="Y305" s="236"/>
      <c r="Z305" s="236"/>
      <c r="AA305" s="236"/>
    </row>
    <row r="306" spans="21:27">
      <c r="U306" s="236"/>
      <c r="V306" s="236"/>
      <c r="W306" s="236"/>
      <c r="X306" s="236"/>
      <c r="Y306" s="236"/>
      <c r="Z306" s="236"/>
      <c r="AA306" s="236"/>
    </row>
    <row r="307" spans="21:27">
      <c r="U307" s="236"/>
      <c r="V307" s="236"/>
      <c r="W307" s="236"/>
      <c r="X307" s="236"/>
      <c r="Y307" s="236"/>
      <c r="Z307" s="236"/>
      <c r="AA307" s="236"/>
    </row>
    <row r="308" spans="21:27">
      <c r="U308" s="236"/>
      <c r="V308" s="236"/>
      <c r="W308" s="236"/>
      <c r="X308" s="236"/>
      <c r="Y308" s="236"/>
      <c r="Z308" s="236"/>
      <c r="AA308" s="236"/>
    </row>
    <row r="309" spans="21:27">
      <c r="U309" s="236"/>
      <c r="V309" s="236"/>
      <c r="W309" s="236"/>
      <c r="X309" s="236"/>
      <c r="Y309" s="236"/>
      <c r="Z309" s="236"/>
      <c r="AA309" s="236"/>
    </row>
    <row r="310" spans="21:27">
      <c r="U310" s="236"/>
      <c r="V310" s="236"/>
      <c r="W310" s="236"/>
      <c r="X310" s="236"/>
      <c r="Y310" s="236"/>
      <c r="Z310" s="236"/>
      <c r="AA310" s="236"/>
    </row>
    <row r="311" spans="21:27">
      <c r="U311" s="236"/>
      <c r="V311" s="236"/>
      <c r="W311" s="236"/>
      <c r="X311" s="236"/>
      <c r="Y311" s="236"/>
      <c r="Z311" s="236"/>
      <c r="AA311" s="236"/>
    </row>
    <row r="312" spans="21:27">
      <c r="U312" s="236"/>
      <c r="V312" s="236"/>
      <c r="W312" s="236"/>
      <c r="X312" s="236"/>
      <c r="Y312" s="236"/>
      <c r="Z312" s="236"/>
      <c r="AA312" s="236"/>
    </row>
    <row r="313" spans="21:27">
      <c r="U313" s="236"/>
      <c r="V313" s="236"/>
      <c r="W313" s="236"/>
      <c r="X313" s="236"/>
      <c r="Y313" s="236"/>
      <c r="Z313" s="236"/>
      <c r="AA313" s="236"/>
    </row>
    <row r="314" spans="21:27">
      <c r="U314" s="236"/>
      <c r="V314" s="236"/>
      <c r="W314" s="236"/>
      <c r="X314" s="236"/>
      <c r="Y314" s="236"/>
      <c r="Z314" s="236"/>
      <c r="AA314" s="236"/>
    </row>
    <row r="315" spans="21:27">
      <c r="U315" s="236"/>
      <c r="V315" s="236"/>
      <c r="W315" s="236"/>
      <c r="X315" s="236"/>
      <c r="Y315" s="236"/>
      <c r="Z315" s="236"/>
      <c r="AA315" s="236"/>
    </row>
    <row r="316" spans="21:27">
      <c r="U316" s="236"/>
      <c r="V316" s="236"/>
      <c r="W316" s="236"/>
      <c r="X316" s="236"/>
      <c r="Y316" s="236"/>
      <c r="Z316" s="236"/>
      <c r="AA316" s="236"/>
    </row>
    <row r="317" spans="21:27">
      <c r="U317" s="236"/>
      <c r="V317" s="236"/>
      <c r="W317" s="236"/>
      <c r="X317" s="236"/>
      <c r="Y317" s="236"/>
      <c r="Z317" s="236"/>
      <c r="AA317" s="236"/>
    </row>
    <row r="318" spans="21:27">
      <c r="U318" s="236"/>
      <c r="V318" s="236"/>
      <c r="W318" s="236"/>
      <c r="X318" s="236"/>
      <c r="Y318" s="236"/>
      <c r="Z318" s="236"/>
      <c r="AA318" s="236"/>
    </row>
    <row r="319" spans="21:27">
      <c r="U319" s="236"/>
      <c r="V319" s="236"/>
      <c r="W319" s="236"/>
      <c r="X319" s="236"/>
      <c r="Y319" s="236"/>
      <c r="Z319" s="236"/>
      <c r="AA319" s="236"/>
    </row>
    <row r="320" spans="21:27">
      <c r="U320" s="236"/>
      <c r="V320" s="236"/>
      <c r="W320" s="236"/>
      <c r="X320" s="236"/>
      <c r="Y320" s="236"/>
      <c r="Z320" s="236"/>
      <c r="AA320" s="236"/>
    </row>
    <row r="321" spans="21:27">
      <c r="U321" s="236"/>
      <c r="V321" s="236"/>
      <c r="W321" s="236"/>
      <c r="X321" s="236"/>
      <c r="Y321" s="236"/>
      <c r="Z321" s="236"/>
      <c r="AA321" s="236"/>
    </row>
    <row r="322" spans="21:27">
      <c r="U322" s="236"/>
      <c r="V322" s="236"/>
      <c r="W322" s="236"/>
      <c r="X322" s="236"/>
      <c r="Y322" s="236"/>
      <c r="Z322" s="236"/>
      <c r="AA322" s="236"/>
    </row>
    <row r="323" spans="21:27">
      <c r="U323" s="236"/>
      <c r="V323" s="236"/>
      <c r="W323" s="236"/>
      <c r="X323" s="236"/>
      <c r="Y323" s="236"/>
      <c r="Z323" s="236"/>
      <c r="AA323" s="236"/>
    </row>
    <row r="324" spans="21:27">
      <c r="U324" s="236"/>
      <c r="V324" s="236"/>
      <c r="W324" s="236"/>
      <c r="X324" s="236"/>
      <c r="Y324" s="236"/>
      <c r="Z324" s="236"/>
      <c r="AA324" s="236"/>
    </row>
    <row r="325" spans="21:27">
      <c r="U325" s="236"/>
      <c r="V325" s="236"/>
      <c r="W325" s="236"/>
      <c r="X325" s="236"/>
      <c r="Y325" s="236"/>
      <c r="Z325" s="236"/>
      <c r="AA325" s="236"/>
    </row>
    <row r="326" spans="21:27">
      <c r="U326" s="236"/>
      <c r="V326" s="236"/>
      <c r="W326" s="236"/>
      <c r="X326" s="236"/>
      <c r="Y326" s="236"/>
      <c r="Z326" s="236"/>
      <c r="AA326" s="236"/>
    </row>
    <row r="327" spans="21:27">
      <c r="U327" s="236"/>
      <c r="V327" s="236"/>
      <c r="W327" s="236"/>
      <c r="X327" s="236"/>
      <c r="Y327" s="236"/>
      <c r="Z327" s="236"/>
      <c r="AA327" s="236"/>
    </row>
    <row r="328" spans="21:27">
      <c r="U328" s="236"/>
      <c r="V328" s="236"/>
      <c r="W328" s="236"/>
      <c r="X328" s="236"/>
      <c r="Y328" s="236"/>
      <c r="Z328" s="236"/>
      <c r="AA328" s="236"/>
    </row>
    <row r="329" spans="21:27">
      <c r="U329" s="236"/>
      <c r="V329" s="236"/>
      <c r="W329" s="236"/>
      <c r="X329" s="236"/>
      <c r="Y329" s="236"/>
      <c r="Z329" s="236"/>
      <c r="AA329" s="236"/>
    </row>
    <row r="330" spans="21:27">
      <c r="U330" s="236"/>
      <c r="V330" s="236"/>
      <c r="W330" s="236"/>
      <c r="X330" s="236"/>
      <c r="Y330" s="236"/>
      <c r="Z330" s="236"/>
      <c r="AA330" s="236"/>
    </row>
    <row r="331" spans="21:27">
      <c r="U331" s="236"/>
      <c r="V331" s="236"/>
      <c r="W331" s="236"/>
      <c r="X331" s="236"/>
      <c r="Y331" s="236"/>
      <c r="Z331" s="236"/>
      <c r="AA331" s="236"/>
    </row>
    <row r="332" spans="21:27">
      <c r="U332" s="236"/>
      <c r="V332" s="236"/>
      <c r="W332" s="236"/>
      <c r="X332" s="236"/>
      <c r="Y332" s="236"/>
      <c r="Z332" s="236"/>
      <c r="AA332" s="236"/>
    </row>
    <row r="333" spans="21:27">
      <c r="U333" s="236"/>
      <c r="V333" s="236"/>
      <c r="W333" s="236"/>
      <c r="X333" s="236"/>
      <c r="Y333" s="236"/>
      <c r="Z333" s="236"/>
      <c r="AA333" s="236"/>
    </row>
    <row r="334" spans="21:27">
      <c r="U334" s="236"/>
      <c r="V334" s="236"/>
      <c r="W334" s="236"/>
      <c r="X334" s="236"/>
      <c r="Y334" s="236"/>
      <c r="Z334" s="236"/>
      <c r="AA334" s="236"/>
    </row>
    <row r="335" spans="21:27">
      <c r="U335" s="236"/>
      <c r="V335" s="236"/>
      <c r="W335" s="236"/>
      <c r="X335" s="236"/>
      <c r="Y335" s="236"/>
      <c r="Z335" s="236"/>
      <c r="AA335" s="236"/>
    </row>
    <row r="336" spans="21:27">
      <c r="U336" s="236"/>
      <c r="V336" s="236"/>
      <c r="W336" s="236"/>
      <c r="X336" s="236"/>
      <c r="Y336" s="236"/>
      <c r="Z336" s="236"/>
      <c r="AA336" s="236"/>
    </row>
    <row r="337" spans="21:27">
      <c r="U337" s="236"/>
      <c r="V337" s="236"/>
      <c r="W337" s="236"/>
      <c r="X337" s="236"/>
      <c r="Y337" s="236"/>
      <c r="Z337" s="236"/>
      <c r="AA337" s="236"/>
    </row>
    <row r="338" spans="21:27">
      <c r="U338" s="236"/>
      <c r="V338" s="236"/>
      <c r="W338" s="236"/>
      <c r="X338" s="236"/>
      <c r="Y338" s="236"/>
      <c r="Z338" s="236"/>
      <c r="AA338" s="236"/>
    </row>
    <row r="339" spans="21:27">
      <c r="U339" s="236"/>
      <c r="V339" s="236"/>
      <c r="W339" s="236"/>
      <c r="X339" s="236"/>
      <c r="Y339" s="236"/>
      <c r="Z339" s="236"/>
      <c r="AA339" s="236"/>
    </row>
    <row r="340" spans="21:27">
      <c r="U340" s="236"/>
      <c r="V340" s="236"/>
      <c r="W340" s="236"/>
      <c r="X340" s="236"/>
      <c r="Y340" s="236"/>
      <c r="Z340" s="236"/>
      <c r="AA340" s="236"/>
    </row>
    <row r="341" spans="21:27">
      <c r="U341" s="236"/>
      <c r="V341" s="236"/>
      <c r="W341" s="236"/>
      <c r="X341" s="236"/>
      <c r="Y341" s="236"/>
      <c r="Z341" s="236"/>
      <c r="AA341" s="236"/>
    </row>
    <row r="342" spans="21:27">
      <c r="U342" s="236"/>
      <c r="V342" s="236"/>
      <c r="W342" s="236"/>
      <c r="X342" s="236"/>
      <c r="Y342" s="236"/>
      <c r="Z342" s="236"/>
      <c r="AA342" s="236"/>
    </row>
    <row r="343" spans="21:27">
      <c r="U343" s="236"/>
      <c r="V343" s="236"/>
      <c r="W343" s="236"/>
      <c r="X343" s="236"/>
      <c r="Y343" s="236"/>
      <c r="Z343" s="236"/>
      <c r="AA343" s="236"/>
    </row>
    <row r="344" spans="21:27">
      <c r="U344" s="236"/>
      <c r="V344" s="236"/>
      <c r="W344" s="236"/>
      <c r="X344" s="236"/>
      <c r="Y344" s="236"/>
      <c r="Z344" s="236"/>
      <c r="AA344" s="236"/>
    </row>
    <row r="345" spans="21:27">
      <c r="U345" s="236"/>
      <c r="V345" s="236"/>
      <c r="W345" s="236"/>
      <c r="X345" s="236"/>
      <c r="Y345" s="236"/>
      <c r="Z345" s="236"/>
      <c r="AA345" s="236"/>
    </row>
    <row r="346" spans="21:27">
      <c r="U346" s="236"/>
      <c r="V346" s="236"/>
      <c r="W346" s="236"/>
      <c r="X346" s="236"/>
      <c r="Y346" s="236"/>
      <c r="Z346" s="236"/>
      <c r="AA346" s="236"/>
    </row>
    <row r="347" spans="21:27">
      <c r="U347" s="236"/>
      <c r="V347" s="236"/>
      <c r="W347" s="236"/>
      <c r="X347" s="236"/>
      <c r="Y347" s="236"/>
      <c r="Z347" s="236"/>
      <c r="AA347" s="236"/>
    </row>
    <row r="348" spans="21:27">
      <c r="U348" s="236"/>
      <c r="V348" s="236"/>
      <c r="W348" s="236"/>
      <c r="X348" s="236"/>
      <c r="Y348" s="236"/>
      <c r="Z348" s="236"/>
      <c r="AA348" s="236"/>
    </row>
    <row r="349" spans="21:27">
      <c r="U349" s="236"/>
      <c r="V349" s="236"/>
      <c r="W349" s="236"/>
      <c r="X349" s="236"/>
      <c r="Y349" s="236"/>
      <c r="Z349" s="236"/>
      <c r="AA349" s="236"/>
    </row>
    <row r="350" spans="21:27">
      <c r="U350" s="236"/>
      <c r="V350" s="236"/>
      <c r="W350" s="236"/>
      <c r="X350" s="236"/>
      <c r="Y350" s="236"/>
      <c r="Z350" s="236"/>
      <c r="AA350" s="236"/>
    </row>
    <row r="351" spans="21:27">
      <c r="U351" s="236"/>
      <c r="V351" s="236"/>
      <c r="W351" s="236"/>
      <c r="X351" s="236"/>
      <c r="Y351" s="236"/>
      <c r="Z351" s="236"/>
      <c r="AA351" s="236"/>
    </row>
    <row r="352" spans="21:27">
      <c r="U352" s="236"/>
      <c r="V352" s="236"/>
      <c r="W352" s="236"/>
      <c r="X352" s="236"/>
      <c r="Y352" s="236"/>
      <c r="Z352" s="236"/>
      <c r="AA352" s="236"/>
    </row>
    <row r="353" spans="21:27">
      <c r="U353" s="236"/>
      <c r="V353" s="236"/>
      <c r="W353" s="236"/>
      <c r="X353" s="236"/>
      <c r="Y353" s="236"/>
      <c r="Z353" s="236"/>
      <c r="AA353" s="236"/>
    </row>
    <row r="354" spans="21:27">
      <c r="U354" s="236"/>
      <c r="V354" s="236"/>
      <c r="W354" s="236"/>
      <c r="X354" s="236"/>
      <c r="Y354" s="236"/>
      <c r="Z354" s="236"/>
      <c r="AA354" s="236"/>
    </row>
    <row r="355" spans="21:27">
      <c r="U355" s="236"/>
      <c r="V355" s="236"/>
      <c r="W355" s="236"/>
      <c r="X355" s="236"/>
      <c r="Y355" s="236"/>
      <c r="Z355" s="236"/>
      <c r="AA355" s="236"/>
    </row>
    <row r="356" spans="21:27">
      <c r="U356" s="236"/>
      <c r="V356" s="236"/>
      <c r="W356" s="236"/>
      <c r="X356" s="236"/>
      <c r="Y356" s="236"/>
      <c r="Z356" s="236"/>
      <c r="AA356" s="236"/>
    </row>
    <row r="357" spans="21:27">
      <c r="U357" s="236"/>
      <c r="V357" s="236"/>
      <c r="W357" s="236"/>
      <c r="X357" s="236"/>
      <c r="Y357" s="236"/>
      <c r="Z357" s="236"/>
      <c r="AA357" s="236"/>
    </row>
    <row r="358" spans="21:27">
      <c r="U358" s="236"/>
      <c r="V358" s="236"/>
      <c r="W358" s="236"/>
      <c r="X358" s="236"/>
      <c r="Y358" s="236"/>
      <c r="Z358" s="236"/>
      <c r="AA358" s="236"/>
    </row>
    <row r="359" spans="21:27">
      <c r="U359" s="236"/>
      <c r="V359" s="236"/>
      <c r="W359" s="236"/>
      <c r="X359" s="236"/>
      <c r="Y359" s="236"/>
      <c r="Z359" s="236"/>
      <c r="AA359" s="236"/>
    </row>
    <row r="360" spans="21:27">
      <c r="U360" s="236"/>
      <c r="V360" s="236"/>
      <c r="W360" s="236"/>
      <c r="X360" s="236"/>
      <c r="Y360" s="236"/>
      <c r="Z360" s="236"/>
      <c r="AA360" s="236"/>
    </row>
    <row r="361" spans="21:27">
      <c r="U361" s="236"/>
      <c r="V361" s="236"/>
      <c r="W361" s="236"/>
      <c r="X361" s="236"/>
      <c r="Y361" s="236"/>
      <c r="Z361" s="236"/>
      <c r="AA361" s="236"/>
    </row>
    <row r="362" spans="21:27">
      <c r="U362" s="236"/>
      <c r="V362" s="236"/>
      <c r="W362" s="236"/>
      <c r="X362" s="236"/>
      <c r="Y362" s="236"/>
      <c r="Z362" s="236"/>
      <c r="AA362" s="236"/>
    </row>
    <row r="363" spans="21:27">
      <c r="U363" s="236"/>
      <c r="V363" s="236"/>
      <c r="W363" s="236"/>
      <c r="X363" s="236"/>
      <c r="Y363" s="236"/>
      <c r="Z363" s="236"/>
      <c r="AA363" s="236"/>
    </row>
    <row r="364" spans="21:27">
      <c r="U364" s="236"/>
      <c r="V364" s="236"/>
      <c r="W364" s="236"/>
      <c r="X364" s="236"/>
      <c r="Y364" s="236"/>
      <c r="Z364" s="236"/>
      <c r="AA364" s="236"/>
    </row>
    <row r="365" spans="21:27">
      <c r="U365" s="236"/>
      <c r="V365" s="236"/>
      <c r="W365" s="236"/>
      <c r="X365" s="236"/>
      <c r="Y365" s="236"/>
      <c r="Z365" s="236"/>
      <c r="AA365" s="236"/>
    </row>
    <row r="366" spans="21:27">
      <c r="U366" s="236"/>
      <c r="V366" s="236"/>
      <c r="W366" s="236"/>
      <c r="X366" s="236"/>
      <c r="Y366" s="236"/>
      <c r="Z366" s="236"/>
      <c r="AA366" s="236"/>
    </row>
    <row r="367" spans="21:27">
      <c r="U367" s="236"/>
      <c r="V367" s="236"/>
      <c r="W367" s="236"/>
      <c r="X367" s="236"/>
      <c r="Y367" s="236"/>
      <c r="Z367" s="236"/>
      <c r="AA367" s="236"/>
    </row>
    <row r="368" spans="21:27">
      <c r="U368" s="236"/>
      <c r="V368" s="236"/>
      <c r="W368" s="236"/>
      <c r="X368" s="236"/>
      <c r="Y368" s="236"/>
      <c r="Z368" s="236"/>
      <c r="AA368" s="236"/>
    </row>
    <row r="369" spans="21:27">
      <c r="U369" s="236"/>
      <c r="V369" s="236"/>
      <c r="W369" s="236"/>
      <c r="X369" s="236"/>
      <c r="Y369" s="236"/>
      <c r="Z369" s="236"/>
      <c r="AA369" s="236"/>
    </row>
    <row r="370" spans="21:27">
      <c r="U370" s="236"/>
      <c r="V370" s="236"/>
      <c r="W370" s="236"/>
      <c r="X370" s="236"/>
      <c r="Y370" s="236"/>
      <c r="Z370" s="236"/>
      <c r="AA370" s="236"/>
    </row>
    <row r="371" spans="21:27">
      <c r="U371" s="236"/>
      <c r="V371" s="236"/>
      <c r="W371" s="236"/>
      <c r="X371" s="236"/>
      <c r="Y371" s="236"/>
      <c r="Z371" s="236"/>
      <c r="AA371" s="236"/>
    </row>
    <row r="372" spans="21:27">
      <c r="U372" s="236"/>
      <c r="V372" s="236"/>
      <c r="W372" s="236"/>
      <c r="X372" s="236"/>
      <c r="Y372" s="236"/>
      <c r="Z372" s="236"/>
      <c r="AA372" s="236"/>
    </row>
    <row r="373" spans="21:27">
      <c r="U373" s="236"/>
      <c r="V373" s="236"/>
      <c r="W373" s="236"/>
      <c r="X373" s="236"/>
      <c r="Y373" s="236"/>
      <c r="Z373" s="236"/>
      <c r="AA373" s="236"/>
    </row>
    <row r="374" spans="21:27">
      <c r="U374" s="236"/>
      <c r="V374" s="236"/>
      <c r="W374" s="236"/>
      <c r="X374" s="236"/>
      <c r="Y374" s="236"/>
      <c r="Z374" s="236"/>
      <c r="AA374" s="236"/>
    </row>
    <row r="375" spans="21:27">
      <c r="U375" s="236"/>
      <c r="V375" s="236"/>
      <c r="W375" s="236"/>
      <c r="X375" s="236"/>
      <c r="Y375" s="236"/>
      <c r="Z375" s="236"/>
      <c r="AA375" s="236"/>
    </row>
    <row r="376" spans="21:27">
      <c r="U376" s="236"/>
      <c r="V376" s="236"/>
      <c r="W376" s="236"/>
      <c r="X376" s="236"/>
      <c r="Y376" s="236"/>
      <c r="Z376" s="236"/>
      <c r="AA376" s="236"/>
    </row>
    <row r="377" spans="21:27">
      <c r="U377" s="236"/>
      <c r="V377" s="236"/>
      <c r="W377" s="236"/>
      <c r="X377" s="236"/>
      <c r="Y377" s="236"/>
      <c r="Z377" s="236"/>
      <c r="AA377" s="236"/>
    </row>
    <row r="378" spans="21:27">
      <c r="U378" s="236"/>
      <c r="V378" s="236"/>
      <c r="W378" s="236"/>
      <c r="X378" s="236"/>
      <c r="Y378" s="236"/>
      <c r="Z378" s="236"/>
      <c r="AA378" s="236"/>
    </row>
    <row r="379" spans="21:27">
      <c r="U379" s="236"/>
      <c r="V379" s="236"/>
      <c r="W379" s="236"/>
      <c r="X379" s="236"/>
      <c r="Y379" s="236"/>
      <c r="Z379" s="236"/>
      <c r="AA379" s="236"/>
    </row>
    <row r="380" spans="21:27">
      <c r="U380" s="236"/>
      <c r="V380" s="236"/>
      <c r="W380" s="236"/>
      <c r="X380" s="236"/>
      <c r="Y380" s="236"/>
      <c r="Z380" s="236"/>
      <c r="AA380" s="236"/>
    </row>
    <row r="381" spans="21:27">
      <c r="U381" s="236"/>
      <c r="V381" s="236"/>
      <c r="W381" s="236"/>
      <c r="X381" s="236"/>
      <c r="Y381" s="236"/>
      <c r="Z381" s="236"/>
      <c r="AA381" s="236"/>
    </row>
    <row r="382" spans="21:27">
      <c r="U382" s="236"/>
      <c r="V382" s="236"/>
      <c r="W382" s="236"/>
      <c r="X382" s="236"/>
      <c r="Y382" s="236"/>
      <c r="Z382" s="236"/>
      <c r="AA382" s="236"/>
    </row>
    <row r="383" spans="21:27">
      <c r="U383" s="236"/>
      <c r="V383" s="236"/>
      <c r="W383" s="236"/>
      <c r="X383" s="236"/>
      <c r="Y383" s="236"/>
      <c r="Z383" s="236"/>
      <c r="AA383" s="236"/>
    </row>
    <row r="384" spans="21:27">
      <c r="U384" s="236"/>
      <c r="V384" s="236"/>
      <c r="W384" s="236"/>
      <c r="X384" s="236"/>
      <c r="Y384" s="236"/>
      <c r="Z384" s="236"/>
      <c r="AA384" s="236"/>
    </row>
    <row r="385" spans="21:27">
      <c r="U385" s="236"/>
      <c r="V385" s="236"/>
      <c r="W385" s="236"/>
      <c r="X385" s="236"/>
      <c r="Y385" s="236"/>
      <c r="Z385" s="236"/>
      <c r="AA385" s="236"/>
    </row>
    <row r="386" spans="21:27">
      <c r="U386" s="236"/>
      <c r="V386" s="236"/>
      <c r="W386" s="236"/>
      <c r="X386" s="236"/>
      <c r="Y386" s="236"/>
      <c r="Z386" s="236"/>
      <c r="AA386" s="236"/>
    </row>
    <row r="387" spans="21:27">
      <c r="U387" s="236"/>
      <c r="V387" s="236"/>
      <c r="W387" s="236"/>
      <c r="X387" s="236"/>
      <c r="Y387" s="236"/>
      <c r="Z387" s="236"/>
      <c r="AA387" s="236"/>
    </row>
    <row r="388" spans="21:27">
      <c r="U388" s="236"/>
      <c r="V388" s="236"/>
      <c r="W388" s="236"/>
      <c r="X388" s="236"/>
      <c r="Y388" s="236"/>
      <c r="Z388" s="236"/>
      <c r="AA388" s="236"/>
    </row>
    <row r="389" spans="21:27">
      <c r="U389" s="236"/>
      <c r="V389" s="236"/>
      <c r="W389" s="236"/>
      <c r="X389" s="236"/>
      <c r="Y389" s="236"/>
      <c r="Z389" s="236"/>
      <c r="AA389" s="236"/>
    </row>
    <row r="390" spans="21:27">
      <c r="U390" s="236"/>
      <c r="V390" s="236"/>
      <c r="W390" s="236"/>
      <c r="X390" s="236"/>
      <c r="Y390" s="236"/>
      <c r="Z390" s="236"/>
      <c r="AA390" s="236"/>
    </row>
    <row r="391" spans="21:27">
      <c r="U391" s="236"/>
      <c r="V391" s="236"/>
      <c r="W391" s="236"/>
      <c r="X391" s="236"/>
      <c r="Y391" s="236"/>
      <c r="Z391" s="236"/>
      <c r="AA391" s="236"/>
    </row>
    <row r="392" spans="21:27">
      <c r="U392" s="236"/>
      <c r="V392" s="236"/>
      <c r="W392" s="236"/>
      <c r="X392" s="236"/>
      <c r="Y392" s="236"/>
      <c r="Z392" s="236"/>
      <c r="AA392" s="236"/>
    </row>
    <row r="393" spans="21:27">
      <c r="U393" s="236"/>
      <c r="V393" s="236"/>
      <c r="W393" s="236"/>
      <c r="X393" s="236"/>
      <c r="Y393" s="236"/>
      <c r="Z393" s="236"/>
      <c r="AA393" s="236"/>
    </row>
    <row r="394" spans="21:27">
      <c r="U394" s="236"/>
      <c r="V394" s="236"/>
      <c r="W394" s="236"/>
      <c r="X394" s="236"/>
      <c r="Y394" s="236"/>
      <c r="Z394" s="236"/>
      <c r="AA394" s="236"/>
    </row>
    <row r="395" spans="21:27">
      <c r="U395" s="236"/>
      <c r="V395" s="236"/>
      <c r="W395" s="236"/>
      <c r="X395" s="236"/>
      <c r="Y395" s="236"/>
      <c r="Z395" s="236"/>
      <c r="AA395" s="236"/>
    </row>
    <row r="396" spans="21:27">
      <c r="U396" s="236"/>
      <c r="V396" s="236"/>
      <c r="W396" s="236"/>
      <c r="X396" s="236"/>
      <c r="Y396" s="236"/>
      <c r="Z396" s="236"/>
      <c r="AA396" s="236"/>
    </row>
    <row r="397" spans="21:27">
      <c r="U397" s="236"/>
      <c r="V397" s="236"/>
      <c r="W397" s="236"/>
      <c r="X397" s="236"/>
      <c r="Y397" s="236"/>
      <c r="Z397" s="236"/>
      <c r="AA397" s="236"/>
    </row>
    <row r="398" spans="21:27">
      <c r="U398" s="236"/>
      <c r="V398" s="236"/>
      <c r="W398" s="236"/>
      <c r="X398" s="236"/>
      <c r="Y398" s="236"/>
      <c r="Z398" s="236"/>
      <c r="AA398" s="236"/>
    </row>
    <row r="399" spans="21:27">
      <c r="U399" s="236"/>
      <c r="V399" s="236"/>
      <c r="W399" s="236"/>
      <c r="X399" s="236"/>
      <c r="Y399" s="236"/>
      <c r="Z399" s="236"/>
      <c r="AA399" s="236"/>
    </row>
    <row r="400" spans="21:27">
      <c r="U400" s="236"/>
      <c r="V400" s="236"/>
      <c r="W400" s="236"/>
      <c r="X400" s="236"/>
      <c r="Y400" s="236"/>
      <c r="Z400" s="236"/>
      <c r="AA400" s="236"/>
    </row>
    <row r="401" spans="21:27">
      <c r="U401" s="236"/>
      <c r="V401" s="236"/>
      <c r="W401" s="236"/>
      <c r="X401" s="236"/>
      <c r="Y401" s="236"/>
      <c r="Z401" s="236"/>
      <c r="AA401" s="236"/>
    </row>
    <row r="402" spans="21:27">
      <c r="U402" s="236"/>
      <c r="V402" s="236"/>
      <c r="W402" s="236"/>
      <c r="X402" s="236"/>
      <c r="Y402" s="236"/>
      <c r="Z402" s="236"/>
      <c r="AA402" s="236"/>
    </row>
    <row r="403" spans="21:27">
      <c r="U403" s="236"/>
      <c r="V403" s="236"/>
      <c r="W403" s="236"/>
      <c r="X403" s="236"/>
      <c r="Y403" s="236"/>
      <c r="Z403" s="236"/>
      <c r="AA403" s="236"/>
    </row>
    <row r="404" spans="21:27">
      <c r="U404" s="236"/>
      <c r="V404" s="236"/>
      <c r="W404" s="236"/>
      <c r="X404" s="236"/>
      <c r="Y404" s="236"/>
      <c r="Z404" s="236"/>
      <c r="AA404" s="236"/>
    </row>
    <row r="405" spans="21:27">
      <c r="U405" s="236"/>
      <c r="V405" s="236"/>
      <c r="W405" s="236"/>
      <c r="X405" s="236"/>
      <c r="Y405" s="236"/>
      <c r="Z405" s="236"/>
      <c r="AA405" s="236"/>
    </row>
    <row r="406" spans="21:27">
      <c r="U406" s="236"/>
      <c r="V406" s="236"/>
      <c r="W406" s="236"/>
      <c r="X406" s="236"/>
      <c r="Y406" s="236"/>
      <c r="Z406" s="236"/>
      <c r="AA406" s="236"/>
    </row>
    <row r="407" spans="21:27">
      <c r="U407" s="236"/>
      <c r="V407" s="236"/>
      <c r="W407" s="236"/>
      <c r="X407" s="236"/>
      <c r="Y407" s="236"/>
      <c r="Z407" s="236"/>
      <c r="AA407" s="236"/>
    </row>
    <row r="408" spans="21:27">
      <c r="U408" s="236"/>
      <c r="V408" s="236"/>
      <c r="W408" s="236"/>
      <c r="X408" s="236"/>
      <c r="Y408" s="236"/>
      <c r="Z408" s="236"/>
      <c r="AA408" s="236"/>
    </row>
    <row r="409" spans="21:27">
      <c r="U409" s="236"/>
      <c r="V409" s="236"/>
      <c r="W409" s="236"/>
      <c r="X409" s="236"/>
      <c r="Y409" s="236"/>
      <c r="Z409" s="236"/>
      <c r="AA409" s="236"/>
    </row>
    <row r="410" spans="21:27">
      <c r="U410" s="236"/>
      <c r="V410" s="236"/>
      <c r="W410" s="236"/>
      <c r="X410" s="236"/>
      <c r="Y410" s="236"/>
      <c r="Z410" s="236"/>
      <c r="AA410" s="236"/>
    </row>
    <row r="411" spans="21:27">
      <c r="U411" s="236"/>
      <c r="V411" s="236"/>
      <c r="W411" s="236"/>
      <c r="X411" s="236"/>
      <c r="Y411" s="236"/>
      <c r="Z411" s="236"/>
      <c r="AA411" s="236"/>
    </row>
    <row r="412" spans="21:27">
      <c r="U412" s="236"/>
      <c r="V412" s="236"/>
      <c r="W412" s="236"/>
      <c r="X412" s="236"/>
      <c r="Y412" s="236"/>
      <c r="Z412" s="236"/>
      <c r="AA412" s="236"/>
    </row>
    <row r="413" spans="21:27">
      <c r="U413" s="236"/>
      <c r="V413" s="236"/>
      <c r="W413" s="236"/>
      <c r="X413" s="236"/>
      <c r="Y413" s="236"/>
      <c r="Z413" s="236"/>
      <c r="AA413" s="236"/>
    </row>
    <row r="414" spans="21:27">
      <c r="U414" s="236"/>
      <c r="V414" s="236"/>
      <c r="W414" s="236"/>
      <c r="X414" s="236"/>
      <c r="Y414" s="236"/>
      <c r="Z414" s="236"/>
      <c r="AA414" s="236"/>
    </row>
    <row r="415" spans="21:27">
      <c r="U415" s="236"/>
      <c r="V415" s="236"/>
      <c r="W415" s="236"/>
      <c r="X415" s="236"/>
      <c r="Y415" s="236"/>
      <c r="Z415" s="236"/>
      <c r="AA415" s="236"/>
    </row>
    <row r="416" spans="21:27">
      <c r="U416" s="236"/>
      <c r="V416" s="236"/>
      <c r="W416" s="236"/>
      <c r="X416" s="236"/>
      <c r="Y416" s="236"/>
      <c r="Z416" s="236"/>
      <c r="AA416" s="236"/>
    </row>
    <row r="417" spans="21:27">
      <c r="U417" s="236"/>
      <c r="V417" s="236"/>
      <c r="W417" s="236"/>
      <c r="X417" s="236"/>
      <c r="Y417" s="236"/>
      <c r="Z417" s="236"/>
      <c r="AA417" s="236"/>
    </row>
    <row r="418" spans="21:27">
      <c r="U418" s="236"/>
      <c r="V418" s="236"/>
      <c r="W418" s="236"/>
      <c r="X418" s="236"/>
      <c r="Y418" s="236"/>
      <c r="Z418" s="236"/>
      <c r="AA418" s="236"/>
    </row>
    <row r="419" spans="21:27">
      <c r="U419" s="236"/>
      <c r="V419" s="236"/>
      <c r="W419" s="236"/>
      <c r="X419" s="236"/>
      <c r="Y419" s="236"/>
      <c r="Z419" s="236"/>
      <c r="AA419" s="236"/>
    </row>
    <row r="420" spans="21:27">
      <c r="U420" s="236"/>
      <c r="V420" s="236"/>
      <c r="W420" s="236"/>
      <c r="X420" s="236"/>
      <c r="Y420" s="236"/>
      <c r="Z420" s="236"/>
      <c r="AA420" s="236"/>
    </row>
    <row r="421" spans="21:27">
      <c r="U421" s="236"/>
      <c r="V421" s="236"/>
      <c r="W421" s="236"/>
      <c r="X421" s="236"/>
      <c r="Y421" s="236"/>
      <c r="Z421" s="236"/>
      <c r="AA421" s="236"/>
    </row>
    <row r="422" spans="21:27">
      <c r="U422" s="236"/>
      <c r="V422" s="236"/>
      <c r="W422" s="236"/>
      <c r="X422" s="236"/>
      <c r="Y422" s="236"/>
      <c r="Z422" s="236"/>
      <c r="AA422" s="236"/>
    </row>
    <row r="423" spans="21:27">
      <c r="U423" s="236"/>
      <c r="V423" s="236"/>
      <c r="W423" s="236"/>
      <c r="X423" s="236"/>
      <c r="Y423" s="236"/>
      <c r="Z423" s="236"/>
      <c r="AA423" s="236"/>
    </row>
    <row r="424" spans="21:27">
      <c r="U424" s="236"/>
      <c r="V424" s="236"/>
      <c r="W424" s="236"/>
      <c r="X424" s="236"/>
      <c r="Y424" s="236"/>
      <c r="Z424" s="236"/>
      <c r="AA424" s="236"/>
    </row>
    <row r="425" spans="21:27">
      <c r="U425" s="236"/>
      <c r="V425" s="236"/>
      <c r="W425" s="236"/>
      <c r="X425" s="236"/>
      <c r="Y425" s="236"/>
      <c r="Z425" s="236"/>
      <c r="AA425" s="236"/>
    </row>
    <row r="426" spans="21:27">
      <c r="U426" s="236"/>
      <c r="V426" s="236"/>
      <c r="W426" s="236"/>
      <c r="X426" s="236"/>
      <c r="Y426" s="236"/>
      <c r="Z426" s="236"/>
      <c r="AA426" s="236"/>
    </row>
    <row r="427" spans="21:27">
      <c r="U427" s="236"/>
      <c r="V427" s="236"/>
      <c r="W427" s="236"/>
      <c r="X427" s="236"/>
      <c r="Y427" s="236"/>
      <c r="Z427" s="236"/>
      <c r="AA427" s="236"/>
    </row>
    <row r="428" spans="21:27">
      <c r="U428" s="236"/>
      <c r="V428" s="236"/>
      <c r="W428" s="236"/>
      <c r="X428" s="236"/>
      <c r="Y428" s="236"/>
      <c r="Z428" s="236"/>
      <c r="AA428" s="236"/>
    </row>
    <row r="429" spans="21:27">
      <c r="U429" s="236"/>
      <c r="V429" s="236"/>
      <c r="W429" s="236"/>
      <c r="X429" s="236"/>
      <c r="Y429" s="236"/>
      <c r="Z429" s="236"/>
      <c r="AA429" s="236"/>
    </row>
    <row r="430" spans="21:27">
      <c r="U430" s="236"/>
      <c r="V430" s="236"/>
      <c r="W430" s="236"/>
      <c r="X430" s="236"/>
      <c r="Y430" s="236"/>
      <c r="Z430" s="236"/>
      <c r="AA430" s="236"/>
    </row>
    <row r="431" spans="21:27">
      <c r="U431" s="236"/>
      <c r="V431" s="236"/>
      <c r="W431" s="236"/>
      <c r="X431" s="236"/>
      <c r="Y431" s="236"/>
      <c r="Z431" s="236"/>
      <c r="AA431" s="236"/>
    </row>
    <row r="432" spans="21:27">
      <c r="U432" s="236"/>
      <c r="V432" s="236"/>
      <c r="W432" s="236"/>
      <c r="X432" s="236"/>
      <c r="Y432" s="236"/>
      <c r="Z432" s="236"/>
      <c r="AA432" s="236"/>
    </row>
    <row r="433" spans="21:27">
      <c r="U433" s="236"/>
      <c r="V433" s="236"/>
      <c r="W433" s="236"/>
      <c r="X433" s="236"/>
      <c r="Y433" s="236"/>
      <c r="Z433" s="236"/>
      <c r="AA433" s="236"/>
    </row>
    <row r="434" spans="21:27">
      <c r="U434" s="236"/>
      <c r="V434" s="236"/>
      <c r="W434" s="236"/>
      <c r="X434" s="236"/>
      <c r="Y434" s="236"/>
      <c r="Z434" s="236"/>
      <c r="AA434" s="236"/>
    </row>
    <row r="435" spans="21:27">
      <c r="U435" s="236"/>
      <c r="V435" s="236"/>
      <c r="W435" s="236"/>
      <c r="X435" s="236"/>
      <c r="Y435" s="236"/>
      <c r="Z435" s="236"/>
      <c r="AA435" s="236"/>
    </row>
    <row r="436" spans="21:27">
      <c r="U436" s="236"/>
      <c r="V436" s="236"/>
      <c r="W436" s="236"/>
      <c r="X436" s="236"/>
      <c r="Y436" s="236"/>
      <c r="Z436" s="236"/>
      <c r="AA436" s="236"/>
    </row>
    <row r="437" spans="21:27">
      <c r="U437" s="236"/>
      <c r="V437" s="236"/>
      <c r="W437" s="236"/>
      <c r="X437" s="236"/>
      <c r="Y437" s="236"/>
      <c r="Z437" s="236"/>
      <c r="AA437" s="236"/>
    </row>
    <row r="438" spans="21:27">
      <c r="U438" s="236"/>
      <c r="V438" s="236"/>
      <c r="W438" s="236"/>
      <c r="X438" s="236"/>
      <c r="Y438" s="236"/>
      <c r="Z438" s="236"/>
      <c r="AA438" s="236"/>
    </row>
    <row r="439" spans="21:27">
      <c r="U439" s="236"/>
      <c r="V439" s="236"/>
      <c r="W439" s="236"/>
      <c r="X439" s="236"/>
      <c r="Y439" s="236"/>
      <c r="Z439" s="236"/>
      <c r="AA439" s="236"/>
    </row>
    <row r="440" spans="21:27">
      <c r="U440" s="236"/>
      <c r="V440" s="236"/>
      <c r="W440" s="236"/>
      <c r="X440" s="236"/>
      <c r="Y440" s="236"/>
      <c r="Z440" s="236"/>
      <c r="AA440" s="236"/>
    </row>
    <row r="441" spans="21:27">
      <c r="U441" s="236"/>
      <c r="V441" s="236"/>
      <c r="W441" s="236"/>
      <c r="X441" s="236"/>
      <c r="Y441" s="236"/>
      <c r="Z441" s="236"/>
      <c r="AA441" s="236"/>
    </row>
    <row r="442" spans="21:27">
      <c r="U442" s="236"/>
      <c r="V442" s="236"/>
      <c r="W442" s="236"/>
      <c r="X442" s="236"/>
      <c r="Y442" s="236"/>
      <c r="Z442" s="236"/>
      <c r="AA442" s="236"/>
    </row>
    <row r="443" spans="21:27">
      <c r="U443" s="236"/>
      <c r="V443" s="236"/>
      <c r="W443" s="236"/>
      <c r="X443" s="236"/>
      <c r="Y443" s="236"/>
      <c r="Z443" s="236"/>
      <c r="AA443" s="236"/>
    </row>
    <row r="444" spans="21:27">
      <c r="U444" s="236"/>
      <c r="V444" s="236"/>
      <c r="W444" s="236"/>
      <c r="X444" s="236"/>
      <c r="Y444" s="236"/>
      <c r="Z444" s="236"/>
      <c r="AA444" s="236"/>
    </row>
    <row r="445" spans="21:27">
      <c r="U445" s="236"/>
      <c r="V445" s="236"/>
      <c r="W445" s="236"/>
      <c r="X445" s="236"/>
      <c r="Y445" s="236"/>
      <c r="Z445" s="236"/>
      <c r="AA445" s="236"/>
    </row>
    <row r="446" spans="21:27">
      <c r="U446" s="236"/>
      <c r="V446" s="236"/>
      <c r="W446" s="236"/>
      <c r="X446" s="236"/>
      <c r="Y446" s="236"/>
      <c r="Z446" s="236"/>
      <c r="AA446" s="236"/>
    </row>
  </sheetData>
  <mergeCells count="5">
    <mergeCell ref="O22:P22"/>
    <mergeCell ref="J20:K20"/>
    <mergeCell ref="F27:F28"/>
    <mergeCell ref="G27:G28"/>
    <mergeCell ref="H27:H28"/>
  </mergeCells>
  <conditionalFormatting sqref="I23:I26">
    <cfRule type="iconSet" priority="20">
      <iconSet iconSet="3Arrows">
        <cfvo type="percent" val="0"/>
        <cfvo type="num" val="0"/>
        <cfvo type="num" val="0"/>
      </iconSet>
    </cfRule>
  </conditionalFormatting>
  <conditionalFormatting sqref="I34:I37">
    <cfRule type="iconSet" priority="16">
      <iconSet iconSet="3Arrows">
        <cfvo type="percent" val="0"/>
        <cfvo type="num" val="0"/>
        <cfvo type="num" val="0"/>
      </iconSet>
    </cfRule>
  </conditionalFormatting>
  <conditionalFormatting sqref="K23:K26">
    <cfRule type="iconSet" priority="19">
      <iconSet iconSet="3Arrows">
        <cfvo type="percent" val="0"/>
        <cfvo type="num" val="0"/>
        <cfvo type="num" val="0"/>
      </iconSet>
    </cfRule>
  </conditionalFormatting>
  <conditionalFormatting sqref="K27">
    <cfRule type="containsText" dxfId="65" priority="17" operator="containsText" text="Lower than competition">
      <formula>NOT(ISERROR(SEARCH("Lower than competition",K27)))</formula>
    </cfRule>
    <cfRule type="containsText" dxfId="64" priority="18" operator="containsText" text="Better than competition">
      <formula>NOT(ISERROR(SEARCH("Better than competition",K27)))</formula>
    </cfRule>
  </conditionalFormatting>
  <conditionalFormatting sqref="K34:K37">
    <cfRule type="iconSet" priority="15">
      <iconSet iconSet="3Arrows">
        <cfvo type="percent" val="0"/>
        <cfvo type="num" val="0"/>
        <cfvo type="num" val="0"/>
      </iconSet>
    </cfRule>
  </conditionalFormatting>
  <conditionalFormatting sqref="K38">
    <cfRule type="containsText" dxfId="63" priority="13" operator="containsText" text="Lower than competition">
      <formula>NOT(ISERROR(SEARCH("Lower than competition",K38)))</formula>
    </cfRule>
    <cfRule type="containsText" dxfId="62" priority="14" operator="containsText" text="Better than competition">
      <formula>NOT(ISERROR(SEARCH("Better than competition",K38)))</formula>
    </cfRule>
  </conditionalFormatting>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4C247237-B3C4-44D9-AB4C-6E8F6F1420FB}">
          <x14:formula1>
            <xm:f>Reference!$A$2:$A$13</xm:f>
          </x14:formula1>
          <xm:sqref>G17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6CA8-A9D8-42ED-AC7A-9EF001D0C4A3}">
  <sheetPr codeName="Sheet33">
    <tabColor theme="4" tint="0.79998168889431442"/>
  </sheetPr>
  <dimension ref="A1:AC181"/>
  <sheetViews>
    <sheetView showGridLines="0" zoomScale="80" zoomScaleNormal="80" workbookViewId="0">
      <pane ySplit="18" topLeftCell="A19" activePane="bottomLeft" state="frozen"/>
      <selection pane="bottomLeft"/>
    </sheetView>
  </sheetViews>
  <sheetFormatPr baseColWidth="10" defaultColWidth="8.83203125" defaultRowHeight="15"/>
  <cols>
    <col min="1" max="1" width="5.33203125" style="236" customWidth="1"/>
    <col min="2" max="2" width="2.1640625" style="236" customWidth="1"/>
    <col min="3" max="3" width="50.5" style="243" bestFit="1" customWidth="1"/>
    <col min="4" max="4" width="14.1640625" style="400" bestFit="1" customWidth="1"/>
    <col min="5" max="5" width="16.1640625" style="236" bestFit="1" customWidth="1"/>
    <col min="6" max="15" width="14.1640625" style="236" bestFit="1" customWidth="1"/>
    <col min="16" max="16" width="4.83203125" style="236" bestFit="1" customWidth="1"/>
    <col min="17" max="17" width="5.33203125" style="236" customWidth="1"/>
    <col min="18" max="23" width="8.83203125" style="114"/>
    <col min="24" max="24" width="11" style="114" bestFit="1" customWidth="1"/>
    <col min="25" max="25" width="13.5" style="114" bestFit="1" customWidth="1"/>
    <col min="26" max="28" width="8.83203125" style="114"/>
    <col min="29" max="29" width="14.33203125" style="114" bestFit="1" customWidth="1"/>
    <col min="30" max="16384" width="8.83203125" style="114"/>
  </cols>
  <sheetData>
    <row r="1" spans="3:10" s="114" customFormat="1">
      <c r="C1" s="118"/>
      <c r="H1" s="264"/>
    </row>
    <row r="2" spans="3:10" s="114" customFormat="1">
      <c r="C2" s="118"/>
      <c r="H2" s="264"/>
    </row>
    <row r="3" spans="3:10" s="114" customFormat="1">
      <c r="C3" s="118"/>
      <c r="H3" s="264"/>
    </row>
    <row r="4" spans="3:10" s="114" customFormat="1">
      <c r="C4" s="118"/>
      <c r="H4" s="264"/>
    </row>
    <row r="5" spans="3:10" s="114" customFormat="1">
      <c r="C5" s="118"/>
      <c r="H5" s="264"/>
    </row>
    <row r="6" spans="3:10" s="114" customFormat="1">
      <c r="C6" s="118"/>
      <c r="H6" s="264"/>
    </row>
    <row r="7" spans="3:10" s="114" customFormat="1">
      <c r="C7" s="118"/>
      <c r="H7" s="264"/>
    </row>
    <row r="8" spans="3:10" s="114" customFormat="1">
      <c r="C8" s="118"/>
      <c r="H8" s="264"/>
    </row>
    <row r="9" spans="3:10" s="114" customFormat="1">
      <c r="C9" s="118"/>
      <c r="H9" s="264"/>
    </row>
    <row r="10" spans="3:10" s="114" customFormat="1">
      <c r="C10" s="118"/>
      <c r="H10" s="264"/>
    </row>
    <row r="11" spans="3:10" s="114" customFormat="1">
      <c r="C11" s="118"/>
      <c r="H11" s="264"/>
    </row>
    <row r="12" spans="3:10" s="114" customFormat="1">
      <c r="C12" s="118"/>
      <c r="H12" s="264"/>
    </row>
    <row r="13" spans="3:10" s="114" customFormat="1">
      <c r="C13" s="118"/>
      <c r="H13" s="264"/>
    </row>
    <row r="14" spans="3:10" s="114" customFormat="1">
      <c r="C14" s="118"/>
      <c r="H14" s="264"/>
    </row>
    <row r="15" spans="3:10" s="114" customFormat="1">
      <c r="C15" s="118"/>
      <c r="H15" s="264"/>
    </row>
    <row r="16" spans="3:10" s="114" customFormat="1" ht="16" thickBot="1">
      <c r="D16" s="401"/>
      <c r="J16" s="130"/>
    </row>
    <row r="17" spans="1:26" s="287" customFormat="1" ht="26.5" customHeight="1" thickBot="1">
      <c r="C17" s="643" t="s">
        <v>174</v>
      </c>
      <c r="D17" s="647" t="str">
        <f>'Dashboard Aifina'!G16</f>
        <v>October</v>
      </c>
      <c r="E17" s="648">
        <f>VLOOKUP('Revenue analysis'!D17,Reference!$A$2:$B$13,2,0)</f>
        <v>10</v>
      </c>
      <c r="F17" s="666">
        <v>2022</v>
      </c>
      <c r="G17" s="649">
        <v>2023</v>
      </c>
    </row>
    <row r="18" spans="1:26">
      <c r="A18" s="114"/>
      <c r="B18" s="114"/>
      <c r="C18" s="118"/>
      <c r="D18" s="401"/>
      <c r="E18" s="114"/>
      <c r="F18" s="114"/>
      <c r="G18" s="114"/>
      <c r="H18" s="114"/>
      <c r="I18" s="114"/>
      <c r="J18" s="114"/>
      <c r="K18" s="114"/>
      <c r="L18" s="114"/>
      <c r="M18" s="114"/>
      <c r="N18" s="114"/>
      <c r="O18" s="114"/>
      <c r="P18" s="114"/>
      <c r="Q18" s="114"/>
    </row>
    <row r="21" spans="1:26" ht="22">
      <c r="B21" s="234"/>
      <c r="C21" s="335" t="s">
        <v>98</v>
      </c>
      <c r="D21" s="409"/>
      <c r="E21" s="335"/>
      <c r="F21" s="234"/>
      <c r="G21" s="731" t="s">
        <v>250</v>
      </c>
      <c r="H21" s="731"/>
      <c r="I21" s="295"/>
      <c r="J21" s="293"/>
      <c r="K21" s="294"/>
      <c r="L21" s="293"/>
      <c r="M21" s="293"/>
      <c r="N21" s="293"/>
      <c r="O21" s="752"/>
      <c r="P21" s="752"/>
    </row>
    <row r="22" spans="1:26" s="204" customFormat="1" ht="34">
      <c r="A22" s="244"/>
      <c r="B22" s="252"/>
      <c r="C22" s="258">
        <f>-SUMIFS('Jounal entries final'!$H:$H,'Jounal entries final'!$E:$E,C21,'Jounal entries final'!$B:$B,E17,'Jounal entries final'!$C:$C,'Revenue analysis'!$F$17)</f>
        <v>11353191</v>
      </c>
      <c r="D22" s="410"/>
      <c r="E22" s="258"/>
      <c r="F22" s="234"/>
      <c r="G22" s="234"/>
      <c r="H22" s="234"/>
      <c r="I22" s="295"/>
      <c r="J22" s="295"/>
      <c r="K22" s="765"/>
      <c r="L22" s="765"/>
      <c r="M22" s="765"/>
      <c r="N22" s="293"/>
      <c r="O22" s="293"/>
      <c r="P22" s="293"/>
      <c r="Q22" s="244"/>
    </row>
    <row r="23" spans="1:26" ht="22">
      <c r="B23" s="234"/>
      <c r="C23" s="397" t="s">
        <v>281</v>
      </c>
      <c r="D23" s="396"/>
      <c r="E23" s="396"/>
      <c r="F23" s="780" t="s">
        <v>179</v>
      </c>
      <c r="G23" s="780"/>
      <c r="H23" s="234"/>
      <c r="I23" s="295"/>
      <c r="J23" s="293"/>
      <c r="K23" s="781"/>
      <c r="L23" s="782"/>
      <c r="M23" s="782"/>
      <c r="N23" s="782"/>
      <c r="O23" s="782"/>
      <c r="P23" s="293"/>
    </row>
    <row r="24" spans="1:26" ht="22">
      <c r="B24" s="234"/>
      <c r="C24" s="254" t="s">
        <v>180</v>
      </c>
      <c r="D24" s="733">
        <f>-SUMIFS('Jounal entries final'!$H:$H,'Jounal entries final'!$E:$E,C21,'Jounal entries final'!$B:$B,E17-1,'Jounal entries final'!$C:$C,'Financial statement 1 P&amp;L'!$G$3)</f>
        <v>11487586</v>
      </c>
      <c r="E24" s="733">
        <f>-SUMIFS('Jounal entries final'!$H:$H,'Jounal entries final'!$E:$E,'Financial statement 1 P&amp;L'!D12,'Jounal entries final'!$B:$B,'Financial statement 1 P&amp;L'!$E$2-1,'Jounal entries final'!$C:$C,'Financial statement 1 P&amp;L'!$G$3)</f>
        <v>0</v>
      </c>
      <c r="F24" s="783">
        <f>+(C22-D24)</f>
        <v>-134395</v>
      </c>
      <c r="G24" s="783"/>
      <c r="H24" s="261">
        <f>+(C22-D24)/D24</f>
        <v>-1.1699150718001153E-2</v>
      </c>
      <c r="I24" s="295"/>
      <c r="J24" s="293"/>
      <c r="K24" s="782"/>
      <c r="L24" s="782"/>
      <c r="M24" s="782"/>
      <c r="N24" s="782"/>
      <c r="O24" s="782"/>
      <c r="P24" s="293"/>
    </row>
    <row r="25" spans="1:26" ht="22">
      <c r="B25" s="234"/>
      <c r="C25" s="254" t="s">
        <v>277</v>
      </c>
      <c r="D25" s="402"/>
      <c r="E25" s="254"/>
      <c r="F25" s="783">
        <f>HLOOKUP(D17,$D$73:$O$76,3,0)</f>
        <v>-27489.476016241333</v>
      </c>
      <c r="G25" s="783"/>
      <c r="H25" s="261">
        <f>(E95-D95)/D95</f>
        <v>-0.12585165136162771</v>
      </c>
      <c r="I25" s="295"/>
      <c r="J25" s="293"/>
      <c r="K25" s="782"/>
      <c r="L25" s="782"/>
      <c r="M25" s="782"/>
      <c r="N25" s="782"/>
      <c r="O25" s="782"/>
      <c r="P25" s="293"/>
    </row>
    <row r="26" spans="1:26" ht="22">
      <c r="B26" s="234"/>
      <c r="C26" s="254" t="s">
        <v>278</v>
      </c>
      <c r="D26" s="402"/>
      <c r="E26" s="254"/>
      <c r="F26" s="783">
        <f>HLOOKUP(D17,$D$73:$O$76,2,0)</f>
        <v>-106905.52398375774</v>
      </c>
      <c r="G26" s="783"/>
      <c r="H26" s="261">
        <f>((E80/E95)-(D80/D95))/(D80/D95)</f>
        <v>5.9145515866092353E-2</v>
      </c>
      <c r="I26" s="295"/>
      <c r="J26" s="293"/>
      <c r="K26" s="249"/>
      <c r="L26" s="749"/>
      <c r="M26" s="749"/>
      <c r="N26" s="750"/>
      <c r="O26" s="750"/>
      <c r="P26" s="293"/>
    </row>
    <row r="27" spans="1:26" ht="22">
      <c r="B27" s="234"/>
      <c r="C27" s="255"/>
      <c r="D27" s="411"/>
      <c r="E27" s="257"/>
      <c r="F27" s="234"/>
      <c r="G27" s="234"/>
      <c r="H27" s="234"/>
      <c r="I27" s="295"/>
      <c r="J27" s="293"/>
      <c r="K27" s="246"/>
      <c r="L27" s="247"/>
      <c r="M27" s="248"/>
      <c r="N27" s="293"/>
      <c r="O27" s="293"/>
      <c r="P27" s="293"/>
    </row>
    <row r="28" spans="1:26">
      <c r="C28" s="245"/>
      <c r="D28" s="399"/>
    </row>
    <row r="29" spans="1:26">
      <c r="C29" s="245"/>
      <c r="D29" s="399"/>
    </row>
    <row r="30" spans="1:26">
      <c r="C30" s="245"/>
      <c r="D30" s="399"/>
      <c r="W30" s="114" t="s">
        <v>288</v>
      </c>
    </row>
    <row r="31" spans="1:26" ht="18">
      <c r="B31" s="234"/>
      <c r="C31" s="335" t="s">
        <v>286</v>
      </c>
      <c r="D31" s="409"/>
      <c r="E31" s="335"/>
      <c r="F31" s="234"/>
      <c r="G31" s="731" t="s">
        <v>250</v>
      </c>
      <c r="H31" s="731"/>
    </row>
    <row r="32" spans="1:26" ht="34">
      <c r="B32" s="252"/>
      <c r="C32" s="258">
        <f>-SUMIFS('Jounal entries final'!$H:$H,'Jounal entries final'!$E:$E,C21,'Jounal entries final'!$B:$B,E17,'Jounal entries final'!$C:$C,'Revenue analysis'!$F$17)</f>
        <v>11353191</v>
      </c>
      <c r="D32" s="410"/>
      <c r="E32" s="258"/>
      <c r="F32" s="234"/>
      <c r="G32" s="234"/>
      <c r="H32" s="234"/>
      <c r="X32" s="397"/>
      <c r="Y32" s="397" t="s">
        <v>238</v>
      </c>
      <c r="Z32" s="396"/>
    </row>
    <row r="33" spans="2:29" ht="19">
      <c r="B33" s="234"/>
      <c r="C33" s="397"/>
      <c r="D33" s="396" t="s">
        <v>238</v>
      </c>
      <c r="E33" s="396" t="s">
        <v>287</v>
      </c>
      <c r="F33" s="406"/>
      <c r="G33" s="397"/>
      <c r="H33" s="396"/>
      <c r="X33" s="254" t="s">
        <v>39</v>
      </c>
      <c r="Y33" s="403">
        <f>-SUMIFS('Jounal entries final'!$H:$H,'Jounal entries final'!$E:$E,$C$80,'Jounal entries final'!$M:$M,$X33,'Jounal entries final'!$B:$B,E$17,'Jounal entries final'!$C:$C,$F$17)</f>
        <v>2665260</v>
      </c>
      <c r="Z33" s="404"/>
      <c r="AB33" s="254" t="s">
        <v>39</v>
      </c>
      <c r="AC33" s="403">
        <f>-SUMIFS('Jounal entries final'!$H:$H,'Jounal entries final'!$E:$E,$C$80,'Jounal entries final'!$M:$M,$X33,'Jounal entries final'!$B:$B,E$17-1,'Jounal entries final'!$C:$C,$F$17)</f>
        <v>2098719</v>
      </c>
    </row>
    <row r="34" spans="2:29" ht="19">
      <c r="B34" s="234"/>
      <c r="C34" s="405" t="str" cm="1">
        <f t="array" ref="C34:D43">_xlfn._xlws.SORT(X33:Y42,2,-1)</f>
        <v>Client 1</v>
      </c>
      <c r="D34" s="395">
        <v>2665260</v>
      </c>
      <c r="E34" s="261">
        <f t="shared" ref="E34:E43" si="0">D34/$C$22</f>
        <v>0.23475866828982267</v>
      </c>
      <c r="F34" s="405"/>
      <c r="G34" s="405"/>
      <c r="H34" s="261"/>
      <c r="X34" s="254" t="s">
        <v>31</v>
      </c>
      <c r="Y34" s="403">
        <f>-SUMIFS('Jounal entries final'!$H:$H,'Jounal entries final'!$E:$E,$C$80,'Jounal entries final'!$M:$M,$X34,'Jounal entries final'!$B:$B,E$17,'Jounal entries final'!$C:$C,$F$17)</f>
        <v>425961</v>
      </c>
      <c r="Z34" s="404"/>
      <c r="AB34" s="254" t="s">
        <v>31</v>
      </c>
      <c r="AC34" s="403">
        <f>-SUMIFS('Jounal entries final'!$H:$H,'Jounal entries final'!$E:$E,$C$80,'Jounal entries final'!$M:$M,$X34,'Jounal entries final'!$B:$B,E$17-1,'Jounal entries final'!$C:$C,$F$17)</f>
        <v>1397760</v>
      </c>
    </row>
    <row r="35" spans="2:29" ht="19">
      <c r="B35" s="234"/>
      <c r="C35" s="405" t="str">
        <v>Client 10</v>
      </c>
      <c r="D35" s="395">
        <v>1589335</v>
      </c>
      <c r="E35" s="261">
        <f t="shared" si="0"/>
        <v>0.13999015783315899</v>
      </c>
      <c r="F35" s="405"/>
      <c r="G35" s="405"/>
      <c r="H35" s="261"/>
      <c r="X35" s="254" t="s">
        <v>40</v>
      </c>
      <c r="Y35" s="403">
        <f>-SUMIFS('Jounal entries final'!$H:$H,'Jounal entries final'!$E:$E,$C$80,'Jounal entries final'!$M:$M,$X35,'Jounal entries final'!$B:$B,E$17,'Jounal entries final'!$C:$C,$F$17)</f>
        <v>173664</v>
      </c>
      <c r="Z35" s="404"/>
      <c r="AB35" s="254" t="s">
        <v>40</v>
      </c>
      <c r="AC35" s="403">
        <f>-SUMIFS('Jounal entries final'!$H:$H,'Jounal entries final'!$E:$E,$C$80,'Jounal entries final'!$M:$M,$X35,'Jounal entries final'!$B:$B,E$17-1,'Jounal entries final'!$C:$C,$F$17)</f>
        <v>383184</v>
      </c>
    </row>
    <row r="36" spans="2:29" ht="19">
      <c r="B36" s="234"/>
      <c r="C36" s="405" t="str">
        <v>Client 5</v>
      </c>
      <c r="D36" s="395">
        <v>1398420</v>
      </c>
      <c r="E36" s="261">
        <f t="shared" si="0"/>
        <v>0.12317418072152578</v>
      </c>
      <c r="F36" s="405"/>
      <c r="G36" s="405"/>
      <c r="H36" s="261"/>
      <c r="X36" s="254" t="s">
        <v>36</v>
      </c>
      <c r="Y36" s="403">
        <f>-SUMIFS('Jounal entries final'!$H:$H,'Jounal entries final'!$E:$E,$C$80,'Jounal entries final'!$M:$M,$X36,'Jounal entries final'!$B:$B,E$17,'Jounal entries final'!$C:$C,$F$17)</f>
        <v>947030</v>
      </c>
      <c r="Z36" s="404"/>
      <c r="AB36" s="254" t="s">
        <v>36</v>
      </c>
      <c r="AC36" s="403">
        <f>-SUMIFS('Jounal entries final'!$H:$H,'Jounal entries final'!$E:$E,$C$80,'Jounal entries final'!$M:$M,$X36,'Jounal entries final'!$B:$B,E$17-1,'Jounal entries final'!$C:$C,$F$17)</f>
        <v>1400236</v>
      </c>
    </row>
    <row r="37" spans="2:29" ht="19">
      <c r="B37" s="234"/>
      <c r="C37" s="405" t="str">
        <v>Client 8</v>
      </c>
      <c r="D37" s="395">
        <v>1391220</v>
      </c>
      <c r="E37" s="261">
        <f t="shared" si="0"/>
        <v>0.12253999778564459</v>
      </c>
      <c r="F37" s="405"/>
      <c r="G37" s="405"/>
      <c r="H37" s="261"/>
      <c r="X37" s="254" t="s">
        <v>32</v>
      </c>
      <c r="Y37" s="403">
        <f>-SUMIFS('Jounal entries final'!$H:$H,'Jounal entries final'!$E:$E,$C$80,'Jounal entries final'!$M:$M,$X37,'Jounal entries final'!$B:$B,E$17,'Jounal entries final'!$C:$C,$F$17)</f>
        <v>1398420</v>
      </c>
      <c r="Z37" s="404"/>
      <c r="AB37" s="254" t="s">
        <v>32</v>
      </c>
      <c r="AC37" s="403">
        <f>-SUMIFS('Jounal entries final'!$H:$H,'Jounal entries final'!$E:$E,$C$80,'Jounal entries final'!$M:$M,$X37,'Jounal entries final'!$B:$B,E$17-1,'Jounal entries final'!$C:$C,$F$17)</f>
        <v>1976853</v>
      </c>
    </row>
    <row r="38" spans="2:29" ht="19">
      <c r="B38" s="234"/>
      <c r="C38" s="405" t="str">
        <v>Client 7</v>
      </c>
      <c r="D38" s="395">
        <v>1149234</v>
      </c>
      <c r="E38" s="261">
        <f t="shared" si="0"/>
        <v>0.10122563779645741</v>
      </c>
      <c r="F38" s="405"/>
      <c r="G38" s="405"/>
      <c r="H38" s="261"/>
      <c r="X38" s="254" t="s">
        <v>37</v>
      </c>
      <c r="Y38" s="403">
        <f>-SUMIFS('Jounal entries final'!$H:$H,'Jounal entries final'!$E:$E,$C$80,'Jounal entries final'!$M:$M,$X38,'Jounal entries final'!$B:$B,E$17,'Jounal entries final'!$C:$C,$F$17)</f>
        <v>487665</v>
      </c>
      <c r="Z38" s="404"/>
      <c r="AB38" s="254" t="s">
        <v>37</v>
      </c>
      <c r="AC38" s="403">
        <f>-SUMIFS('Jounal entries final'!$H:$H,'Jounal entries final'!$E:$E,$C$80,'Jounal entries final'!$M:$M,$X38,'Jounal entries final'!$B:$B,E$17-1,'Jounal entries final'!$C:$C,$F$17)</f>
        <v>682770</v>
      </c>
    </row>
    <row r="39" spans="2:29" ht="19">
      <c r="B39" s="234"/>
      <c r="C39" s="405" t="str">
        <v>Client 9</v>
      </c>
      <c r="D39" s="395">
        <v>1125402</v>
      </c>
      <c r="E39" s="261">
        <f t="shared" si="0"/>
        <v>9.9126492278690637E-2</v>
      </c>
      <c r="F39" s="405"/>
      <c r="G39" s="405"/>
      <c r="H39" s="261"/>
      <c r="X39" s="254" t="s">
        <v>33</v>
      </c>
      <c r="Y39" s="403">
        <f>-SUMIFS('Jounal entries final'!$H:$H,'Jounal entries final'!$E:$E,$C$80,'Jounal entries final'!$M:$M,$X39,'Jounal entries final'!$B:$B,E$17,'Jounal entries final'!$C:$C,$F$17)</f>
        <v>1149234</v>
      </c>
      <c r="Z39" s="404"/>
      <c r="AB39" s="254" t="s">
        <v>33</v>
      </c>
      <c r="AC39" s="403">
        <f>-SUMIFS('Jounal entries final'!$H:$H,'Jounal entries final'!$E:$E,$C$80,'Jounal entries final'!$M:$M,$X39,'Jounal entries final'!$B:$B,E$17-1,'Jounal entries final'!$C:$C,$F$17)</f>
        <v>489124</v>
      </c>
    </row>
    <row r="40" spans="2:29" ht="19">
      <c r="B40" s="234"/>
      <c r="C40" s="405" t="str">
        <v>Client 4</v>
      </c>
      <c r="D40" s="395">
        <v>947030</v>
      </c>
      <c r="E40" s="261">
        <f t="shared" si="0"/>
        <v>8.341531468994047E-2</v>
      </c>
      <c r="F40" s="405"/>
      <c r="G40" s="405"/>
      <c r="H40" s="261"/>
      <c r="X40" s="254" t="s">
        <v>38</v>
      </c>
      <c r="Y40" s="403">
        <f>-SUMIFS('Jounal entries final'!$H:$H,'Jounal entries final'!$E:$E,$C$80,'Jounal entries final'!$M:$M,$X40,'Jounal entries final'!$B:$B,E$17,'Jounal entries final'!$C:$C,$F$17)</f>
        <v>1391220</v>
      </c>
      <c r="Z40" s="404"/>
      <c r="AB40" s="254" t="s">
        <v>38</v>
      </c>
      <c r="AC40" s="403">
        <f>-SUMIFS('Jounal entries final'!$H:$H,'Jounal entries final'!$E:$E,$C$80,'Jounal entries final'!$M:$M,$X40,'Jounal entries final'!$B:$B,E$17-1,'Jounal entries final'!$C:$C,$F$17)</f>
        <v>1051848</v>
      </c>
    </row>
    <row r="41" spans="2:29" ht="19">
      <c r="B41" s="234"/>
      <c r="C41" s="405" t="str">
        <v>Client 6</v>
      </c>
      <c r="D41" s="395">
        <v>487665</v>
      </c>
      <c r="E41" s="261">
        <f t="shared" si="0"/>
        <v>4.2954002975903426E-2</v>
      </c>
      <c r="F41" s="405"/>
      <c r="G41" s="405"/>
      <c r="H41" s="261"/>
      <c r="X41" s="254" t="s">
        <v>34</v>
      </c>
      <c r="Y41" s="403">
        <f>-SUMIFS('Jounal entries final'!$H:$H,'Jounal entries final'!$E:$E,$C$80,'Jounal entries final'!$M:$M,$X41,'Jounal entries final'!$B:$B,E$17,'Jounal entries final'!$C:$C,$F$17)</f>
        <v>1125402</v>
      </c>
      <c r="Z41" s="404"/>
      <c r="AB41" s="254" t="s">
        <v>34</v>
      </c>
      <c r="AC41" s="403">
        <f>-SUMIFS('Jounal entries final'!$H:$H,'Jounal entries final'!$E:$E,$C$80,'Jounal entries final'!$M:$M,$X41,'Jounal entries final'!$B:$B,E$17-1,'Jounal entries final'!$C:$C,$F$17)</f>
        <v>1452928</v>
      </c>
    </row>
    <row r="42" spans="2:29" ht="19">
      <c r="B42" s="234"/>
      <c r="C42" s="405" t="str">
        <v>Client 2</v>
      </c>
      <c r="D42" s="395">
        <v>425961</v>
      </c>
      <c r="E42" s="261">
        <f t="shared" si="0"/>
        <v>3.7519055215401553E-2</v>
      </c>
      <c r="F42" s="405"/>
      <c r="G42" s="405"/>
      <c r="H42" s="261"/>
      <c r="X42" s="254" t="s">
        <v>35</v>
      </c>
      <c r="Y42" s="403">
        <f>-SUMIFS('Jounal entries final'!$H:$H,'Jounal entries final'!$E:$E,$C$80,'Jounal entries final'!$M:$M,$X42,'Jounal entries final'!$B:$B,E$17,'Jounal entries final'!$C:$C,$F$17)</f>
        <v>1589335</v>
      </c>
      <c r="Z42" s="404"/>
      <c r="AB42" s="254" t="s">
        <v>35</v>
      </c>
      <c r="AC42" s="403">
        <f>-SUMIFS('Jounal entries final'!$H:$H,'Jounal entries final'!$E:$E,$C$80,'Jounal entries final'!$M:$M,$X42,'Jounal entries final'!$B:$B,E$17-1,'Jounal entries final'!$C:$C,$F$17)</f>
        <v>554164</v>
      </c>
    </row>
    <row r="43" spans="2:29" ht="19">
      <c r="B43" s="234"/>
      <c r="C43" s="405" t="str">
        <v>Client 3</v>
      </c>
      <c r="D43" s="395">
        <v>173664</v>
      </c>
      <c r="E43" s="261">
        <f t="shared" si="0"/>
        <v>1.5296492413454509E-2</v>
      </c>
      <c r="F43" s="405"/>
      <c r="G43" s="405"/>
      <c r="H43" s="261"/>
    </row>
    <row r="44" spans="2:29" ht="19">
      <c r="B44" s="234"/>
      <c r="C44" s="255"/>
      <c r="D44" s="412"/>
      <c r="E44" s="404"/>
      <c r="F44" s="234"/>
      <c r="G44" s="234"/>
      <c r="H44" s="234"/>
    </row>
    <row r="45" spans="2:29">
      <c r="C45" s="245"/>
      <c r="D45" s="399"/>
      <c r="W45" s="114" t="s">
        <v>288</v>
      </c>
    </row>
    <row r="46" spans="2:29" ht="18">
      <c r="B46" s="234"/>
      <c r="C46" s="335" t="s">
        <v>241</v>
      </c>
      <c r="D46" s="409" t="s">
        <v>289</v>
      </c>
      <c r="E46" s="335"/>
      <c r="F46" s="234"/>
      <c r="G46" s="731" t="s">
        <v>250</v>
      </c>
      <c r="H46" s="731"/>
    </row>
    <row r="47" spans="2:29" ht="34">
      <c r="B47" s="252"/>
      <c r="C47" s="258"/>
      <c r="D47" s="410"/>
      <c r="E47" s="258"/>
      <c r="F47" s="234"/>
      <c r="G47" s="234"/>
      <c r="H47" s="234"/>
      <c r="X47" s="397"/>
      <c r="Y47" s="397" t="s">
        <v>241</v>
      </c>
      <c r="Z47" s="396"/>
    </row>
    <row r="48" spans="2:29" ht="19">
      <c r="B48" s="234"/>
      <c r="C48" s="397"/>
      <c r="D48" s="396" t="s">
        <v>345</v>
      </c>
      <c r="E48" s="396"/>
      <c r="F48" s="406"/>
      <c r="G48" s="397" t="s">
        <v>241</v>
      </c>
      <c r="H48" s="396"/>
      <c r="X48" s="254" t="s">
        <v>39</v>
      </c>
      <c r="Y48" s="415">
        <f>HLOOKUP($D$17,$C$169:$O$180,3,0)</f>
        <v>0.20093413281557176</v>
      </c>
      <c r="Z48" s="404"/>
      <c r="AB48" s="254" t="s">
        <v>39</v>
      </c>
      <c r="AC48" s="403">
        <f>-SUMIFS('Jounal entries final'!$H:$H,'Jounal entries final'!$E:$E,$C$80,'Jounal entries final'!$M:$M,$X48,'Jounal entries final'!$B:$B,E$17-1,'Jounal entries final'!$C:$C,$F$17)</f>
        <v>2098719</v>
      </c>
    </row>
    <row r="49" spans="2:29" ht="19">
      <c r="B49" s="234"/>
      <c r="C49" s="405" t="str" cm="1">
        <f t="array" ref="C49:D58">_xlfn._xlws.SORT(X48:Y57,2,-1)</f>
        <v>Client 1</v>
      </c>
      <c r="D49" s="261">
        <v>0.20093413281557176</v>
      </c>
      <c r="E49" s="261"/>
      <c r="F49" s="405"/>
      <c r="G49" s="415">
        <f t="shared" ref="G49:G58" si="1">VLOOKUP(C49,$C$156:$O$165,$E$17+1,0)</f>
        <v>0.22463333333333321</v>
      </c>
      <c r="H49" s="261"/>
      <c r="X49" s="254" t="s">
        <v>31</v>
      </c>
      <c r="Y49" s="415">
        <f>HLOOKUP($D$17,$C$169:$O$180,4,0)</f>
        <v>2.8262611987929932E-2</v>
      </c>
      <c r="Z49" s="404"/>
      <c r="AB49" s="254" t="s">
        <v>31</v>
      </c>
      <c r="AC49" s="403">
        <f>-SUMIFS('Jounal entries final'!$H:$H,'Jounal entries final'!$E:$E,$C$80,'Jounal entries final'!$M:$M,$X49,'Jounal entries final'!$B:$B,E$17-1,'Jounal entries final'!$C:$C,$F$17)</f>
        <v>1397760</v>
      </c>
    </row>
    <row r="50" spans="2:29" ht="19">
      <c r="B50" s="234"/>
      <c r="C50" s="405" t="str">
        <v>Client 5</v>
      </c>
      <c r="D50" s="261">
        <v>0.17584660212738967</v>
      </c>
      <c r="E50" s="261"/>
      <c r="F50" s="405"/>
      <c r="G50" s="415">
        <f t="shared" si="1"/>
        <v>0.37467647058823533</v>
      </c>
      <c r="H50" s="261"/>
      <c r="X50" s="254" t="s">
        <v>40</v>
      </c>
      <c r="Y50" s="415">
        <f>HLOOKUP($D$17,$C$169:$O$180,5,0)</f>
        <v>1.7814041906305558E-2</v>
      </c>
      <c r="Z50" s="404"/>
      <c r="AB50" s="254" t="s">
        <v>40</v>
      </c>
      <c r="AC50" s="403">
        <f>-SUMIFS('Jounal entries final'!$H:$H,'Jounal entries final'!$E:$E,$C$80,'Jounal entries final'!$M:$M,$X50,'Jounal entries final'!$B:$B,E$17-1,'Jounal entries final'!$C:$C,$F$17)</f>
        <v>383184</v>
      </c>
    </row>
    <row r="51" spans="2:29" ht="19">
      <c r="B51" s="234"/>
      <c r="C51" s="405" t="str">
        <v>Client 8</v>
      </c>
      <c r="D51" s="261">
        <v>0.13989972605891665</v>
      </c>
      <c r="E51" s="261"/>
      <c r="F51" s="405"/>
      <c r="G51" s="415">
        <f t="shared" si="1"/>
        <v>0.29962711864406777</v>
      </c>
      <c r="H51" s="261"/>
      <c r="X51" s="254" t="s">
        <v>36</v>
      </c>
      <c r="Y51" s="415">
        <f>HLOOKUP($D$17,$C$169:$O$180,6,0)</f>
        <v>0.13021304382118826</v>
      </c>
      <c r="Z51" s="404"/>
      <c r="AB51" s="254" t="s">
        <v>36</v>
      </c>
      <c r="AC51" s="403">
        <f>-SUMIFS('Jounal entries final'!$H:$H,'Jounal entries final'!$E:$E,$C$80,'Jounal entries final'!$M:$M,$X51,'Jounal entries final'!$B:$B,E$17-1,'Jounal entries final'!$C:$C,$F$17)</f>
        <v>1400236</v>
      </c>
    </row>
    <row r="52" spans="2:29" ht="19">
      <c r="B52" s="234"/>
      <c r="C52" s="405" t="str">
        <v>Client 4</v>
      </c>
      <c r="D52" s="261">
        <v>0.13021304382118826</v>
      </c>
      <c r="E52" s="261"/>
      <c r="F52" s="405"/>
      <c r="G52" s="415">
        <f t="shared" si="1"/>
        <v>0.40968571428571432</v>
      </c>
      <c r="H52" s="261"/>
      <c r="X52" s="254" t="s">
        <v>32</v>
      </c>
      <c r="Y52" s="415">
        <f>HLOOKUP($D$17,$C$169:$O$180,7,0)</f>
        <v>0.17584660212738967</v>
      </c>
      <c r="Z52" s="404"/>
      <c r="AB52" s="254" t="s">
        <v>32</v>
      </c>
      <c r="AC52" s="403">
        <f>-SUMIFS('Jounal entries final'!$H:$H,'Jounal entries final'!$E:$E,$C$80,'Jounal entries final'!$M:$M,$X52,'Jounal entries final'!$B:$B,E$17-1,'Jounal entries final'!$C:$C,$F$17)</f>
        <v>1976853</v>
      </c>
    </row>
    <row r="53" spans="2:29" ht="19">
      <c r="B53" s="234"/>
      <c r="C53" s="405" t="str">
        <v>Client 10</v>
      </c>
      <c r="D53" s="261">
        <v>0.12101457307624276</v>
      </c>
      <c r="E53" s="261"/>
      <c r="F53" s="405"/>
      <c r="G53" s="415">
        <f t="shared" si="1"/>
        <v>0.22687272727272731</v>
      </c>
      <c r="H53" s="261"/>
      <c r="X53" s="254" t="s">
        <v>37</v>
      </c>
      <c r="Y53" s="415">
        <f>HLOOKUP($D$17,$C$169:$O$180,8,0)</f>
        <v>1.3377061756539787E-2</v>
      </c>
      <c r="Z53" s="404"/>
      <c r="AB53" s="254" t="s">
        <v>37</v>
      </c>
      <c r="AC53" s="403">
        <f>-SUMIFS('Jounal entries final'!$H:$H,'Jounal entries final'!$E:$E,$C$80,'Jounal entries final'!$M:$M,$X53,'Jounal entries final'!$B:$B,E$17-1,'Jounal entries final'!$C:$C,$F$17)</f>
        <v>682770</v>
      </c>
    </row>
    <row r="54" spans="2:29" ht="19">
      <c r="B54" s="234"/>
      <c r="C54" s="405" t="str">
        <v>Client 7</v>
      </c>
      <c r="D54" s="261">
        <v>9.7967520503455002E-2</v>
      </c>
      <c r="E54" s="261"/>
      <c r="F54" s="405"/>
      <c r="G54" s="415">
        <f t="shared" si="1"/>
        <v>0.254</v>
      </c>
      <c r="H54" s="261"/>
      <c r="X54" s="254" t="s">
        <v>33</v>
      </c>
      <c r="Y54" s="415">
        <f>HLOOKUP($D$17,$C$169:$O$180,9,0)</f>
        <v>9.7967520503455002E-2</v>
      </c>
      <c r="Z54" s="404"/>
      <c r="AB54" s="254" t="s">
        <v>33</v>
      </c>
      <c r="AC54" s="403">
        <f>-SUMIFS('Jounal entries final'!$H:$H,'Jounal entries final'!$E:$E,$C$80,'Jounal entries final'!$M:$M,$X54,'Jounal entries final'!$B:$B,E$17-1,'Jounal entries final'!$C:$C,$F$17)</f>
        <v>489124</v>
      </c>
    </row>
    <row r="55" spans="2:29" ht="19">
      <c r="B55" s="234"/>
      <c r="C55" s="405" t="str">
        <v>Client 9</v>
      </c>
      <c r="D55" s="261">
        <v>7.4670685946460674E-2</v>
      </c>
      <c r="E55" s="261"/>
      <c r="F55" s="405"/>
      <c r="G55" s="415">
        <f t="shared" si="1"/>
        <v>0.19769811320754724</v>
      </c>
      <c r="H55" s="261"/>
      <c r="X55" s="254" t="s">
        <v>38</v>
      </c>
      <c r="Y55" s="415">
        <f>HLOOKUP($D$17,$C$169:$O$180,10,0)</f>
        <v>0.13989972605891665</v>
      </c>
      <c r="Z55" s="404"/>
      <c r="AB55" s="254" t="s">
        <v>38</v>
      </c>
      <c r="AC55" s="403">
        <f>-SUMIFS('Jounal entries final'!$H:$H,'Jounal entries final'!$E:$E,$C$80,'Jounal entries final'!$M:$M,$X55,'Jounal entries final'!$B:$B,E$17-1,'Jounal entries final'!$C:$C,$F$17)</f>
        <v>1051848</v>
      </c>
    </row>
    <row r="56" spans="2:29" ht="19">
      <c r="B56" s="234"/>
      <c r="C56" s="405" t="str">
        <v>Client 2</v>
      </c>
      <c r="D56" s="261">
        <v>2.8262611987929932E-2</v>
      </c>
      <c r="E56" s="261"/>
      <c r="F56" s="405"/>
      <c r="G56" s="415">
        <f t="shared" si="1"/>
        <v>0.19769811320754713</v>
      </c>
      <c r="H56" s="261"/>
      <c r="X56" s="254" t="s">
        <v>34</v>
      </c>
      <c r="Y56" s="415">
        <f>HLOOKUP($D$17,$C$169:$O$180,11,0)</f>
        <v>7.4670685946460674E-2</v>
      </c>
      <c r="Z56" s="404"/>
      <c r="AB56" s="254" t="s">
        <v>34</v>
      </c>
      <c r="AC56" s="403">
        <f>-SUMIFS('Jounal entries final'!$H:$H,'Jounal entries final'!$E:$E,$C$80,'Jounal entries final'!$M:$M,$X56,'Jounal entries final'!$B:$B,E$17-1,'Jounal entries final'!$C:$C,$F$17)</f>
        <v>1452928</v>
      </c>
    </row>
    <row r="57" spans="2:29" ht="19">
      <c r="B57" s="234"/>
      <c r="C57" s="405" t="str">
        <v>Client 3</v>
      </c>
      <c r="D57" s="261">
        <v>1.7814041906305558E-2</v>
      </c>
      <c r="E57" s="261"/>
      <c r="F57" s="405"/>
      <c r="G57" s="415">
        <f t="shared" si="1"/>
        <v>0.30564179104477601</v>
      </c>
      <c r="H57" s="261"/>
      <c r="X57" s="254" t="s">
        <v>35</v>
      </c>
      <c r="Y57" s="415">
        <f>HLOOKUP($D$17,$C$169:$O$180,12,0)</f>
        <v>0.12101457307624276</v>
      </c>
      <c r="Z57" s="404"/>
      <c r="AB57" s="254" t="s">
        <v>35</v>
      </c>
      <c r="AC57" s="403">
        <f>-SUMIFS('Jounal entries final'!$H:$H,'Jounal entries final'!$E:$E,$C$80,'Jounal entries final'!$M:$M,$X57,'Jounal entries final'!$B:$B,E$17-1,'Jounal entries final'!$C:$C,$F$17)</f>
        <v>554164</v>
      </c>
    </row>
    <row r="58" spans="2:29" ht="19">
      <c r="B58" s="234"/>
      <c r="C58" s="405" t="str">
        <v>Client 6</v>
      </c>
      <c r="D58" s="261">
        <v>1.3377061756539787E-2</v>
      </c>
      <c r="E58" s="261"/>
      <c r="F58" s="405"/>
      <c r="G58" s="415">
        <f t="shared" si="1"/>
        <v>8.1733333333333283E-2</v>
      </c>
      <c r="H58" s="261"/>
    </row>
    <row r="59" spans="2:29" ht="19">
      <c r="B59" s="234"/>
      <c r="C59" s="255"/>
      <c r="D59" s="412"/>
      <c r="E59" s="404"/>
      <c r="F59" s="234"/>
      <c r="G59" s="234"/>
      <c r="H59" s="234"/>
    </row>
    <row r="60" spans="2:29">
      <c r="C60" s="236"/>
    </row>
    <row r="61" spans="2:29" ht="18">
      <c r="C61" s="408" t="s">
        <v>284</v>
      </c>
      <c r="D61" s="399"/>
    </row>
    <row r="62" spans="2:29" ht="186" customHeight="1">
      <c r="C62" s="784" t="s">
        <v>285</v>
      </c>
      <c r="D62" s="785"/>
      <c r="E62" s="785"/>
      <c r="F62" s="785"/>
      <c r="G62" s="785"/>
      <c r="H62" s="785"/>
      <c r="I62" s="785"/>
      <c r="J62" s="785"/>
      <c r="K62" s="785"/>
      <c r="L62" s="785"/>
      <c r="M62" s="785"/>
      <c r="N62" s="785"/>
      <c r="O62" s="786"/>
    </row>
    <row r="63" spans="2:29" ht="15.5" customHeight="1">
      <c r="C63" s="787"/>
      <c r="D63" s="788"/>
      <c r="E63" s="788"/>
      <c r="F63" s="788"/>
      <c r="G63" s="788"/>
      <c r="H63" s="788"/>
      <c r="I63" s="788"/>
      <c r="J63" s="788"/>
      <c r="K63" s="788"/>
      <c r="L63" s="788"/>
      <c r="M63" s="788"/>
      <c r="N63" s="788"/>
      <c r="O63" s="789"/>
    </row>
    <row r="64" spans="2:29" ht="15.5" customHeight="1">
      <c r="C64" s="787"/>
      <c r="D64" s="788"/>
      <c r="E64" s="788"/>
      <c r="F64" s="788"/>
      <c r="G64" s="788"/>
      <c r="H64" s="788"/>
      <c r="I64" s="788"/>
      <c r="J64" s="788"/>
      <c r="K64" s="788"/>
      <c r="L64" s="788"/>
      <c r="M64" s="788"/>
      <c r="N64" s="788"/>
      <c r="O64" s="789"/>
    </row>
    <row r="65" spans="2:16" ht="15.5" customHeight="1">
      <c r="C65" s="787"/>
      <c r="D65" s="788"/>
      <c r="E65" s="788"/>
      <c r="F65" s="788"/>
      <c r="G65" s="788"/>
      <c r="H65" s="788"/>
      <c r="I65" s="788"/>
      <c r="J65" s="788"/>
      <c r="K65" s="788"/>
      <c r="L65" s="788"/>
      <c r="M65" s="788"/>
      <c r="N65" s="788"/>
      <c r="O65" s="789"/>
    </row>
    <row r="66" spans="2:16" ht="15.5" customHeight="1">
      <c r="C66" s="787"/>
      <c r="D66" s="788"/>
      <c r="E66" s="788"/>
      <c r="F66" s="788"/>
      <c r="G66" s="788"/>
      <c r="H66" s="788"/>
      <c r="I66" s="788"/>
      <c r="J66" s="788"/>
      <c r="K66" s="788"/>
      <c r="L66" s="788"/>
      <c r="M66" s="788"/>
      <c r="N66" s="788"/>
      <c r="O66" s="789"/>
    </row>
    <row r="67" spans="2:16" ht="15.5" customHeight="1">
      <c r="C67" s="790"/>
      <c r="D67" s="791"/>
      <c r="E67" s="791"/>
      <c r="F67" s="791"/>
      <c r="G67" s="791"/>
      <c r="H67" s="791"/>
      <c r="I67" s="791"/>
      <c r="J67" s="791"/>
      <c r="K67" s="791"/>
      <c r="L67" s="791"/>
      <c r="M67" s="791"/>
      <c r="N67" s="791"/>
      <c r="O67" s="792"/>
    </row>
    <row r="68" spans="2:16">
      <c r="C68" s="245"/>
      <c r="D68" s="399"/>
    </row>
    <row r="69" spans="2:16">
      <c r="C69" s="245"/>
      <c r="D69" s="399"/>
    </row>
    <row r="70" spans="2:16">
      <c r="C70" s="245"/>
      <c r="D70" s="399"/>
    </row>
    <row r="71" spans="2:16" ht="18" customHeight="1">
      <c r="B71" s="234"/>
      <c r="C71" s="251"/>
      <c r="D71" s="413"/>
      <c r="E71" s="234"/>
      <c r="F71" s="234"/>
      <c r="G71" s="251"/>
      <c r="H71" s="234"/>
      <c r="I71" s="234"/>
      <c r="J71" s="234"/>
      <c r="K71" s="251"/>
      <c r="L71" s="234"/>
      <c r="M71" s="234"/>
      <c r="N71" s="234"/>
      <c r="O71" s="251"/>
      <c r="P71" s="234"/>
    </row>
    <row r="72" spans="2:16" ht="22">
      <c r="B72" s="252"/>
      <c r="C72" s="719" t="s">
        <v>279</v>
      </c>
      <c r="D72" s="719"/>
      <c r="E72" s="719"/>
      <c r="F72" s="252"/>
      <c r="G72" s="719"/>
      <c r="H72" s="719"/>
      <c r="I72" s="719"/>
      <c r="J72" s="252"/>
      <c r="K72" s="719"/>
      <c r="L72" s="719"/>
      <c r="M72" s="719"/>
      <c r="N72" s="252"/>
      <c r="O72" s="391"/>
      <c r="P72" s="391"/>
    </row>
    <row r="73" spans="2:16" ht="34">
      <c r="B73" s="234"/>
      <c r="C73" s="258"/>
      <c r="D73" s="370" t="s">
        <v>17</v>
      </c>
      <c r="E73" s="370" t="s">
        <v>18</v>
      </c>
      <c r="F73" s="370" t="s">
        <v>19</v>
      </c>
      <c r="G73" s="370" t="s">
        <v>20</v>
      </c>
      <c r="H73" s="370" t="s">
        <v>21</v>
      </c>
      <c r="I73" s="370" t="s">
        <v>22</v>
      </c>
      <c r="J73" s="370" t="s">
        <v>23</v>
      </c>
      <c r="K73" s="370" t="s">
        <v>24</v>
      </c>
      <c r="L73" s="370" t="s">
        <v>25</v>
      </c>
      <c r="M73" s="370" t="s">
        <v>26</v>
      </c>
      <c r="N73" s="370" t="s">
        <v>27</v>
      </c>
      <c r="O73" s="370" t="s">
        <v>28</v>
      </c>
      <c r="P73" s="114"/>
    </row>
    <row r="74" spans="2:16" ht="19">
      <c r="B74" s="234"/>
      <c r="C74" s="254" t="s">
        <v>278</v>
      </c>
      <c r="D74" s="402" t="s">
        <v>640</v>
      </c>
      <c r="E74" s="393">
        <f>((E80/E95)-(D80/D95))*E95</f>
        <v>710679.92508308578</v>
      </c>
      <c r="F74" s="393">
        <f>((F80/F95)-(E80/E95))*F95</f>
        <v>-359048.13195214956</v>
      </c>
      <c r="G74" s="393">
        <f t="shared" ref="G74:O74" si="2">((G80/G95)-(F80/F95))*G95</f>
        <v>-367861.22375033662</v>
      </c>
      <c r="H74" s="393">
        <f t="shared" si="2"/>
        <v>361183.37583564001</v>
      </c>
      <c r="I74" s="393">
        <f t="shared" si="2"/>
        <v>1276113.1223739791</v>
      </c>
      <c r="J74" s="393">
        <f t="shared" si="2"/>
        <v>-1027251.316254694</v>
      </c>
      <c r="K74" s="393">
        <f t="shared" si="2"/>
        <v>-709272.33631680673</v>
      </c>
      <c r="L74" s="393">
        <f t="shared" si="2"/>
        <v>691534.49411870947</v>
      </c>
      <c r="M74" s="393">
        <f t="shared" si="2"/>
        <v>-106905.52398375774</v>
      </c>
      <c r="N74" s="393">
        <f t="shared" si="2"/>
        <v>-393924.39162462449</v>
      </c>
      <c r="O74" s="393">
        <f t="shared" si="2"/>
        <v>-253209.30271013404</v>
      </c>
      <c r="P74" s="385"/>
    </row>
    <row r="75" spans="2:16" ht="19">
      <c r="B75" s="234"/>
      <c r="C75" s="254" t="s">
        <v>277</v>
      </c>
      <c r="D75" s="402" t="s">
        <v>640</v>
      </c>
      <c r="E75" s="393">
        <f>(E95-D95)*(D80/D95)</f>
        <v>-1729919.9250830854</v>
      </c>
      <c r="F75" s="393">
        <f t="shared" ref="F75:O75" si="3">(F95-E95)*(E80/E95)</f>
        <v>-1570758.8680478509</v>
      </c>
      <c r="G75" s="393">
        <f t="shared" si="3"/>
        <v>2049599.2237503375</v>
      </c>
      <c r="H75" s="393">
        <f t="shared" si="3"/>
        <v>-962491.37583564036</v>
      </c>
      <c r="I75" s="393">
        <f t="shared" si="3"/>
        <v>-575387.12237398</v>
      </c>
      <c r="J75" s="393">
        <f t="shared" si="3"/>
        <v>1567326.3162546945</v>
      </c>
      <c r="K75" s="393">
        <f t="shared" si="3"/>
        <v>-1341886.663683193</v>
      </c>
      <c r="L75" s="393">
        <f t="shared" si="3"/>
        <v>-270680.49411871016</v>
      </c>
      <c r="M75" s="393">
        <f t="shared" si="3"/>
        <v>-27489.476016241333</v>
      </c>
      <c r="N75" s="393">
        <f t="shared" si="3"/>
        <v>320471.39162462472</v>
      </c>
      <c r="O75" s="393">
        <f t="shared" si="3"/>
        <v>-228960.69728986686</v>
      </c>
      <c r="P75" s="392"/>
    </row>
    <row r="76" spans="2:16" ht="18">
      <c r="B76" s="234"/>
      <c r="C76" s="255" t="s">
        <v>280</v>
      </c>
      <c r="D76" s="411" t="s">
        <v>640</v>
      </c>
      <c r="E76" s="394">
        <f>E80-D80</f>
        <v>-1019240</v>
      </c>
      <c r="F76" s="394">
        <f>F80-E80</f>
        <v>-1929807</v>
      </c>
      <c r="G76" s="394">
        <f t="shared" ref="G76:O76" si="4">G80-F80</f>
        <v>1681738</v>
      </c>
      <c r="H76" s="394">
        <f t="shared" si="4"/>
        <v>-601308</v>
      </c>
      <c r="I76" s="394">
        <f t="shared" si="4"/>
        <v>700726</v>
      </c>
      <c r="J76" s="394">
        <f t="shared" si="4"/>
        <v>540075</v>
      </c>
      <c r="K76" s="394">
        <f t="shared" si="4"/>
        <v>-2051159</v>
      </c>
      <c r="L76" s="394">
        <f t="shared" si="4"/>
        <v>420854</v>
      </c>
      <c r="M76" s="394">
        <f t="shared" si="4"/>
        <v>-134395</v>
      </c>
      <c r="N76" s="394">
        <f t="shared" si="4"/>
        <v>-73453</v>
      </c>
      <c r="O76" s="394">
        <f t="shared" si="4"/>
        <v>-482170</v>
      </c>
      <c r="P76" s="256"/>
    </row>
    <row r="77" spans="2:16">
      <c r="C77" s="245"/>
      <c r="D77" s="399"/>
    </row>
    <row r="78" spans="2:16" ht="22">
      <c r="B78" s="252"/>
      <c r="C78" s="380" t="s">
        <v>275</v>
      </c>
      <c r="D78" s="387">
        <v>1</v>
      </c>
      <c r="E78" s="387">
        <v>2</v>
      </c>
      <c r="F78" s="387">
        <v>3</v>
      </c>
      <c r="G78" s="387">
        <v>4</v>
      </c>
      <c r="H78" s="387">
        <v>5</v>
      </c>
      <c r="I78" s="387">
        <v>6</v>
      </c>
      <c r="J78" s="387">
        <v>7</v>
      </c>
      <c r="K78" s="387">
        <v>8</v>
      </c>
      <c r="L78" s="387">
        <v>9</v>
      </c>
      <c r="M78" s="387">
        <v>10</v>
      </c>
      <c r="N78" s="387">
        <v>11</v>
      </c>
      <c r="O78" s="387">
        <v>12</v>
      </c>
      <c r="P78" s="234"/>
    </row>
    <row r="79" spans="2:16" ht="18" customHeight="1">
      <c r="B79" s="234"/>
      <c r="C79" s="369"/>
      <c r="D79" s="370" t="s">
        <v>17</v>
      </c>
      <c r="E79" s="370" t="s">
        <v>18</v>
      </c>
      <c r="F79" s="370" t="s">
        <v>19</v>
      </c>
      <c r="G79" s="370" t="s">
        <v>20</v>
      </c>
      <c r="H79" s="370" t="s">
        <v>21</v>
      </c>
      <c r="I79" s="370" t="s">
        <v>22</v>
      </c>
      <c r="J79" s="370" t="s">
        <v>23</v>
      </c>
      <c r="K79" s="370" t="s">
        <v>24</v>
      </c>
      <c r="L79" s="370" t="s">
        <v>25</v>
      </c>
      <c r="M79" s="370" t="s">
        <v>26</v>
      </c>
      <c r="N79" s="370" t="s">
        <v>27</v>
      </c>
      <c r="O79" s="370" t="s">
        <v>28</v>
      </c>
      <c r="P79" s="362"/>
    </row>
    <row r="80" spans="2:16">
      <c r="B80" s="234"/>
      <c r="C80" s="119" t="s">
        <v>98</v>
      </c>
      <c r="D80" s="407">
        <f>-SUMIFS('Jounal entries final'!$H:$H,'Jounal entries final'!$E:$E,$C80,'Jounal entries final'!$B:$B,D78,'Jounal entries final'!$C:$C,'Revenue analysis'!$F$17)</f>
        <v>13745707</v>
      </c>
      <c r="E80" s="407">
        <f>-SUMIFS('Jounal entries final'!$H:$H,'Jounal entries final'!$E:$E,$C80,'Jounal entries final'!$B:$B,E78,'Jounal entries final'!$C:$C,'Revenue analysis'!$F$17)</f>
        <v>12726467</v>
      </c>
      <c r="F80" s="407">
        <f>-SUMIFS('Jounal entries final'!$H:$H,'Jounal entries final'!$E:$E,$C80,'Jounal entries final'!$B:$B,F78,'Jounal entries final'!$C:$C,'Revenue analysis'!$F$17)</f>
        <v>10796660</v>
      </c>
      <c r="G80" s="407">
        <f>-SUMIFS('Jounal entries final'!$H:$H,'Jounal entries final'!$E:$E,$C80,'Jounal entries final'!$B:$B,G78,'Jounal entries final'!$C:$C,'Revenue analysis'!$F$17)</f>
        <v>12478398</v>
      </c>
      <c r="H80" s="407">
        <f>-SUMIFS('Jounal entries final'!$H:$H,'Jounal entries final'!$E:$E,$C80,'Jounal entries final'!$B:$B,H78,'Jounal entries final'!$C:$C,'Revenue analysis'!$F$17)</f>
        <v>11877090</v>
      </c>
      <c r="I80" s="407">
        <f>-SUMIFS('Jounal entries final'!$H:$H,'Jounal entries final'!$E:$E,$C80,'Jounal entries final'!$B:$B,I78,'Jounal entries final'!$C:$C,'Revenue analysis'!$F$17)</f>
        <v>12577816</v>
      </c>
      <c r="J80" s="407">
        <f>-SUMIFS('Jounal entries final'!$H:$H,'Jounal entries final'!$E:$E,$C80,'Jounal entries final'!$B:$B,J78,'Jounal entries final'!$C:$C,'Revenue analysis'!$F$17)</f>
        <v>13117891</v>
      </c>
      <c r="K80" s="407">
        <f>-SUMIFS('Jounal entries final'!$H:$H,'Jounal entries final'!$E:$E,$C80,'Jounal entries final'!$B:$B,K78,'Jounal entries final'!$C:$C,'Revenue analysis'!$F$17)</f>
        <v>11066732</v>
      </c>
      <c r="L80" s="407">
        <f>-SUMIFS('Jounal entries final'!$H:$H,'Jounal entries final'!$E:$E,$C80,'Jounal entries final'!$B:$B,L78,'Jounal entries final'!$C:$C,'Revenue analysis'!$F$17)</f>
        <v>11487586</v>
      </c>
      <c r="M80" s="407">
        <f>-SUMIFS('Jounal entries final'!$H:$H,'Jounal entries final'!$E:$E,$C80,'Jounal entries final'!$B:$B,M78,'Jounal entries final'!$C:$C,'Revenue analysis'!$F$17)</f>
        <v>11353191</v>
      </c>
      <c r="N80" s="407">
        <f>-SUMIFS('Jounal entries final'!$H:$H,'Jounal entries final'!$E:$E,$C80,'Jounal entries final'!$B:$B,N78,'Jounal entries final'!$C:$C,'Revenue analysis'!$F$17)</f>
        <v>11279738</v>
      </c>
      <c r="O80" s="407">
        <f>-SUMIFS('Jounal entries final'!$H:$H,'Jounal entries final'!$E:$E,$C80,'Jounal entries final'!$B:$B,O78,'Jounal entries final'!$C:$C,'Revenue analysis'!$F$17)</f>
        <v>10797568</v>
      </c>
      <c r="P80" s="114"/>
    </row>
    <row r="81" spans="2:16" ht="18" customHeight="1">
      <c r="B81" s="114"/>
      <c r="C81" s="118" t="s">
        <v>39</v>
      </c>
      <c r="D81" s="379">
        <f>-SUMIFS('Jounal entries final'!$H:$H,'Jounal entries final'!$E:$E,$C$80,'Jounal entries final'!$M:$M,$C81,'Jounal entries final'!$B:$B,D$78,'Jounal entries final'!$C:$C,$F$17)</f>
        <v>4248900</v>
      </c>
      <c r="E81" s="379">
        <f>-SUMIFS('Jounal entries final'!$H:$H,'Jounal entries final'!$E:$E,$C$80,'Jounal entries final'!$M:$M,$C81,'Jounal entries final'!$B:$B,E$78,'Jounal entries final'!$C:$C,$F$17)</f>
        <v>2424273</v>
      </c>
      <c r="F81" s="379">
        <f>-SUMIFS('Jounal entries final'!$H:$H,'Jounal entries final'!$E:$E,$C$80,'Jounal entries final'!$M:$M,$C81,'Jounal entries final'!$B:$B,F$78,'Jounal entries final'!$C:$C,$F$17)</f>
        <v>3772578</v>
      </c>
      <c r="G81" s="379">
        <f>-SUMIFS('Jounal entries final'!$H:$H,'Jounal entries final'!$E:$E,$C$80,'Jounal entries final'!$M:$M,$C81,'Jounal entries final'!$B:$B,G$78,'Jounal entries final'!$C:$C,$F$17)</f>
        <v>2832624</v>
      </c>
      <c r="H81" s="379">
        <f>-SUMIFS('Jounal entries final'!$H:$H,'Jounal entries final'!$E:$E,$C$80,'Jounal entries final'!$M:$M,$C81,'Jounal entries final'!$B:$B,H$78,'Jounal entries final'!$C:$C,$F$17)</f>
        <v>3776886</v>
      </c>
      <c r="I81" s="379">
        <f>-SUMIFS('Jounal entries final'!$H:$H,'Jounal entries final'!$E:$E,$C$80,'Jounal entries final'!$M:$M,$C81,'Jounal entries final'!$B:$B,I$78,'Jounal entries final'!$C:$C,$F$17)</f>
        <v>3504204</v>
      </c>
      <c r="J81" s="379">
        <f>-SUMIFS('Jounal entries final'!$H:$H,'Jounal entries final'!$E:$E,$C$80,'Jounal entries final'!$M:$M,$C81,'Jounal entries final'!$B:$B,J$78,'Jounal entries final'!$C:$C,$F$17)</f>
        <v>3161070</v>
      </c>
      <c r="K81" s="379">
        <f>-SUMIFS('Jounal entries final'!$H:$H,'Jounal entries final'!$E:$E,$C$80,'Jounal entries final'!$M:$M,$C81,'Jounal entries final'!$B:$B,K$78,'Jounal entries final'!$C:$C,$F$17)</f>
        <v>1654350</v>
      </c>
      <c r="L81" s="379">
        <f>-SUMIFS('Jounal entries final'!$H:$H,'Jounal entries final'!$E:$E,$C$80,'Jounal entries final'!$M:$M,$C81,'Jounal entries final'!$B:$B,L$78,'Jounal entries final'!$C:$C,$F$17)</f>
        <v>2098719</v>
      </c>
      <c r="M81" s="379">
        <f>-SUMIFS('Jounal entries final'!$H:$H,'Jounal entries final'!$E:$E,$C$80,'Jounal entries final'!$M:$M,$C81,'Jounal entries final'!$B:$B,M$78,'Jounal entries final'!$C:$C,$F$17)</f>
        <v>2665260</v>
      </c>
      <c r="N81" s="379">
        <f>-SUMIFS('Jounal entries final'!$H:$H,'Jounal entries final'!$E:$E,$C$80,'Jounal entries final'!$M:$M,$C81,'Jounal entries final'!$B:$B,N$78,'Jounal entries final'!$C:$C,$F$17)</f>
        <v>3494754</v>
      </c>
      <c r="O81" s="379">
        <f>-SUMIFS('Jounal entries final'!$H:$H,'Jounal entries final'!$E:$E,$C$80,'Jounal entries final'!$M:$M,$C81,'Jounal entries final'!$B:$B,O$78,'Jounal entries final'!$C:$C,$F$17)</f>
        <v>2085210</v>
      </c>
      <c r="P81" s="114"/>
    </row>
    <row r="82" spans="2:16" ht="18" customHeight="1">
      <c r="B82" s="234"/>
      <c r="C82" s="118" t="s">
        <v>31</v>
      </c>
      <c r="D82" s="379">
        <f>-SUMIFS('Jounal entries final'!$H:$H,'Jounal entries final'!$E:$E,$C$80,'Jounal entries final'!$M:$M,$C82,'Jounal entries final'!$B:$B,D$78,'Jounal entries final'!$C:$C,$F$17)</f>
        <v>872984</v>
      </c>
      <c r="E82" s="379">
        <f>-SUMIFS('Jounal entries final'!$H:$H,'Jounal entries final'!$E:$E,$C$80,'Jounal entries final'!$M:$M,$C82,'Jounal entries final'!$B:$B,E$78,'Jounal entries final'!$C:$C,$F$17)</f>
        <v>1025715</v>
      </c>
      <c r="F82" s="379">
        <f>-SUMIFS('Jounal entries final'!$H:$H,'Jounal entries final'!$E:$E,$C$80,'Jounal entries final'!$M:$M,$C82,'Jounal entries final'!$B:$B,F$78,'Jounal entries final'!$C:$C,$F$17)</f>
        <v>1050962</v>
      </c>
      <c r="G82" s="379">
        <f>-SUMIFS('Jounal entries final'!$H:$H,'Jounal entries final'!$E:$E,$C$80,'Jounal entries final'!$M:$M,$C82,'Jounal entries final'!$B:$B,G$78,'Jounal entries final'!$C:$C,$F$17)</f>
        <v>1429818</v>
      </c>
      <c r="H82" s="379">
        <f>-SUMIFS('Jounal entries final'!$H:$H,'Jounal entries final'!$E:$E,$C$80,'Jounal entries final'!$M:$M,$C82,'Jounal entries final'!$B:$B,H$78,'Jounal entries final'!$C:$C,$F$17)</f>
        <v>902070</v>
      </c>
      <c r="I82" s="379">
        <f>-SUMIFS('Jounal entries final'!$H:$H,'Jounal entries final'!$E:$E,$C$80,'Jounal entries final'!$M:$M,$C82,'Jounal entries final'!$B:$B,I$78,'Jounal entries final'!$C:$C,$F$17)</f>
        <v>515645</v>
      </c>
      <c r="J82" s="379">
        <f>-SUMIFS('Jounal entries final'!$H:$H,'Jounal entries final'!$E:$E,$C$80,'Jounal entries final'!$M:$M,$C82,'Jounal entries final'!$B:$B,J$78,'Jounal entries final'!$C:$C,$F$17)</f>
        <v>1019031</v>
      </c>
      <c r="K82" s="379">
        <f>-SUMIFS('Jounal entries final'!$H:$H,'Jounal entries final'!$E:$E,$C$80,'Jounal entries final'!$M:$M,$C82,'Jounal entries final'!$B:$B,K$78,'Jounal entries final'!$C:$C,$F$17)</f>
        <v>1355424</v>
      </c>
      <c r="L82" s="379">
        <f>-SUMIFS('Jounal entries final'!$H:$H,'Jounal entries final'!$E:$E,$C$80,'Jounal entries final'!$M:$M,$C82,'Jounal entries final'!$B:$B,L$78,'Jounal entries final'!$C:$C,$F$17)</f>
        <v>1397760</v>
      </c>
      <c r="M82" s="379">
        <f>-SUMIFS('Jounal entries final'!$H:$H,'Jounal entries final'!$E:$E,$C$80,'Jounal entries final'!$M:$M,$C82,'Jounal entries final'!$B:$B,M$78,'Jounal entries final'!$C:$C,$F$17)</f>
        <v>425961</v>
      </c>
      <c r="N82" s="379">
        <f>-SUMIFS('Jounal entries final'!$H:$H,'Jounal entries final'!$E:$E,$C$80,'Jounal entries final'!$M:$M,$C82,'Jounal entries final'!$B:$B,N$78,'Jounal entries final'!$C:$C,$F$17)</f>
        <v>761550</v>
      </c>
      <c r="O82" s="379">
        <f>-SUMIFS('Jounal entries final'!$H:$H,'Jounal entries final'!$E:$E,$C$80,'Jounal entries final'!$M:$M,$C82,'Jounal entries final'!$B:$B,O$78,'Jounal entries final'!$C:$C,$F$17)</f>
        <v>457200</v>
      </c>
      <c r="P82" s="364">
        <f>SUMIFS('Jounal entries final'!$H:$H,'Jounal entries final'!$E:$E,$C82,'Jounal entries final'!$B:$B,P$17,'Jounal entries final'!$C:$C,$Q$17)</f>
        <v>0</v>
      </c>
    </row>
    <row r="83" spans="2:16" ht="18" customHeight="1">
      <c r="B83" s="252"/>
      <c r="C83" s="118" t="s">
        <v>40</v>
      </c>
      <c r="D83" s="379">
        <f>-SUMIFS('Jounal entries final'!$H:$H,'Jounal entries final'!$E:$E,$C$80,'Jounal entries final'!$M:$M,$C83,'Jounal entries final'!$B:$B,D$78,'Jounal entries final'!$C:$C,$F$17)</f>
        <v>601126</v>
      </c>
      <c r="E83" s="379">
        <f>-SUMIFS('Jounal entries final'!$H:$H,'Jounal entries final'!$E:$E,$C$80,'Jounal entries final'!$M:$M,$C83,'Jounal entries final'!$B:$B,E$78,'Jounal entries final'!$C:$C,$F$17)</f>
        <v>273400</v>
      </c>
      <c r="F83" s="379">
        <f>-SUMIFS('Jounal entries final'!$H:$H,'Jounal entries final'!$E:$E,$C$80,'Jounal entries final'!$M:$M,$C83,'Jounal entries final'!$B:$B,F$78,'Jounal entries final'!$C:$C,$F$17)</f>
        <v>1217721</v>
      </c>
      <c r="G83" s="379">
        <f>-SUMIFS('Jounal entries final'!$H:$H,'Jounal entries final'!$E:$E,$C$80,'Jounal entries final'!$M:$M,$C83,'Jounal entries final'!$B:$B,G$78,'Jounal entries final'!$C:$C,$F$17)</f>
        <v>1466607</v>
      </c>
      <c r="H83" s="379">
        <f>-SUMIFS('Jounal entries final'!$H:$H,'Jounal entries final'!$E:$E,$C$80,'Jounal entries final'!$M:$M,$C83,'Jounal entries final'!$B:$B,H$78,'Jounal entries final'!$C:$C,$F$17)</f>
        <v>173788</v>
      </c>
      <c r="I83" s="379">
        <f>-SUMIFS('Jounal entries final'!$H:$H,'Jounal entries final'!$E:$E,$C$80,'Jounal entries final'!$M:$M,$C83,'Jounal entries final'!$B:$B,I$78,'Jounal entries final'!$C:$C,$F$17)</f>
        <v>1584380</v>
      </c>
      <c r="J83" s="379">
        <f>-SUMIFS('Jounal entries final'!$H:$H,'Jounal entries final'!$E:$E,$C$80,'Jounal entries final'!$M:$M,$C83,'Jounal entries final'!$B:$B,J$78,'Jounal entries final'!$C:$C,$F$17)</f>
        <v>1750932</v>
      </c>
      <c r="K83" s="379">
        <f>-SUMIFS('Jounal entries final'!$H:$H,'Jounal entries final'!$E:$E,$C$80,'Jounal entries final'!$M:$M,$C83,'Jounal entries final'!$B:$B,K$78,'Jounal entries final'!$C:$C,$F$17)</f>
        <v>444024</v>
      </c>
      <c r="L83" s="379">
        <f>-SUMIFS('Jounal entries final'!$H:$H,'Jounal entries final'!$E:$E,$C$80,'Jounal entries final'!$M:$M,$C83,'Jounal entries final'!$B:$B,L$78,'Jounal entries final'!$C:$C,$F$17)</f>
        <v>383184</v>
      </c>
      <c r="M83" s="379">
        <f>-SUMIFS('Jounal entries final'!$H:$H,'Jounal entries final'!$E:$E,$C$80,'Jounal entries final'!$M:$M,$C83,'Jounal entries final'!$B:$B,M$78,'Jounal entries final'!$C:$C,$F$17)</f>
        <v>173664</v>
      </c>
      <c r="N83" s="379">
        <f>-SUMIFS('Jounal entries final'!$H:$H,'Jounal entries final'!$E:$E,$C$80,'Jounal entries final'!$M:$M,$C83,'Jounal entries final'!$B:$B,N$78,'Jounal entries final'!$C:$C,$F$17)</f>
        <v>846141</v>
      </c>
      <c r="O83" s="379">
        <f>-SUMIFS('Jounal entries final'!$H:$H,'Jounal entries final'!$E:$E,$C$80,'Jounal entries final'!$M:$M,$C83,'Jounal entries final'!$B:$B,O$78,'Jounal entries final'!$C:$C,$F$17)</f>
        <v>369024</v>
      </c>
      <c r="P83" s="364">
        <f>SUMIFS('Jounal entries final'!$H:$H,'Jounal entries final'!$E:$E,$C83,'Jounal entries final'!$B:$B,P$17,'Jounal entries final'!$C:$C,$Q$17)</f>
        <v>0</v>
      </c>
    </row>
    <row r="84" spans="2:16" ht="18" customHeight="1">
      <c r="B84" s="234"/>
      <c r="C84" s="118" t="s">
        <v>36</v>
      </c>
      <c r="D84" s="379">
        <f>-SUMIFS('Jounal entries final'!$H:$H,'Jounal entries final'!$E:$E,$C$80,'Jounal entries final'!$M:$M,$C84,'Jounal entries final'!$B:$B,D$78,'Jounal entries final'!$C:$C,$F$17)</f>
        <v>644640</v>
      </c>
      <c r="E84" s="379">
        <f>-SUMIFS('Jounal entries final'!$H:$H,'Jounal entries final'!$E:$E,$C$80,'Jounal entries final'!$M:$M,$C84,'Jounal entries final'!$B:$B,E$78,'Jounal entries final'!$C:$C,$F$17)</f>
        <v>1348382</v>
      </c>
      <c r="F84" s="379">
        <f>-SUMIFS('Jounal entries final'!$H:$H,'Jounal entries final'!$E:$E,$C$80,'Jounal entries final'!$M:$M,$C84,'Jounal entries final'!$B:$B,F$78,'Jounal entries final'!$C:$C,$F$17)</f>
        <v>861150</v>
      </c>
      <c r="G84" s="379">
        <f>-SUMIFS('Jounal entries final'!$H:$H,'Jounal entries final'!$E:$E,$C$80,'Jounal entries final'!$M:$M,$C84,'Jounal entries final'!$B:$B,G$78,'Jounal entries final'!$C:$C,$F$17)</f>
        <v>1073682</v>
      </c>
      <c r="H84" s="379">
        <f>-SUMIFS('Jounal entries final'!$H:$H,'Jounal entries final'!$E:$E,$C$80,'Jounal entries final'!$M:$M,$C84,'Jounal entries final'!$B:$B,H$78,'Jounal entries final'!$C:$C,$F$17)</f>
        <v>846009</v>
      </c>
      <c r="I84" s="379">
        <f>-SUMIFS('Jounal entries final'!$H:$H,'Jounal entries final'!$E:$E,$C$80,'Jounal entries final'!$M:$M,$C84,'Jounal entries final'!$B:$B,I$78,'Jounal entries final'!$C:$C,$F$17)</f>
        <v>915151</v>
      </c>
      <c r="J84" s="379">
        <f>-SUMIFS('Jounal entries final'!$H:$H,'Jounal entries final'!$E:$E,$C$80,'Jounal entries final'!$M:$M,$C84,'Jounal entries final'!$B:$B,J$78,'Jounal entries final'!$C:$C,$F$17)</f>
        <v>1990443</v>
      </c>
      <c r="K84" s="379">
        <f>-SUMIFS('Jounal entries final'!$H:$H,'Jounal entries final'!$E:$E,$C$80,'Jounal entries final'!$M:$M,$C84,'Jounal entries final'!$B:$B,K$78,'Jounal entries final'!$C:$C,$F$17)</f>
        <v>1462450</v>
      </c>
      <c r="L84" s="379">
        <f>-SUMIFS('Jounal entries final'!$H:$H,'Jounal entries final'!$E:$E,$C$80,'Jounal entries final'!$M:$M,$C84,'Jounal entries final'!$B:$B,L$78,'Jounal entries final'!$C:$C,$F$17)</f>
        <v>1400236</v>
      </c>
      <c r="M84" s="379">
        <f>-SUMIFS('Jounal entries final'!$H:$H,'Jounal entries final'!$E:$E,$C$80,'Jounal entries final'!$M:$M,$C84,'Jounal entries final'!$B:$B,M$78,'Jounal entries final'!$C:$C,$F$17)</f>
        <v>947030</v>
      </c>
      <c r="N84" s="379">
        <f>-SUMIFS('Jounal entries final'!$H:$H,'Jounal entries final'!$E:$E,$C$80,'Jounal entries final'!$M:$M,$C84,'Jounal entries final'!$B:$B,N$78,'Jounal entries final'!$C:$C,$F$17)</f>
        <v>829568</v>
      </c>
      <c r="O84" s="379">
        <f>-SUMIFS('Jounal entries final'!$H:$H,'Jounal entries final'!$E:$E,$C$80,'Jounal entries final'!$M:$M,$C84,'Jounal entries final'!$B:$B,O$78,'Jounal entries final'!$C:$C,$F$17)</f>
        <v>976488</v>
      </c>
      <c r="P84" s="364">
        <f>SUMIFS('Jounal entries final'!$H:$H,'Jounal entries final'!$E:$E,$C84,'Jounal entries final'!$B:$B,P$17,'Jounal entries final'!$C:$C,$Q$17)</f>
        <v>0</v>
      </c>
    </row>
    <row r="85" spans="2:16" ht="18" customHeight="1">
      <c r="B85" s="234"/>
      <c r="C85" s="118" t="s">
        <v>32</v>
      </c>
      <c r="D85" s="379">
        <f>-SUMIFS('Jounal entries final'!$H:$H,'Jounal entries final'!$E:$E,$C$80,'Jounal entries final'!$M:$M,$C85,'Jounal entries final'!$B:$B,D$78,'Jounal entries final'!$C:$C,$F$17)</f>
        <v>1115827</v>
      </c>
      <c r="E85" s="379">
        <f>-SUMIFS('Jounal entries final'!$H:$H,'Jounal entries final'!$E:$E,$C$80,'Jounal entries final'!$M:$M,$C85,'Jounal entries final'!$B:$B,E$78,'Jounal entries final'!$C:$C,$F$17)</f>
        <v>1827738</v>
      </c>
      <c r="F85" s="379">
        <f>-SUMIFS('Jounal entries final'!$H:$H,'Jounal entries final'!$E:$E,$C$80,'Jounal entries final'!$M:$M,$C85,'Jounal entries final'!$B:$B,F$78,'Jounal entries final'!$C:$C,$F$17)</f>
        <v>421857</v>
      </c>
      <c r="G85" s="379">
        <f>-SUMIFS('Jounal entries final'!$H:$H,'Jounal entries final'!$E:$E,$C$80,'Jounal entries final'!$M:$M,$C85,'Jounal entries final'!$B:$B,G$78,'Jounal entries final'!$C:$C,$F$17)</f>
        <v>1250755</v>
      </c>
      <c r="H85" s="379">
        <f>-SUMIFS('Jounal entries final'!$H:$H,'Jounal entries final'!$E:$E,$C$80,'Jounal entries final'!$M:$M,$C85,'Jounal entries final'!$B:$B,H$78,'Jounal entries final'!$C:$C,$F$17)</f>
        <v>567120</v>
      </c>
      <c r="I85" s="379">
        <f>-SUMIFS('Jounal entries final'!$H:$H,'Jounal entries final'!$E:$E,$C$80,'Jounal entries final'!$M:$M,$C85,'Jounal entries final'!$B:$B,I$78,'Jounal entries final'!$C:$C,$F$17)</f>
        <v>804344</v>
      </c>
      <c r="J85" s="379">
        <f>-SUMIFS('Jounal entries final'!$H:$H,'Jounal entries final'!$E:$E,$C$80,'Jounal entries final'!$M:$M,$C85,'Jounal entries final'!$B:$B,J$78,'Jounal entries final'!$C:$C,$F$17)</f>
        <v>754700</v>
      </c>
      <c r="K85" s="379">
        <f>-SUMIFS('Jounal entries final'!$H:$H,'Jounal entries final'!$E:$E,$C$80,'Jounal entries final'!$M:$M,$C85,'Jounal entries final'!$B:$B,K$78,'Jounal entries final'!$C:$C,$F$17)</f>
        <v>756884</v>
      </c>
      <c r="L85" s="379">
        <f>-SUMIFS('Jounal entries final'!$H:$H,'Jounal entries final'!$E:$E,$C$80,'Jounal entries final'!$M:$M,$C85,'Jounal entries final'!$B:$B,L$78,'Jounal entries final'!$C:$C,$F$17)</f>
        <v>1976853</v>
      </c>
      <c r="M85" s="379">
        <f>-SUMIFS('Jounal entries final'!$H:$H,'Jounal entries final'!$E:$E,$C$80,'Jounal entries final'!$M:$M,$C85,'Jounal entries final'!$B:$B,M$78,'Jounal entries final'!$C:$C,$F$17)</f>
        <v>1398420</v>
      </c>
      <c r="N85" s="379">
        <f>-SUMIFS('Jounal entries final'!$H:$H,'Jounal entries final'!$E:$E,$C$80,'Jounal entries final'!$M:$M,$C85,'Jounal entries final'!$B:$B,N$78,'Jounal entries final'!$C:$C,$F$17)</f>
        <v>1112020</v>
      </c>
      <c r="O85" s="379">
        <f>-SUMIFS('Jounal entries final'!$H:$H,'Jounal entries final'!$E:$E,$C$80,'Jounal entries final'!$M:$M,$C85,'Jounal entries final'!$B:$B,O$78,'Jounal entries final'!$C:$C,$F$17)</f>
        <v>677376</v>
      </c>
      <c r="P85" s="234"/>
    </row>
    <row r="86" spans="2:16" ht="18" customHeight="1">
      <c r="B86" s="234"/>
      <c r="C86" s="118" t="s">
        <v>37</v>
      </c>
      <c r="D86" s="379">
        <f>-SUMIFS('Jounal entries final'!$H:$H,'Jounal entries final'!$E:$E,$C$80,'Jounal entries final'!$M:$M,$C86,'Jounal entries final'!$B:$B,D$78,'Jounal entries final'!$C:$C,$F$17)</f>
        <v>550988</v>
      </c>
      <c r="E86" s="379">
        <f>-SUMIFS('Jounal entries final'!$H:$H,'Jounal entries final'!$E:$E,$C$80,'Jounal entries final'!$M:$M,$C86,'Jounal entries final'!$B:$B,E$78,'Jounal entries final'!$C:$C,$F$17)</f>
        <v>483771</v>
      </c>
      <c r="F86" s="379">
        <f>-SUMIFS('Jounal entries final'!$H:$H,'Jounal entries final'!$E:$E,$C$80,'Jounal entries final'!$M:$M,$C86,'Jounal entries final'!$B:$B,F$78,'Jounal entries final'!$C:$C,$F$17)</f>
        <v>585872</v>
      </c>
      <c r="G86" s="379">
        <f>-SUMIFS('Jounal entries final'!$H:$H,'Jounal entries final'!$E:$E,$C$80,'Jounal entries final'!$M:$M,$C86,'Jounal entries final'!$B:$B,G$78,'Jounal entries final'!$C:$C,$F$17)</f>
        <v>558195</v>
      </c>
      <c r="H86" s="379">
        <f>-SUMIFS('Jounal entries final'!$H:$H,'Jounal entries final'!$E:$E,$C$80,'Jounal entries final'!$M:$M,$C86,'Jounal entries final'!$B:$B,H$78,'Jounal entries final'!$C:$C,$F$17)</f>
        <v>713388</v>
      </c>
      <c r="I86" s="379">
        <f>-SUMIFS('Jounal entries final'!$H:$H,'Jounal entries final'!$E:$E,$C$80,'Jounal entries final'!$M:$M,$C86,'Jounal entries final'!$B:$B,I$78,'Jounal entries final'!$C:$C,$F$17)</f>
        <v>675328</v>
      </c>
      <c r="J86" s="379">
        <f>-SUMIFS('Jounal entries final'!$H:$H,'Jounal entries final'!$E:$E,$C$80,'Jounal entries final'!$M:$M,$C86,'Jounal entries final'!$B:$B,J$78,'Jounal entries final'!$C:$C,$F$17)</f>
        <v>670390</v>
      </c>
      <c r="K86" s="379">
        <f>-SUMIFS('Jounal entries final'!$H:$H,'Jounal entries final'!$E:$E,$C$80,'Jounal entries final'!$M:$M,$C86,'Jounal entries final'!$B:$B,K$78,'Jounal entries final'!$C:$C,$F$17)</f>
        <v>708324</v>
      </c>
      <c r="L86" s="379">
        <f>-SUMIFS('Jounal entries final'!$H:$H,'Jounal entries final'!$E:$E,$C$80,'Jounal entries final'!$M:$M,$C86,'Jounal entries final'!$B:$B,L$78,'Jounal entries final'!$C:$C,$F$17)</f>
        <v>682770</v>
      </c>
      <c r="M86" s="379">
        <f>-SUMIFS('Jounal entries final'!$H:$H,'Jounal entries final'!$E:$E,$C$80,'Jounal entries final'!$M:$M,$C86,'Jounal entries final'!$B:$B,M$78,'Jounal entries final'!$C:$C,$F$17)</f>
        <v>487665</v>
      </c>
      <c r="N86" s="379">
        <f>-SUMIFS('Jounal entries final'!$H:$H,'Jounal entries final'!$E:$E,$C$80,'Jounal entries final'!$M:$M,$C86,'Jounal entries final'!$B:$B,N$78,'Jounal entries final'!$C:$C,$F$17)</f>
        <v>718977</v>
      </c>
      <c r="O86" s="379">
        <f>-SUMIFS('Jounal entries final'!$H:$H,'Jounal entries final'!$E:$E,$C$80,'Jounal entries final'!$M:$M,$C86,'Jounal entries final'!$B:$B,O$78,'Jounal entries final'!$C:$C,$F$17)</f>
        <v>567736</v>
      </c>
      <c r="P86" s="234"/>
    </row>
    <row r="87" spans="2:16" ht="18" customHeight="1">
      <c r="B87" s="234"/>
      <c r="C87" s="118" t="s">
        <v>33</v>
      </c>
      <c r="D87" s="379">
        <f>-SUMIFS('Jounal entries final'!$H:$H,'Jounal entries final'!$E:$E,$C$80,'Jounal entries final'!$M:$M,$C87,'Jounal entries final'!$B:$B,D$78,'Jounal entries final'!$C:$C,$F$17)</f>
        <v>1756304</v>
      </c>
      <c r="E87" s="379">
        <f>-SUMIFS('Jounal entries final'!$H:$H,'Jounal entries final'!$E:$E,$C$80,'Jounal entries final'!$M:$M,$C87,'Jounal entries final'!$B:$B,E$78,'Jounal entries final'!$C:$C,$F$17)</f>
        <v>1282260</v>
      </c>
      <c r="F87" s="379">
        <f>-SUMIFS('Jounal entries final'!$H:$H,'Jounal entries final'!$E:$E,$C$80,'Jounal entries final'!$M:$M,$C87,'Jounal entries final'!$B:$B,F$78,'Jounal entries final'!$C:$C,$F$17)</f>
        <v>446978</v>
      </c>
      <c r="G87" s="379">
        <f>-SUMIFS('Jounal entries final'!$H:$H,'Jounal entries final'!$E:$E,$C$80,'Jounal entries final'!$M:$M,$C87,'Jounal entries final'!$B:$B,G$78,'Jounal entries final'!$C:$C,$F$17)</f>
        <v>440505</v>
      </c>
      <c r="H87" s="379">
        <f>-SUMIFS('Jounal entries final'!$H:$H,'Jounal entries final'!$E:$E,$C$80,'Jounal entries final'!$M:$M,$C87,'Jounal entries final'!$B:$B,H$78,'Jounal entries final'!$C:$C,$F$17)</f>
        <v>933504</v>
      </c>
      <c r="I87" s="379">
        <f>-SUMIFS('Jounal entries final'!$H:$H,'Jounal entries final'!$E:$E,$C$80,'Jounal entries final'!$M:$M,$C87,'Jounal entries final'!$B:$B,I$78,'Jounal entries final'!$C:$C,$F$17)</f>
        <v>1159740</v>
      </c>
      <c r="J87" s="379">
        <f>-SUMIFS('Jounal entries final'!$H:$H,'Jounal entries final'!$E:$E,$C$80,'Jounal entries final'!$M:$M,$C87,'Jounal entries final'!$B:$B,J$78,'Jounal entries final'!$C:$C,$F$17)</f>
        <v>1764378</v>
      </c>
      <c r="K87" s="379">
        <f>-SUMIFS('Jounal entries final'!$H:$H,'Jounal entries final'!$E:$E,$C$80,'Jounal entries final'!$M:$M,$C87,'Jounal entries final'!$B:$B,K$78,'Jounal entries final'!$C:$C,$F$17)</f>
        <v>1162070</v>
      </c>
      <c r="L87" s="379">
        <f>-SUMIFS('Jounal entries final'!$H:$H,'Jounal entries final'!$E:$E,$C$80,'Jounal entries final'!$M:$M,$C87,'Jounal entries final'!$B:$B,L$78,'Jounal entries final'!$C:$C,$F$17)</f>
        <v>489124</v>
      </c>
      <c r="M87" s="379">
        <f>-SUMIFS('Jounal entries final'!$H:$H,'Jounal entries final'!$E:$E,$C$80,'Jounal entries final'!$M:$M,$C87,'Jounal entries final'!$B:$B,M$78,'Jounal entries final'!$C:$C,$F$17)</f>
        <v>1149234</v>
      </c>
      <c r="N87" s="379">
        <f>-SUMIFS('Jounal entries final'!$H:$H,'Jounal entries final'!$E:$E,$C$80,'Jounal entries final'!$M:$M,$C87,'Jounal entries final'!$B:$B,N$78,'Jounal entries final'!$C:$C,$F$17)</f>
        <v>756560</v>
      </c>
      <c r="O87" s="379">
        <f>-SUMIFS('Jounal entries final'!$H:$H,'Jounal entries final'!$E:$E,$C$80,'Jounal entries final'!$M:$M,$C87,'Jounal entries final'!$B:$B,O$78,'Jounal entries final'!$C:$C,$F$17)</f>
        <v>1199400</v>
      </c>
      <c r="P87" s="234"/>
    </row>
    <row r="88" spans="2:16" ht="18" customHeight="1">
      <c r="B88" s="234"/>
      <c r="C88" s="118" t="s">
        <v>38</v>
      </c>
      <c r="D88" s="379">
        <f>-SUMIFS('Jounal entries final'!$H:$H,'Jounal entries final'!$E:$E,$C$80,'Jounal entries final'!$M:$M,$C88,'Jounal entries final'!$B:$B,D$78,'Jounal entries final'!$C:$C,$F$17)</f>
        <v>1005360</v>
      </c>
      <c r="E88" s="379">
        <f>-SUMIFS('Jounal entries final'!$H:$H,'Jounal entries final'!$E:$E,$C$80,'Jounal entries final'!$M:$M,$C88,'Jounal entries final'!$B:$B,E$78,'Jounal entries final'!$C:$C,$F$17)</f>
        <v>543344</v>
      </c>
      <c r="F88" s="379">
        <f>-SUMIFS('Jounal entries final'!$H:$H,'Jounal entries final'!$E:$E,$C$80,'Jounal entries final'!$M:$M,$C88,'Jounal entries final'!$B:$B,F$78,'Jounal entries final'!$C:$C,$F$17)</f>
        <v>1402960</v>
      </c>
      <c r="G88" s="379">
        <f>-SUMIFS('Jounal entries final'!$H:$H,'Jounal entries final'!$E:$E,$C$80,'Jounal entries final'!$M:$M,$C88,'Jounal entries final'!$B:$B,G$78,'Jounal entries final'!$C:$C,$F$17)</f>
        <v>671880</v>
      </c>
      <c r="H88" s="379">
        <f>-SUMIFS('Jounal entries final'!$H:$H,'Jounal entries final'!$E:$E,$C$80,'Jounal entries final'!$M:$M,$C88,'Jounal entries final'!$B:$B,H$78,'Jounal entries final'!$C:$C,$F$17)</f>
        <v>1392341</v>
      </c>
      <c r="I88" s="379">
        <f>-SUMIFS('Jounal entries final'!$H:$H,'Jounal entries final'!$E:$E,$C$80,'Jounal entries final'!$M:$M,$C88,'Jounal entries final'!$B:$B,I$78,'Jounal entries final'!$C:$C,$F$17)</f>
        <v>1177393</v>
      </c>
      <c r="J88" s="379">
        <f>-SUMIFS('Jounal entries final'!$H:$H,'Jounal entries final'!$E:$E,$C$80,'Jounal entries final'!$M:$M,$C88,'Jounal entries final'!$B:$B,J$78,'Jounal entries final'!$C:$C,$F$17)</f>
        <v>522000</v>
      </c>
      <c r="K88" s="379">
        <f>-SUMIFS('Jounal entries final'!$H:$H,'Jounal entries final'!$E:$E,$C$80,'Jounal entries final'!$M:$M,$C88,'Jounal entries final'!$B:$B,K$78,'Jounal entries final'!$C:$C,$F$17)</f>
        <v>1618086</v>
      </c>
      <c r="L88" s="379">
        <f>-SUMIFS('Jounal entries final'!$H:$H,'Jounal entries final'!$E:$E,$C$80,'Jounal entries final'!$M:$M,$C88,'Jounal entries final'!$B:$B,L$78,'Jounal entries final'!$C:$C,$F$17)</f>
        <v>1051848</v>
      </c>
      <c r="M88" s="379">
        <f>-SUMIFS('Jounal entries final'!$H:$H,'Jounal entries final'!$E:$E,$C$80,'Jounal entries final'!$M:$M,$C88,'Jounal entries final'!$B:$B,M$78,'Jounal entries final'!$C:$C,$F$17)</f>
        <v>1391220</v>
      </c>
      <c r="N88" s="379">
        <f>-SUMIFS('Jounal entries final'!$H:$H,'Jounal entries final'!$E:$E,$C$80,'Jounal entries final'!$M:$M,$C88,'Jounal entries final'!$B:$B,N$78,'Jounal entries final'!$C:$C,$F$17)</f>
        <v>415476</v>
      </c>
      <c r="O88" s="379">
        <f>-SUMIFS('Jounal entries final'!$H:$H,'Jounal entries final'!$E:$E,$C$80,'Jounal entries final'!$M:$M,$C88,'Jounal entries final'!$B:$B,O$78,'Jounal entries final'!$C:$C,$F$17)</f>
        <v>1075932</v>
      </c>
      <c r="P88" s="234"/>
    </row>
    <row r="89" spans="2:16" ht="18" customHeight="1">
      <c r="B89" s="114"/>
      <c r="C89" s="118" t="s">
        <v>34</v>
      </c>
      <c r="D89" s="379">
        <f>-SUMIFS('Jounal entries final'!$H:$H,'Jounal entries final'!$E:$E,$C$80,'Jounal entries final'!$M:$M,$C89,'Jounal entries final'!$B:$B,D$78,'Jounal entries final'!$C:$C,$F$17)</f>
        <v>1839104</v>
      </c>
      <c r="E89" s="379">
        <f>-SUMIFS('Jounal entries final'!$H:$H,'Jounal entries final'!$E:$E,$C$80,'Jounal entries final'!$M:$M,$C89,'Jounal entries final'!$B:$B,E$78,'Jounal entries final'!$C:$C,$F$17)</f>
        <v>1502664</v>
      </c>
      <c r="F89" s="379">
        <f>-SUMIFS('Jounal entries final'!$H:$H,'Jounal entries final'!$E:$E,$C$80,'Jounal entries final'!$M:$M,$C89,'Jounal entries final'!$B:$B,F$78,'Jounal entries final'!$C:$C,$F$17)</f>
        <v>664416</v>
      </c>
      <c r="G89" s="379">
        <f>-SUMIFS('Jounal entries final'!$H:$H,'Jounal entries final'!$E:$E,$C$80,'Jounal entries final'!$M:$M,$C89,'Jounal entries final'!$B:$B,G$78,'Jounal entries final'!$C:$C,$F$17)</f>
        <v>1658016</v>
      </c>
      <c r="H89" s="379">
        <f>-SUMIFS('Jounal entries final'!$H:$H,'Jounal entries final'!$E:$E,$C$80,'Jounal entries final'!$M:$M,$C89,'Jounal entries final'!$B:$B,H$78,'Jounal entries final'!$C:$C,$F$17)</f>
        <v>1233648</v>
      </c>
      <c r="I89" s="379">
        <f>-SUMIFS('Jounal entries final'!$H:$H,'Jounal entries final'!$E:$E,$C$80,'Jounal entries final'!$M:$M,$C89,'Jounal entries final'!$B:$B,I$78,'Jounal entries final'!$C:$C,$F$17)</f>
        <v>1641031</v>
      </c>
      <c r="J89" s="379">
        <f>-SUMIFS('Jounal entries final'!$H:$H,'Jounal entries final'!$E:$E,$C$80,'Jounal entries final'!$M:$M,$C89,'Jounal entries final'!$B:$B,J$78,'Jounal entries final'!$C:$C,$F$17)</f>
        <v>907731</v>
      </c>
      <c r="K89" s="379">
        <f>-SUMIFS('Jounal entries final'!$H:$H,'Jounal entries final'!$E:$E,$C$80,'Jounal entries final'!$M:$M,$C89,'Jounal entries final'!$B:$B,K$78,'Jounal entries final'!$C:$C,$F$17)</f>
        <v>1299942</v>
      </c>
      <c r="L89" s="379">
        <f>-SUMIFS('Jounal entries final'!$H:$H,'Jounal entries final'!$E:$E,$C$80,'Jounal entries final'!$M:$M,$C89,'Jounal entries final'!$B:$B,L$78,'Jounal entries final'!$C:$C,$F$17)</f>
        <v>1452928</v>
      </c>
      <c r="M89" s="379">
        <f>-SUMIFS('Jounal entries final'!$H:$H,'Jounal entries final'!$E:$E,$C$80,'Jounal entries final'!$M:$M,$C89,'Jounal entries final'!$B:$B,M$78,'Jounal entries final'!$C:$C,$F$17)</f>
        <v>1125402</v>
      </c>
      <c r="N89" s="379">
        <f>-SUMIFS('Jounal entries final'!$H:$H,'Jounal entries final'!$E:$E,$C$80,'Jounal entries final'!$M:$M,$C89,'Jounal entries final'!$B:$B,N$78,'Jounal entries final'!$C:$C,$F$17)</f>
        <v>1233232</v>
      </c>
      <c r="O89" s="379">
        <f>-SUMIFS('Jounal entries final'!$H:$H,'Jounal entries final'!$E:$E,$C$80,'Jounal entries final'!$M:$M,$C89,'Jounal entries final'!$B:$B,O$78,'Jounal entries final'!$C:$C,$F$17)</f>
        <v>1748626</v>
      </c>
      <c r="P89" s="234"/>
    </row>
    <row r="90" spans="2:16" ht="18" customHeight="1">
      <c r="B90" s="114"/>
      <c r="C90" s="118" t="s">
        <v>35</v>
      </c>
      <c r="D90" s="379">
        <f>-SUMIFS('Jounal entries final'!$H:$H,'Jounal entries final'!$E:$E,$C$80,'Jounal entries final'!$M:$M,$C90,'Jounal entries final'!$B:$B,D$78,'Jounal entries final'!$C:$C,$F$17)</f>
        <v>1110474</v>
      </c>
      <c r="E90" s="379">
        <f>-SUMIFS('Jounal entries final'!$H:$H,'Jounal entries final'!$E:$E,$C$80,'Jounal entries final'!$M:$M,$C90,'Jounal entries final'!$B:$B,E$78,'Jounal entries final'!$C:$C,$F$17)</f>
        <v>2014920</v>
      </c>
      <c r="F90" s="379">
        <f>-SUMIFS('Jounal entries final'!$H:$H,'Jounal entries final'!$E:$E,$C$80,'Jounal entries final'!$M:$M,$C90,'Jounal entries final'!$B:$B,F$78,'Jounal entries final'!$C:$C,$F$17)</f>
        <v>372166</v>
      </c>
      <c r="G90" s="379">
        <f>-SUMIFS('Jounal entries final'!$H:$H,'Jounal entries final'!$E:$E,$C$80,'Jounal entries final'!$M:$M,$C90,'Jounal entries final'!$B:$B,G$78,'Jounal entries final'!$C:$C,$F$17)</f>
        <v>1096316</v>
      </c>
      <c r="H90" s="379">
        <f>-SUMIFS('Jounal entries final'!$H:$H,'Jounal entries final'!$E:$E,$C$80,'Jounal entries final'!$M:$M,$C90,'Jounal entries final'!$B:$B,H$78,'Jounal entries final'!$C:$C,$F$17)</f>
        <v>1338336</v>
      </c>
      <c r="I90" s="379">
        <f>-SUMIFS('Jounal entries final'!$H:$H,'Jounal entries final'!$E:$E,$C$80,'Jounal entries final'!$M:$M,$C90,'Jounal entries final'!$B:$B,I$78,'Jounal entries final'!$C:$C,$F$17)</f>
        <v>600600</v>
      </c>
      <c r="J90" s="379">
        <f>-SUMIFS('Jounal entries final'!$H:$H,'Jounal entries final'!$E:$E,$C$80,'Jounal entries final'!$M:$M,$C90,'Jounal entries final'!$B:$B,J$78,'Jounal entries final'!$C:$C,$F$17)</f>
        <v>577216</v>
      </c>
      <c r="K90" s="379">
        <f>-SUMIFS('Jounal entries final'!$H:$H,'Jounal entries final'!$E:$E,$C$80,'Jounal entries final'!$M:$M,$C90,'Jounal entries final'!$B:$B,K$78,'Jounal entries final'!$C:$C,$F$17)</f>
        <v>605178</v>
      </c>
      <c r="L90" s="379">
        <f>-SUMIFS('Jounal entries final'!$H:$H,'Jounal entries final'!$E:$E,$C$80,'Jounal entries final'!$M:$M,$C90,'Jounal entries final'!$B:$B,L$78,'Jounal entries final'!$C:$C,$F$17)</f>
        <v>554164</v>
      </c>
      <c r="M90" s="379">
        <f>-SUMIFS('Jounal entries final'!$H:$H,'Jounal entries final'!$E:$E,$C$80,'Jounal entries final'!$M:$M,$C90,'Jounal entries final'!$B:$B,M$78,'Jounal entries final'!$C:$C,$F$17)</f>
        <v>1589335</v>
      </c>
      <c r="N90" s="379">
        <f>-SUMIFS('Jounal entries final'!$H:$H,'Jounal entries final'!$E:$E,$C$80,'Jounal entries final'!$M:$M,$C90,'Jounal entries final'!$B:$B,N$78,'Jounal entries final'!$C:$C,$F$17)</f>
        <v>1111460</v>
      </c>
      <c r="O90" s="379">
        <f>-SUMIFS('Jounal entries final'!$H:$H,'Jounal entries final'!$E:$E,$C$80,'Jounal entries final'!$M:$M,$C90,'Jounal entries final'!$B:$B,O$78,'Jounal entries final'!$C:$C,$F$17)</f>
        <v>1640576</v>
      </c>
      <c r="P90" s="234"/>
    </row>
    <row r="91" spans="2:16">
      <c r="B91" s="234"/>
      <c r="C91" s="118"/>
      <c r="D91" s="401"/>
      <c r="E91" s="114"/>
      <c r="F91" s="114"/>
      <c r="G91" s="114"/>
      <c r="H91" s="114"/>
      <c r="I91" s="114"/>
      <c r="J91" s="114"/>
      <c r="K91" s="114"/>
      <c r="L91" s="114"/>
      <c r="M91" s="114"/>
      <c r="N91" s="114"/>
      <c r="O91" s="114"/>
      <c r="P91" s="234"/>
    </row>
    <row r="93" spans="2:16" ht="22">
      <c r="B93" s="252"/>
      <c r="C93" s="380" t="s">
        <v>276</v>
      </c>
      <c r="D93" s="387">
        <v>1</v>
      </c>
      <c r="E93" s="387">
        <v>2</v>
      </c>
      <c r="F93" s="387">
        <v>3</v>
      </c>
      <c r="G93" s="387">
        <v>4</v>
      </c>
      <c r="H93" s="387">
        <v>5</v>
      </c>
      <c r="I93" s="387">
        <v>6</v>
      </c>
      <c r="J93" s="387">
        <v>7</v>
      </c>
      <c r="K93" s="387">
        <v>8</v>
      </c>
      <c r="L93" s="387">
        <v>9</v>
      </c>
      <c r="M93" s="387">
        <v>10</v>
      </c>
      <c r="N93" s="387">
        <v>11</v>
      </c>
      <c r="O93" s="387">
        <v>12</v>
      </c>
      <c r="P93" s="234"/>
    </row>
    <row r="94" spans="2:16">
      <c r="B94" s="234"/>
      <c r="C94" s="369"/>
      <c r="D94" s="370" t="s">
        <v>17</v>
      </c>
      <c r="E94" s="370" t="s">
        <v>18</v>
      </c>
      <c r="F94" s="370" t="s">
        <v>19</v>
      </c>
      <c r="G94" s="370" t="s">
        <v>20</v>
      </c>
      <c r="H94" s="370" t="s">
        <v>21</v>
      </c>
      <c r="I94" s="370" t="s">
        <v>22</v>
      </c>
      <c r="J94" s="370" t="s">
        <v>23</v>
      </c>
      <c r="K94" s="370" t="s">
        <v>24</v>
      </c>
      <c r="L94" s="370" t="s">
        <v>25</v>
      </c>
      <c r="M94" s="370" t="s">
        <v>26</v>
      </c>
      <c r="N94" s="370" t="s">
        <v>27</v>
      </c>
      <c r="O94" s="370" t="s">
        <v>28</v>
      </c>
      <c r="P94" s="362"/>
    </row>
    <row r="95" spans="2:16">
      <c r="B95" s="234"/>
      <c r="C95" s="119" t="s">
        <v>98</v>
      </c>
      <c r="D95" s="430">
        <f>SUM(D96:D105)</f>
        <v>246433</v>
      </c>
      <c r="E95" s="430">
        <f>SUM(E96:E105)</f>
        <v>215419</v>
      </c>
      <c r="F95" s="430">
        <f>SUM('Sales volumes'!E24:E33)</f>
        <v>188831</v>
      </c>
      <c r="G95" s="430">
        <f>SUM('Sales volumes'!F24:F33)</f>
        <v>224678</v>
      </c>
      <c r="H95" s="430">
        <f>SUM('Sales volumes'!G24:G33)</f>
        <v>207348</v>
      </c>
      <c r="I95" s="430">
        <f>SUM('Sales volumes'!H24:H33)</f>
        <v>197303</v>
      </c>
      <c r="J95" s="430">
        <f>SUM('Sales volumes'!I24:I33)</f>
        <v>221889</v>
      </c>
      <c r="K95" s="430">
        <f>SUM('Sales volumes'!J24:J33)</f>
        <v>199191</v>
      </c>
      <c r="L95" s="430">
        <f>SUM('Sales volumes'!K24:K33)</f>
        <v>194319</v>
      </c>
      <c r="M95" s="430">
        <f>SUM('Sales volumes'!L24:L33)</f>
        <v>193854</v>
      </c>
      <c r="N95" s="430">
        <f>SUM('Sales volumes'!M24:M33)</f>
        <v>199326</v>
      </c>
      <c r="O95" s="430">
        <f>SUM('Sales volumes'!N24:N33)</f>
        <v>195280</v>
      </c>
      <c r="P95" s="114"/>
    </row>
    <row r="96" spans="2:16">
      <c r="B96" s="114"/>
      <c r="C96" s="118" t="s">
        <v>39</v>
      </c>
      <c r="D96" s="389">
        <f>'Sales volumes'!C24</f>
        <v>84978</v>
      </c>
      <c r="E96" s="389">
        <f>'Sales volumes'!D24</f>
        <v>45741</v>
      </c>
      <c r="F96" s="389">
        <f>'Sales volumes'!E24</f>
        <v>63942</v>
      </c>
      <c r="G96" s="389">
        <f>'Sales volumes'!F24</f>
        <v>59013</v>
      </c>
      <c r="H96" s="389">
        <f>'Sales volumes'!G24</f>
        <v>71262</v>
      </c>
      <c r="I96" s="389">
        <f>'Sales volumes'!H24</f>
        <v>53094</v>
      </c>
      <c r="J96" s="389">
        <f>'Sales volumes'!I24</f>
        <v>57474</v>
      </c>
      <c r="K96" s="389">
        <f>'Sales volumes'!J24</f>
        <v>33087</v>
      </c>
      <c r="L96" s="389">
        <f>'Sales volumes'!K24</f>
        <v>42831</v>
      </c>
      <c r="M96" s="389">
        <f>'Sales volumes'!L24</f>
        <v>44421</v>
      </c>
      <c r="N96" s="389">
        <f>'Sales volumes'!M24</f>
        <v>56367</v>
      </c>
      <c r="O96" s="389">
        <f>'Sales volumes'!N24</f>
        <v>46338</v>
      </c>
      <c r="P96" s="114"/>
    </row>
    <row r="97" spans="2:16">
      <c r="B97" s="234"/>
      <c r="C97" s="118" t="s">
        <v>31</v>
      </c>
      <c r="D97" s="389">
        <f>'Sales volumes'!C25</f>
        <v>12838</v>
      </c>
      <c r="E97" s="389">
        <f>'Sales volumes'!D25</f>
        <v>17385</v>
      </c>
      <c r="F97" s="389">
        <f>'Sales volumes'!E25</f>
        <v>15686</v>
      </c>
      <c r="G97" s="389">
        <f>'Sales volumes'!F25</f>
        <v>20722</v>
      </c>
      <c r="H97" s="389">
        <f>'Sales volumes'!G25</f>
        <v>13878</v>
      </c>
      <c r="I97" s="389">
        <f>'Sales volumes'!H25</f>
        <v>7933</v>
      </c>
      <c r="J97" s="389">
        <f>'Sales volumes'!I25</f>
        <v>19981</v>
      </c>
      <c r="K97" s="389">
        <f>'Sales volumes'!J25</f>
        <v>28238</v>
      </c>
      <c r="L97" s="389">
        <f>'Sales volumes'!K25</f>
        <v>21840</v>
      </c>
      <c r="M97" s="389">
        <f>'Sales volumes'!L25</f>
        <v>8037</v>
      </c>
      <c r="N97" s="389">
        <f>'Sales volumes'!M25</f>
        <v>15231</v>
      </c>
      <c r="O97" s="389">
        <f>'Sales volumes'!N25</f>
        <v>7620</v>
      </c>
      <c r="P97" s="364">
        <f>SUMIFS('Jounal entries final'!$H:$H,'Jounal entries final'!$E:$E,$C97,'Jounal entries final'!$B:$B,P$17,'Jounal entries final'!$C:$C,$Q$17)</f>
        <v>0</v>
      </c>
    </row>
    <row r="98" spans="2:16" ht="22">
      <c r="B98" s="252"/>
      <c r="C98" s="118" t="s">
        <v>40</v>
      </c>
      <c r="D98" s="389">
        <f>'Sales volumes'!C26</f>
        <v>11342</v>
      </c>
      <c r="E98" s="389">
        <f>'Sales volumes'!D26</f>
        <v>5468</v>
      </c>
      <c r="F98" s="389">
        <f>'Sales volumes'!E26</f>
        <v>17151</v>
      </c>
      <c r="G98" s="389">
        <f>'Sales volumes'!F26</f>
        <v>28757</v>
      </c>
      <c r="H98" s="389">
        <f>'Sales volumes'!G26</f>
        <v>3778</v>
      </c>
      <c r="I98" s="389">
        <f>'Sales volumes'!H26</f>
        <v>22634</v>
      </c>
      <c r="J98" s="389">
        <f>'Sales volumes'!I26</f>
        <v>25749</v>
      </c>
      <c r="K98" s="389">
        <f>'Sales volumes'!J26</f>
        <v>6167</v>
      </c>
      <c r="L98" s="389">
        <f>'Sales volumes'!K26</f>
        <v>7983</v>
      </c>
      <c r="M98" s="389">
        <f>'Sales volumes'!L26</f>
        <v>2592</v>
      </c>
      <c r="N98" s="389">
        <f>'Sales volumes'!M26</f>
        <v>18003</v>
      </c>
      <c r="O98" s="389">
        <f>'Sales volumes'!N26</f>
        <v>5766</v>
      </c>
      <c r="P98" s="364">
        <f>SUMIFS('Jounal entries final'!$H:$H,'Jounal entries final'!$E:$E,$C98,'Jounal entries final'!$B:$B,P$17,'Jounal entries final'!$C:$C,$Q$17)</f>
        <v>0</v>
      </c>
    </row>
    <row r="99" spans="2:16">
      <c r="B99" s="234"/>
      <c r="C99" s="118" t="s">
        <v>36</v>
      </c>
      <c r="D99" s="389">
        <f>'Sales volumes'!C27</f>
        <v>12640</v>
      </c>
      <c r="E99" s="389">
        <f>'Sales volumes'!D27</f>
        <v>27518</v>
      </c>
      <c r="F99" s="389">
        <f>'Sales volumes'!E27</f>
        <v>17223</v>
      </c>
      <c r="G99" s="389">
        <f>'Sales volumes'!F27</f>
        <v>18198</v>
      </c>
      <c r="H99" s="389">
        <f>'Sales volumes'!G27</f>
        <v>12261</v>
      </c>
      <c r="I99" s="389">
        <f>'Sales volumes'!H27</f>
        <v>17267</v>
      </c>
      <c r="J99" s="389">
        <f>'Sales volumes'!I27</f>
        <v>28847</v>
      </c>
      <c r="K99" s="389">
        <f>'Sales volumes'!J27</f>
        <v>26590</v>
      </c>
      <c r="L99" s="389">
        <f>'Sales volumes'!K27</f>
        <v>24142</v>
      </c>
      <c r="M99" s="389">
        <f>'Sales volumes'!L27</f>
        <v>13529</v>
      </c>
      <c r="N99" s="389">
        <f>'Sales volumes'!M27</f>
        <v>12962</v>
      </c>
      <c r="O99" s="389">
        <f>'Sales volumes'!N27</f>
        <v>16008</v>
      </c>
      <c r="P99" s="364">
        <f>SUMIFS('Jounal entries final'!$H:$H,'Jounal entries final'!$E:$E,$C99,'Jounal entries final'!$B:$B,P$17,'Jounal entries final'!$C:$C,$Q$17)</f>
        <v>0</v>
      </c>
    </row>
    <row r="100" spans="2:16">
      <c r="B100" s="234"/>
      <c r="C100" s="118" t="s">
        <v>32</v>
      </c>
      <c r="D100" s="389">
        <f>'Sales volumes'!C28</f>
        <v>23741</v>
      </c>
      <c r="E100" s="389">
        <f>'Sales volumes'!D28</f>
        <v>27693</v>
      </c>
      <c r="F100" s="389">
        <f>'Sales volumes'!E28</f>
        <v>7401</v>
      </c>
      <c r="G100" s="389">
        <f>'Sales volumes'!F28</f>
        <v>22741</v>
      </c>
      <c r="H100" s="389">
        <f>'Sales volumes'!G28</f>
        <v>11815</v>
      </c>
      <c r="I100" s="389">
        <f>'Sales volumes'!H28</f>
        <v>13868</v>
      </c>
      <c r="J100" s="389">
        <f>'Sales volumes'!I28</f>
        <v>15094</v>
      </c>
      <c r="K100" s="389">
        <f>'Sales volumes'!J28</f>
        <v>16454</v>
      </c>
      <c r="L100" s="389">
        <f>'Sales volumes'!K28</f>
        <v>27843</v>
      </c>
      <c r="M100" s="389">
        <f>'Sales volumes'!L28</f>
        <v>20565</v>
      </c>
      <c r="N100" s="389">
        <f>'Sales volumes'!M28</f>
        <v>21385</v>
      </c>
      <c r="O100" s="389">
        <f>'Sales volumes'!N28</f>
        <v>10584</v>
      </c>
      <c r="P100" s="234"/>
    </row>
    <row r="101" spans="2:16">
      <c r="B101" s="234"/>
      <c r="C101" s="118" t="s">
        <v>37</v>
      </c>
      <c r="D101" s="389">
        <f>'Sales volumes'!C29</f>
        <v>10396</v>
      </c>
      <c r="E101" s="389">
        <f>'Sales volumes'!D29</f>
        <v>10293</v>
      </c>
      <c r="F101" s="389">
        <f>'Sales volumes'!E29</f>
        <v>10462</v>
      </c>
      <c r="G101" s="389">
        <f>'Sales volumes'!F29</f>
        <v>10149</v>
      </c>
      <c r="H101" s="389">
        <f>'Sales volumes'!G29</f>
        <v>10491</v>
      </c>
      <c r="I101" s="389">
        <f>'Sales volumes'!H29</f>
        <v>10552</v>
      </c>
      <c r="J101" s="389">
        <f>'Sales volumes'!I29</f>
        <v>10990</v>
      </c>
      <c r="K101" s="389">
        <f>'Sales volumes'!J29</f>
        <v>10572</v>
      </c>
      <c r="L101" s="389">
        <f>'Sales volumes'!K29</f>
        <v>10345</v>
      </c>
      <c r="M101" s="389">
        <f>'Sales volumes'!L29</f>
        <v>10837</v>
      </c>
      <c r="N101" s="389">
        <f>'Sales volumes'!M29</f>
        <v>10731</v>
      </c>
      <c r="O101" s="389">
        <f>'Sales volumes'!N29</f>
        <v>10712</v>
      </c>
      <c r="P101" s="234"/>
    </row>
    <row r="102" spans="2:16">
      <c r="B102" s="234"/>
      <c r="C102" s="118" t="s">
        <v>33</v>
      </c>
      <c r="D102" s="389">
        <f>'Sales volumes'!C30</f>
        <v>25828</v>
      </c>
      <c r="E102" s="389">
        <f>'Sales volumes'!D30</f>
        <v>18060</v>
      </c>
      <c r="F102" s="389">
        <f>'Sales volumes'!E30</f>
        <v>9122</v>
      </c>
      <c r="G102" s="389">
        <f>'Sales volumes'!F30</f>
        <v>9789</v>
      </c>
      <c r="H102" s="389">
        <f>'Sales volumes'!G30</f>
        <v>17952</v>
      </c>
      <c r="I102" s="389">
        <f>'Sales volumes'!H30</f>
        <v>19329</v>
      </c>
      <c r="J102" s="389">
        <f>'Sales volumes'!I30</f>
        <v>26733</v>
      </c>
      <c r="K102" s="389">
        <f>'Sales volumes'!J30</f>
        <v>17878</v>
      </c>
      <c r="L102" s="389">
        <f>'Sales volumes'!K30</f>
        <v>7193</v>
      </c>
      <c r="M102" s="389">
        <f>'Sales volumes'!L30</f>
        <v>20162</v>
      </c>
      <c r="N102" s="389">
        <f>'Sales volumes'!M30</f>
        <v>15440</v>
      </c>
      <c r="O102" s="389">
        <f>'Sales volumes'!N30</f>
        <v>23988</v>
      </c>
      <c r="P102" s="234"/>
    </row>
    <row r="103" spans="2:16">
      <c r="B103" s="234"/>
      <c r="C103" s="118" t="s">
        <v>38</v>
      </c>
      <c r="D103" s="389">
        <f>'Sales volumes'!C31</f>
        <v>14160</v>
      </c>
      <c r="E103" s="389">
        <f>'Sales volumes'!D31</f>
        <v>9368</v>
      </c>
      <c r="F103" s="389">
        <f>'Sales volumes'!E31</f>
        <v>26980</v>
      </c>
      <c r="G103" s="389">
        <f>'Sales volumes'!F31</f>
        <v>11198</v>
      </c>
      <c r="H103" s="389">
        <f>'Sales volumes'!G31</f>
        <v>23599</v>
      </c>
      <c r="I103" s="389">
        <f>'Sales volumes'!H31</f>
        <v>16583</v>
      </c>
      <c r="J103" s="389">
        <f>'Sales volumes'!I31</f>
        <v>10875</v>
      </c>
      <c r="K103" s="389">
        <f>'Sales volumes'!J31</f>
        <v>26526</v>
      </c>
      <c r="L103" s="389">
        <f>'Sales volumes'!K31</f>
        <v>18783</v>
      </c>
      <c r="M103" s="389">
        <f>'Sales volumes'!L31</f>
        <v>23580</v>
      </c>
      <c r="N103" s="389">
        <f>'Sales volumes'!M31</f>
        <v>7694</v>
      </c>
      <c r="O103" s="389">
        <f>'Sales volumes'!N31</f>
        <v>16302</v>
      </c>
      <c r="P103" s="234"/>
    </row>
    <row r="104" spans="2:16">
      <c r="B104" s="114"/>
      <c r="C104" s="118" t="s">
        <v>34</v>
      </c>
      <c r="D104" s="389">
        <f>'Sales volumes'!C32</f>
        <v>28736</v>
      </c>
      <c r="E104" s="389">
        <f>'Sales volumes'!D32</f>
        <v>25908</v>
      </c>
      <c r="F104" s="389">
        <f>'Sales volumes'!E32</f>
        <v>13842</v>
      </c>
      <c r="G104" s="389">
        <f>'Sales volumes'!F32</f>
        <v>23028</v>
      </c>
      <c r="H104" s="389">
        <f>'Sales volumes'!G32</f>
        <v>23724</v>
      </c>
      <c r="I104" s="389">
        <f>'Sales volumes'!H32</f>
        <v>24493</v>
      </c>
      <c r="J104" s="389">
        <f>'Sales volumes'!I32</f>
        <v>17127</v>
      </c>
      <c r="K104" s="389">
        <f>'Sales volumes'!J32</f>
        <v>24073</v>
      </c>
      <c r="L104" s="389">
        <f>'Sales volumes'!K32</f>
        <v>22702</v>
      </c>
      <c r="M104" s="389">
        <f>'Sales volumes'!L32</f>
        <v>21234</v>
      </c>
      <c r="N104" s="389">
        <f>'Sales volumes'!M32</f>
        <v>25168</v>
      </c>
      <c r="O104" s="389">
        <f>'Sales volumes'!N32</f>
        <v>28666</v>
      </c>
      <c r="P104" s="234"/>
    </row>
    <row r="105" spans="2:16">
      <c r="B105" s="114"/>
      <c r="C105" s="118" t="s">
        <v>35</v>
      </c>
      <c r="D105" s="389">
        <f>'Sales volumes'!C33</f>
        <v>21774</v>
      </c>
      <c r="E105" s="389">
        <f>'Sales volumes'!D33</f>
        <v>27985</v>
      </c>
      <c r="F105" s="389">
        <f>'Sales volumes'!E33</f>
        <v>7022</v>
      </c>
      <c r="G105" s="389">
        <f>'Sales volumes'!F33</f>
        <v>21083</v>
      </c>
      <c r="H105" s="389">
        <f>'Sales volumes'!G33</f>
        <v>18588</v>
      </c>
      <c r="I105" s="389">
        <f>'Sales volumes'!H33</f>
        <v>11550</v>
      </c>
      <c r="J105" s="389">
        <f>'Sales volumes'!I33</f>
        <v>9019</v>
      </c>
      <c r="K105" s="389">
        <f>'Sales volumes'!J33</f>
        <v>9606</v>
      </c>
      <c r="L105" s="389">
        <f>'Sales volumes'!K33</f>
        <v>10657</v>
      </c>
      <c r="M105" s="389">
        <f>'Sales volumes'!L33</f>
        <v>28897</v>
      </c>
      <c r="N105" s="389">
        <f>'Sales volumes'!M33</f>
        <v>16345</v>
      </c>
      <c r="O105" s="389">
        <f>'Sales volumes'!N33</f>
        <v>29296</v>
      </c>
      <c r="P105" s="234"/>
    </row>
    <row r="106" spans="2:16">
      <c r="B106" s="234"/>
      <c r="C106" s="118"/>
      <c r="D106" s="401"/>
      <c r="E106" s="114"/>
      <c r="F106" s="114"/>
      <c r="G106" s="114"/>
      <c r="H106" s="114"/>
      <c r="I106" s="114"/>
      <c r="J106" s="114"/>
      <c r="K106" s="114"/>
      <c r="L106" s="114"/>
      <c r="M106" s="114"/>
      <c r="N106" s="114"/>
      <c r="O106" s="114"/>
      <c r="P106" s="234"/>
    </row>
    <row r="107" spans="2:16">
      <c r="E107" s="390"/>
    </row>
    <row r="108" spans="2:16" ht="22">
      <c r="B108" s="252"/>
      <c r="C108" s="380" t="s">
        <v>282</v>
      </c>
      <c r="D108" s="387">
        <v>1</v>
      </c>
      <c r="E108" s="387">
        <v>2</v>
      </c>
      <c r="F108" s="387">
        <v>3</v>
      </c>
      <c r="G108" s="387">
        <v>4</v>
      </c>
      <c r="H108" s="387">
        <v>5</v>
      </c>
      <c r="I108" s="387">
        <v>6</v>
      </c>
      <c r="J108" s="387">
        <v>7</v>
      </c>
      <c r="K108" s="387">
        <v>8</v>
      </c>
      <c r="L108" s="387">
        <v>9</v>
      </c>
      <c r="M108" s="387">
        <v>10</v>
      </c>
      <c r="N108" s="387">
        <v>11</v>
      </c>
      <c r="O108" s="387">
        <v>12</v>
      </c>
      <c r="P108" s="234"/>
    </row>
    <row r="109" spans="2:16">
      <c r="B109" s="234"/>
      <c r="C109" s="369"/>
      <c r="D109" s="370" t="s">
        <v>17</v>
      </c>
      <c r="E109" s="370" t="s">
        <v>18</v>
      </c>
      <c r="F109" s="370" t="s">
        <v>19</v>
      </c>
      <c r="G109" s="370" t="s">
        <v>20</v>
      </c>
      <c r="H109" s="370" t="s">
        <v>21</v>
      </c>
      <c r="I109" s="370" t="s">
        <v>22</v>
      </c>
      <c r="J109" s="370" t="s">
        <v>23</v>
      </c>
      <c r="K109" s="370" t="s">
        <v>24</v>
      </c>
      <c r="L109" s="370" t="s">
        <v>25</v>
      </c>
      <c r="M109" s="370" t="s">
        <v>26</v>
      </c>
      <c r="N109" s="370" t="s">
        <v>27</v>
      </c>
      <c r="O109" s="370" t="s">
        <v>28</v>
      </c>
      <c r="P109" s="362"/>
    </row>
    <row r="110" spans="2:16">
      <c r="B110" s="234"/>
      <c r="C110" s="119"/>
      <c r="D110" s="389"/>
      <c r="E110" s="389"/>
      <c r="F110" s="389"/>
      <c r="G110" s="389"/>
      <c r="H110" s="389"/>
      <c r="I110" s="389"/>
      <c r="J110" s="389"/>
      <c r="K110" s="389"/>
      <c r="L110" s="389"/>
      <c r="M110" s="389"/>
      <c r="N110" s="389"/>
      <c r="O110" s="389"/>
      <c r="P110" s="114"/>
    </row>
    <row r="111" spans="2:16">
      <c r="B111" s="114"/>
      <c r="C111" s="118" t="s">
        <v>39</v>
      </c>
      <c r="D111" s="389"/>
      <c r="E111" s="389">
        <f>(E96-D96)*(D81/D96)</f>
        <v>-1961850</v>
      </c>
      <c r="F111" s="389">
        <f>(F96-E96)*(E81/E96)</f>
        <v>964653</v>
      </c>
      <c r="G111" s="389">
        <f t="shared" ref="G111:O111" si="5">(G96-F96)*F81/F96</f>
        <v>-290811</v>
      </c>
      <c r="H111" s="389">
        <f t="shared" si="5"/>
        <v>587952</v>
      </c>
      <c r="I111" s="389">
        <f t="shared" si="5"/>
        <v>-962904</v>
      </c>
      <c r="J111" s="389">
        <f t="shared" si="5"/>
        <v>289080</v>
      </c>
      <c r="K111" s="389">
        <f t="shared" si="5"/>
        <v>-1341285</v>
      </c>
      <c r="L111" s="389">
        <f t="shared" si="5"/>
        <v>487200</v>
      </c>
      <c r="M111" s="389">
        <f t="shared" si="5"/>
        <v>77910</v>
      </c>
      <c r="N111" s="389">
        <f t="shared" si="5"/>
        <v>716760</v>
      </c>
      <c r="O111" s="389">
        <f t="shared" si="5"/>
        <v>-621798</v>
      </c>
      <c r="P111" s="114"/>
    </row>
    <row r="112" spans="2:16">
      <c r="B112" s="234"/>
      <c r="C112" s="118" t="s">
        <v>31</v>
      </c>
      <c r="D112" s="389"/>
      <c r="E112" s="389">
        <f t="shared" ref="E112:F112" si="6">(E97-D97)*(D82/D97)</f>
        <v>309196</v>
      </c>
      <c r="F112" s="389">
        <f t="shared" si="6"/>
        <v>-100241</v>
      </c>
      <c r="G112" s="389">
        <f t="shared" ref="G112:O112" si="7">(G97-F97)*F82/F97</f>
        <v>337412</v>
      </c>
      <c r="H112" s="389">
        <f t="shared" si="7"/>
        <v>-472236</v>
      </c>
      <c r="I112" s="389">
        <f t="shared" si="7"/>
        <v>-386425</v>
      </c>
      <c r="J112" s="389">
        <f t="shared" si="7"/>
        <v>783120</v>
      </c>
      <c r="K112" s="389">
        <f t="shared" si="7"/>
        <v>421107</v>
      </c>
      <c r="L112" s="389">
        <f t="shared" si="7"/>
        <v>-307104</v>
      </c>
      <c r="M112" s="389">
        <f t="shared" si="7"/>
        <v>-883392</v>
      </c>
      <c r="N112" s="389">
        <f t="shared" si="7"/>
        <v>381282</v>
      </c>
      <c r="O112" s="389">
        <f t="shared" si="7"/>
        <v>-380550</v>
      </c>
      <c r="P112" s="364">
        <f>SUMIFS('Jounal entries final'!$H:$H,'Jounal entries final'!$E:$E,$C112,'Jounal entries final'!$B:$B,P$17,'Jounal entries final'!$C:$C,$Q$17)</f>
        <v>0</v>
      </c>
    </row>
    <row r="113" spans="2:16" ht="22">
      <c r="B113" s="252"/>
      <c r="C113" s="118" t="s">
        <v>40</v>
      </c>
      <c r="D113" s="389"/>
      <c r="E113" s="389">
        <f t="shared" ref="E113:F113" si="8">(E98-D98)*(D83/D98)</f>
        <v>-311322</v>
      </c>
      <c r="F113" s="389">
        <f t="shared" si="8"/>
        <v>584150</v>
      </c>
      <c r="G113" s="389">
        <f t="shared" ref="G113:O120" si="9">(G98-F98)*F83/F98</f>
        <v>824026</v>
      </c>
      <c r="H113" s="389">
        <f t="shared" si="9"/>
        <v>-1273929</v>
      </c>
      <c r="I113" s="389">
        <f t="shared" si="9"/>
        <v>867376</v>
      </c>
      <c r="J113" s="389">
        <f t="shared" si="9"/>
        <v>218050</v>
      </c>
      <c r="K113" s="389">
        <f t="shared" si="9"/>
        <v>-1331576</v>
      </c>
      <c r="L113" s="389">
        <f t="shared" si="9"/>
        <v>130752</v>
      </c>
      <c r="M113" s="389">
        <f t="shared" si="9"/>
        <v>-258768</v>
      </c>
      <c r="N113" s="389">
        <f t="shared" si="9"/>
        <v>1032537</v>
      </c>
      <c r="O113" s="389">
        <f t="shared" si="9"/>
        <v>-575139</v>
      </c>
      <c r="P113" s="364">
        <f>SUMIFS('Jounal entries final'!$H:$H,'Jounal entries final'!$E:$E,$C113,'Jounal entries final'!$B:$B,P$17,'Jounal entries final'!$C:$C,$Q$17)</f>
        <v>0</v>
      </c>
    </row>
    <row r="114" spans="2:16">
      <c r="B114" s="234"/>
      <c r="C114" s="118" t="s">
        <v>36</v>
      </c>
      <c r="D114" s="389"/>
      <c r="E114" s="389">
        <f t="shared" ref="E114:F114" si="10">(E99-D99)*(D84/D99)</f>
        <v>758778</v>
      </c>
      <c r="F114" s="389">
        <f t="shared" si="10"/>
        <v>-504455</v>
      </c>
      <c r="G114" s="389">
        <f t="shared" si="9"/>
        <v>48750</v>
      </c>
      <c r="H114" s="389">
        <f t="shared" si="9"/>
        <v>-350283</v>
      </c>
      <c r="I114" s="389">
        <f t="shared" si="9"/>
        <v>345414</v>
      </c>
      <c r="J114" s="389">
        <f t="shared" si="9"/>
        <v>613740</v>
      </c>
      <c r="K114" s="389">
        <f t="shared" si="9"/>
        <v>-155733</v>
      </c>
      <c r="L114" s="389">
        <f t="shared" si="9"/>
        <v>-134640</v>
      </c>
      <c r="M114" s="389">
        <f t="shared" si="9"/>
        <v>-615554</v>
      </c>
      <c r="N114" s="389">
        <f t="shared" si="9"/>
        <v>-39690</v>
      </c>
      <c r="O114" s="389">
        <f t="shared" si="9"/>
        <v>194944</v>
      </c>
      <c r="P114" s="364">
        <f>SUMIFS('Jounal entries final'!$H:$H,'Jounal entries final'!$E:$E,$C114,'Jounal entries final'!$B:$B,P$17,'Jounal entries final'!$C:$C,$Q$17)</f>
        <v>0</v>
      </c>
    </row>
    <row r="115" spans="2:16">
      <c r="B115" s="234"/>
      <c r="C115" s="118" t="s">
        <v>32</v>
      </c>
      <c r="D115" s="389"/>
      <c r="E115" s="389">
        <f t="shared" ref="E115:F115" si="11">(E100-D100)*(D85/D100)</f>
        <v>185744</v>
      </c>
      <c r="F115" s="389">
        <f t="shared" si="11"/>
        <v>-1339272</v>
      </c>
      <c r="G115" s="389">
        <f t="shared" si="9"/>
        <v>874380</v>
      </c>
      <c r="H115" s="389">
        <f t="shared" si="9"/>
        <v>-600930</v>
      </c>
      <c r="I115" s="389">
        <f t="shared" si="9"/>
        <v>98544</v>
      </c>
      <c r="J115" s="389">
        <f t="shared" si="9"/>
        <v>71108</v>
      </c>
      <c r="K115" s="389">
        <f t="shared" si="9"/>
        <v>68000</v>
      </c>
      <c r="L115" s="389">
        <f t="shared" si="9"/>
        <v>523894</v>
      </c>
      <c r="M115" s="389">
        <f t="shared" si="9"/>
        <v>-516738</v>
      </c>
      <c r="N115" s="389">
        <f t="shared" si="9"/>
        <v>55760</v>
      </c>
      <c r="O115" s="389">
        <f t="shared" si="9"/>
        <v>-561652</v>
      </c>
      <c r="P115" s="234"/>
    </row>
    <row r="116" spans="2:16">
      <c r="B116" s="234"/>
      <c r="C116" s="118" t="s">
        <v>37</v>
      </c>
      <c r="D116" s="389"/>
      <c r="E116" s="389">
        <f t="shared" ref="E116:F116" si="12">(E101-D101)*(D86/D101)</f>
        <v>-5459</v>
      </c>
      <c r="F116" s="389">
        <f t="shared" si="12"/>
        <v>7943</v>
      </c>
      <c r="G116" s="389">
        <f t="shared" si="9"/>
        <v>-17528</v>
      </c>
      <c r="H116" s="389">
        <f t="shared" si="9"/>
        <v>18810</v>
      </c>
      <c r="I116" s="389">
        <f t="shared" si="9"/>
        <v>4148</v>
      </c>
      <c r="J116" s="389">
        <f t="shared" si="9"/>
        <v>28032</v>
      </c>
      <c r="K116" s="389">
        <f t="shared" si="9"/>
        <v>-25498</v>
      </c>
      <c r="L116" s="389">
        <f t="shared" si="9"/>
        <v>-15209</v>
      </c>
      <c r="M116" s="389">
        <f t="shared" si="9"/>
        <v>32472</v>
      </c>
      <c r="N116" s="389">
        <f t="shared" si="9"/>
        <v>-4770</v>
      </c>
      <c r="O116" s="389">
        <f t="shared" si="9"/>
        <v>-1273</v>
      </c>
      <c r="P116" s="234"/>
    </row>
    <row r="117" spans="2:16">
      <c r="B117" s="234"/>
      <c r="C117" s="118" t="s">
        <v>33</v>
      </c>
      <c r="D117" s="389"/>
      <c r="E117" s="389">
        <f t="shared" ref="E117:F117" si="13">(E102-D102)*(D87/D102)</f>
        <v>-528224</v>
      </c>
      <c r="F117" s="389">
        <f t="shared" si="13"/>
        <v>-634598</v>
      </c>
      <c r="G117" s="389">
        <f t="shared" si="9"/>
        <v>32683</v>
      </c>
      <c r="H117" s="389">
        <f t="shared" si="9"/>
        <v>367335</v>
      </c>
      <c r="I117" s="389">
        <f t="shared" si="9"/>
        <v>71604</v>
      </c>
      <c r="J117" s="389">
        <f t="shared" si="9"/>
        <v>444240</v>
      </c>
      <c r="K117" s="389">
        <f t="shared" si="9"/>
        <v>-584430</v>
      </c>
      <c r="L117" s="389">
        <f t="shared" si="9"/>
        <v>-694525</v>
      </c>
      <c r="M117" s="389">
        <f t="shared" si="9"/>
        <v>881892</v>
      </c>
      <c r="N117" s="389">
        <f t="shared" si="9"/>
        <v>-269154</v>
      </c>
      <c r="O117" s="389">
        <f t="shared" si="9"/>
        <v>418852</v>
      </c>
      <c r="P117" s="234"/>
    </row>
    <row r="118" spans="2:16">
      <c r="B118" s="234"/>
      <c r="C118" s="118" t="s">
        <v>38</v>
      </c>
      <c r="D118" s="389"/>
      <c r="E118" s="389">
        <f t="shared" ref="E118:F118" si="14">(E103-D103)*(D88/D103)</f>
        <v>-340232</v>
      </c>
      <c r="F118" s="389">
        <f t="shared" si="14"/>
        <v>1021496</v>
      </c>
      <c r="G118" s="389">
        <f t="shared" si="9"/>
        <v>-820664</v>
      </c>
      <c r="H118" s="389">
        <f t="shared" si="9"/>
        <v>744060</v>
      </c>
      <c r="I118" s="389">
        <f t="shared" si="9"/>
        <v>-413944</v>
      </c>
      <c r="J118" s="389">
        <f t="shared" si="9"/>
        <v>-405268</v>
      </c>
      <c r="K118" s="389">
        <f t="shared" si="9"/>
        <v>751248</v>
      </c>
      <c r="L118" s="389">
        <f t="shared" si="9"/>
        <v>-472323</v>
      </c>
      <c r="M118" s="389">
        <f t="shared" si="9"/>
        <v>268632</v>
      </c>
      <c r="N118" s="389">
        <f t="shared" si="9"/>
        <v>-937274</v>
      </c>
      <c r="O118" s="389">
        <f t="shared" si="9"/>
        <v>464832</v>
      </c>
      <c r="P118" s="234"/>
    </row>
    <row r="119" spans="2:16">
      <c r="B119" s="114"/>
      <c r="C119" s="118" t="s">
        <v>34</v>
      </c>
      <c r="D119" s="389"/>
      <c r="E119" s="389">
        <f t="shared" ref="E119:F119" si="15">(E104-D104)*(D89/D104)</f>
        <v>-180992</v>
      </c>
      <c r="F119" s="389">
        <f t="shared" si="15"/>
        <v>-699828</v>
      </c>
      <c r="G119" s="389">
        <f t="shared" si="9"/>
        <v>440928</v>
      </c>
      <c r="H119" s="389">
        <f t="shared" si="9"/>
        <v>50112</v>
      </c>
      <c r="I119" s="389">
        <f t="shared" si="9"/>
        <v>39988</v>
      </c>
      <c r="J119" s="389">
        <f t="shared" si="9"/>
        <v>-493522</v>
      </c>
      <c r="K119" s="389">
        <f t="shared" si="9"/>
        <v>368138</v>
      </c>
      <c r="L119" s="389">
        <f t="shared" si="9"/>
        <v>-74034</v>
      </c>
      <c r="M119" s="389">
        <f t="shared" si="9"/>
        <v>-93952</v>
      </c>
      <c r="N119" s="389">
        <f t="shared" si="9"/>
        <v>208502</v>
      </c>
      <c r="O119" s="389">
        <f t="shared" si="9"/>
        <v>171402</v>
      </c>
      <c r="P119" s="234"/>
    </row>
    <row r="120" spans="2:16">
      <c r="B120" s="114"/>
      <c r="C120" s="118" t="s">
        <v>35</v>
      </c>
      <c r="D120" s="389"/>
      <c r="E120" s="389">
        <f t="shared" ref="E120:F120" si="16">(E105-D105)*(D90/D105)</f>
        <v>316761</v>
      </c>
      <c r="F120" s="389">
        <f t="shared" si="16"/>
        <v>-1509336</v>
      </c>
      <c r="G120" s="389">
        <f t="shared" si="9"/>
        <v>745233</v>
      </c>
      <c r="H120" s="389">
        <f t="shared" si="9"/>
        <v>-129740</v>
      </c>
      <c r="I120" s="389">
        <f t="shared" si="9"/>
        <v>-506736</v>
      </c>
      <c r="J120" s="389">
        <f t="shared" si="9"/>
        <v>-131612</v>
      </c>
      <c r="K120" s="389">
        <f t="shared" si="9"/>
        <v>37568</v>
      </c>
      <c r="L120" s="389">
        <f t="shared" si="9"/>
        <v>66213</v>
      </c>
      <c r="M120" s="389">
        <f t="shared" si="9"/>
        <v>948480</v>
      </c>
      <c r="N120" s="389">
        <f t="shared" si="9"/>
        <v>-690360</v>
      </c>
      <c r="O120" s="389">
        <f t="shared" si="9"/>
        <v>880668</v>
      </c>
      <c r="P120" s="234"/>
    </row>
    <row r="121" spans="2:16">
      <c r="B121" s="234"/>
      <c r="C121" s="118"/>
      <c r="D121" s="401"/>
      <c r="E121" s="114"/>
      <c r="F121" s="114"/>
      <c r="G121" s="114"/>
      <c r="H121" s="114"/>
      <c r="I121" s="114"/>
      <c r="J121" s="114"/>
      <c r="K121" s="114"/>
      <c r="L121" s="114"/>
      <c r="M121" s="114"/>
      <c r="N121" s="114"/>
      <c r="O121" s="114"/>
      <c r="P121" s="234"/>
    </row>
    <row r="123" spans="2:16" ht="18">
      <c r="B123"/>
      <c r="C123" s="380" t="s">
        <v>283</v>
      </c>
      <c r="D123" s="387">
        <v>1</v>
      </c>
      <c r="E123" s="387">
        <v>2</v>
      </c>
      <c r="F123" s="387">
        <v>3</v>
      </c>
      <c r="G123" s="387">
        <v>4</v>
      </c>
      <c r="H123" s="387">
        <v>5</v>
      </c>
      <c r="I123" s="387">
        <v>6</v>
      </c>
      <c r="J123" s="387">
        <v>7</v>
      </c>
      <c r="K123" s="387">
        <v>8</v>
      </c>
      <c r="L123" s="387">
        <v>9</v>
      </c>
      <c r="M123" s="387">
        <v>10</v>
      </c>
      <c r="N123" s="387">
        <v>11</v>
      </c>
      <c r="O123" s="387">
        <v>12</v>
      </c>
      <c r="P123" s="234"/>
    </row>
    <row r="124" spans="2:16">
      <c r="B124"/>
      <c r="C124" s="369"/>
      <c r="D124" s="370" t="s">
        <v>17</v>
      </c>
      <c r="E124" s="370" t="s">
        <v>18</v>
      </c>
      <c r="F124" s="370" t="s">
        <v>19</v>
      </c>
      <c r="G124" s="370" t="s">
        <v>20</v>
      </c>
      <c r="H124" s="370" t="s">
        <v>21</v>
      </c>
      <c r="I124" s="370" t="s">
        <v>22</v>
      </c>
      <c r="J124" s="370" t="s">
        <v>23</v>
      </c>
      <c r="K124" s="370" t="s">
        <v>24</v>
      </c>
      <c r="L124" s="370" t="s">
        <v>25</v>
      </c>
      <c r="M124" s="370" t="s">
        <v>26</v>
      </c>
      <c r="N124" s="370" t="s">
        <v>27</v>
      </c>
      <c r="O124" s="370" t="s">
        <v>28</v>
      </c>
      <c r="P124" s="362"/>
    </row>
    <row r="125" spans="2:16">
      <c r="B125"/>
      <c r="C125" s="119"/>
      <c r="D125" s="389"/>
      <c r="E125" s="389"/>
      <c r="F125" s="389"/>
      <c r="G125" s="389"/>
      <c r="H125" s="389"/>
      <c r="I125" s="389"/>
      <c r="J125" s="389"/>
      <c r="K125" s="389"/>
      <c r="L125" s="389"/>
      <c r="M125" s="389"/>
      <c r="N125" s="389"/>
      <c r="O125" s="389"/>
      <c r="P125" s="114"/>
    </row>
    <row r="126" spans="2:16">
      <c r="B126"/>
      <c r="C126" s="118" t="s">
        <v>39</v>
      </c>
      <c r="D126" s="389"/>
      <c r="E126" s="389">
        <f>((E81/E96)-(D81/D96))*E96</f>
        <v>137223</v>
      </c>
      <c r="F126" s="389">
        <f t="shared" ref="F126:O126" si="17">((F81/F96)-(E81/E96))*F96</f>
        <v>383652</v>
      </c>
      <c r="G126" s="389">
        <f t="shared" si="17"/>
        <v>-649143</v>
      </c>
      <c r="H126" s="389">
        <f t="shared" si="17"/>
        <v>356310</v>
      </c>
      <c r="I126" s="389">
        <f t="shared" si="17"/>
        <v>690222</v>
      </c>
      <c r="J126" s="389">
        <f t="shared" si="17"/>
        <v>-632214</v>
      </c>
      <c r="K126" s="389">
        <f t="shared" si="17"/>
        <v>-165435</v>
      </c>
      <c r="L126" s="389">
        <f t="shared" si="17"/>
        <v>-42831</v>
      </c>
      <c r="M126" s="389">
        <f t="shared" si="17"/>
        <v>488631</v>
      </c>
      <c r="N126" s="389">
        <f t="shared" si="17"/>
        <v>112734</v>
      </c>
      <c r="O126" s="389">
        <f t="shared" si="17"/>
        <v>-787746</v>
      </c>
      <c r="P126" s="114"/>
    </row>
    <row r="127" spans="2:16">
      <c r="B127"/>
      <c r="C127" s="118" t="s">
        <v>31</v>
      </c>
      <c r="D127" s="389"/>
      <c r="E127" s="389">
        <f t="shared" ref="E127:O127" si="18">((E82/E97)-(D82/D97))*E97</f>
        <v>-156465</v>
      </c>
      <c r="F127" s="389">
        <f t="shared" si="18"/>
        <v>125488</v>
      </c>
      <c r="G127" s="389">
        <f t="shared" si="18"/>
        <v>41444</v>
      </c>
      <c r="H127" s="389">
        <f t="shared" si="18"/>
        <v>-55512</v>
      </c>
      <c r="I127" s="389">
        <f t="shared" si="18"/>
        <v>0</v>
      </c>
      <c r="J127" s="389">
        <f t="shared" si="18"/>
        <v>-279734</v>
      </c>
      <c r="K127" s="389">
        <f t="shared" si="18"/>
        <v>-84714</v>
      </c>
      <c r="L127" s="389">
        <f t="shared" si="18"/>
        <v>349440</v>
      </c>
      <c r="M127" s="389">
        <f t="shared" si="18"/>
        <v>-88407</v>
      </c>
      <c r="N127" s="389">
        <f t="shared" si="18"/>
        <v>-45693</v>
      </c>
      <c r="O127" s="389">
        <f t="shared" si="18"/>
        <v>76200</v>
      </c>
      <c r="P127" s="364">
        <f>SUMIFS('Jounal entries final'!$H:$H,'Jounal entries final'!$E:$E,$C127,'Jounal entries final'!$B:$B,P$17,'Jounal entries final'!$C:$C,$Q$17)</f>
        <v>0</v>
      </c>
    </row>
    <row r="128" spans="2:16">
      <c r="B128"/>
      <c r="C128" s="118" t="s">
        <v>40</v>
      </c>
      <c r="D128" s="389"/>
      <c r="E128" s="389">
        <f t="shared" ref="E128:O128" si="19">((E83/E98)-(D83/D98))*E98</f>
        <v>-16404</v>
      </c>
      <c r="F128" s="389">
        <f t="shared" si="19"/>
        <v>360171</v>
      </c>
      <c r="G128" s="389">
        <f t="shared" si="19"/>
        <v>-575140</v>
      </c>
      <c r="H128" s="389">
        <f t="shared" si="19"/>
        <v>-18890</v>
      </c>
      <c r="I128" s="389">
        <f t="shared" si="19"/>
        <v>543216</v>
      </c>
      <c r="J128" s="389">
        <f t="shared" si="19"/>
        <v>-51498</v>
      </c>
      <c r="K128" s="389">
        <f t="shared" si="19"/>
        <v>24668</v>
      </c>
      <c r="L128" s="389">
        <f t="shared" si="19"/>
        <v>-191592</v>
      </c>
      <c r="M128" s="389">
        <f t="shared" si="19"/>
        <v>49248</v>
      </c>
      <c r="N128" s="389">
        <f t="shared" si="19"/>
        <v>-360060</v>
      </c>
      <c r="O128" s="389">
        <f t="shared" si="19"/>
        <v>98022</v>
      </c>
      <c r="P128" s="364">
        <f>SUMIFS('Jounal entries final'!$H:$H,'Jounal entries final'!$E:$E,$C128,'Jounal entries final'!$B:$B,P$17,'Jounal entries final'!$C:$C,$Q$17)</f>
        <v>0</v>
      </c>
    </row>
    <row r="129" spans="2:16">
      <c r="B129"/>
      <c r="C129" s="118" t="s">
        <v>36</v>
      </c>
      <c r="D129" s="389"/>
      <c r="E129" s="389">
        <f t="shared" ref="E129:O129" si="20">((E84/E99)-(D84/D99))*E99</f>
        <v>-55036</v>
      </c>
      <c r="F129" s="389">
        <f t="shared" si="20"/>
        <v>17223</v>
      </c>
      <c r="G129" s="389">
        <f t="shared" si="20"/>
        <v>163782</v>
      </c>
      <c r="H129" s="389">
        <f t="shared" si="20"/>
        <v>122610</v>
      </c>
      <c r="I129" s="389">
        <f t="shared" si="20"/>
        <v>-276272</v>
      </c>
      <c r="J129" s="389">
        <f t="shared" si="20"/>
        <v>461552</v>
      </c>
      <c r="K129" s="389">
        <f t="shared" si="20"/>
        <v>-372260</v>
      </c>
      <c r="L129" s="389">
        <f t="shared" si="20"/>
        <v>72426</v>
      </c>
      <c r="M129" s="389">
        <f t="shared" si="20"/>
        <v>162348</v>
      </c>
      <c r="N129" s="389">
        <f t="shared" si="20"/>
        <v>-77772</v>
      </c>
      <c r="O129" s="389">
        <f t="shared" si="20"/>
        <v>-48024</v>
      </c>
      <c r="P129" s="364">
        <f>SUMIFS('Jounal entries final'!$H:$H,'Jounal entries final'!$E:$E,$C129,'Jounal entries final'!$B:$B,P$17,'Jounal entries final'!$C:$C,$Q$17)</f>
        <v>0</v>
      </c>
    </row>
    <row r="130" spans="2:16">
      <c r="B130"/>
      <c r="C130" s="118" t="s">
        <v>32</v>
      </c>
      <c r="D130" s="389"/>
      <c r="E130" s="389">
        <f t="shared" ref="E130:O130" si="21">((E85/E100)-(D85/D100))*E100</f>
        <v>526167</v>
      </c>
      <c r="F130" s="389">
        <f t="shared" si="21"/>
        <v>-66609</v>
      </c>
      <c r="G130" s="389">
        <f t="shared" si="21"/>
        <v>-45482</v>
      </c>
      <c r="H130" s="389">
        <f t="shared" si="21"/>
        <v>-82705</v>
      </c>
      <c r="I130" s="389">
        <f t="shared" si="21"/>
        <v>138680</v>
      </c>
      <c r="J130" s="389">
        <f t="shared" si="21"/>
        <v>-120752</v>
      </c>
      <c r="K130" s="389">
        <f t="shared" si="21"/>
        <v>-65816</v>
      </c>
      <c r="L130" s="389">
        <f t="shared" si="21"/>
        <v>696075</v>
      </c>
      <c r="M130" s="389">
        <f t="shared" si="21"/>
        <v>-61695</v>
      </c>
      <c r="N130" s="389">
        <f t="shared" si="21"/>
        <v>-342160</v>
      </c>
      <c r="O130" s="389">
        <f t="shared" si="21"/>
        <v>127008</v>
      </c>
      <c r="P130" s="234"/>
    </row>
    <row r="131" spans="2:16">
      <c r="B131"/>
      <c r="C131" s="118" t="s">
        <v>37</v>
      </c>
      <c r="D131" s="389"/>
      <c r="E131" s="389">
        <f t="shared" ref="E131:O131" si="22">((E86/E101)-(D86/D101))*E101</f>
        <v>-61758</v>
      </c>
      <c r="F131" s="389">
        <f t="shared" si="22"/>
        <v>94158</v>
      </c>
      <c r="G131" s="389">
        <f t="shared" si="22"/>
        <v>-10149</v>
      </c>
      <c r="H131" s="389">
        <f t="shared" si="22"/>
        <v>136383</v>
      </c>
      <c r="I131" s="389">
        <f t="shared" si="22"/>
        <v>-42208</v>
      </c>
      <c r="J131" s="389">
        <f t="shared" si="22"/>
        <v>-32970</v>
      </c>
      <c r="K131" s="389">
        <f t="shared" si="22"/>
        <v>63432</v>
      </c>
      <c r="L131" s="389">
        <f t="shared" si="22"/>
        <v>-10345</v>
      </c>
      <c r="M131" s="389">
        <f t="shared" si="22"/>
        <v>-227577</v>
      </c>
      <c r="N131" s="389">
        <f t="shared" si="22"/>
        <v>236082</v>
      </c>
      <c r="O131" s="389">
        <f t="shared" si="22"/>
        <v>-149968</v>
      </c>
      <c r="P131" s="234"/>
    </row>
    <row r="132" spans="2:16">
      <c r="B132"/>
      <c r="C132" s="118" t="s">
        <v>33</v>
      </c>
      <c r="D132" s="389"/>
      <c r="E132" s="389">
        <f t="shared" ref="E132:O132" si="23">((E87/E102)-(D87/D102))*E102</f>
        <v>54180</v>
      </c>
      <c r="F132" s="389">
        <f t="shared" si="23"/>
        <v>-200684</v>
      </c>
      <c r="G132" s="389">
        <f t="shared" si="23"/>
        <v>-39156</v>
      </c>
      <c r="H132" s="389">
        <f t="shared" si="23"/>
        <v>125664</v>
      </c>
      <c r="I132" s="389">
        <f t="shared" si="23"/>
        <v>154632</v>
      </c>
      <c r="J132" s="389">
        <f t="shared" si="23"/>
        <v>160398</v>
      </c>
      <c r="K132" s="389">
        <f t="shared" si="23"/>
        <v>-17878</v>
      </c>
      <c r="L132" s="389">
        <f t="shared" si="23"/>
        <v>21579</v>
      </c>
      <c r="M132" s="389">
        <f t="shared" si="23"/>
        <v>-221782</v>
      </c>
      <c r="N132" s="389">
        <f t="shared" si="23"/>
        <v>-123520</v>
      </c>
      <c r="O132" s="389">
        <f t="shared" si="23"/>
        <v>23988</v>
      </c>
      <c r="P132" s="234"/>
    </row>
    <row r="133" spans="2:16">
      <c r="B133"/>
      <c r="C133" s="118" t="s">
        <v>38</v>
      </c>
      <c r="D133" s="389"/>
      <c r="E133" s="389">
        <f t="shared" ref="E133:O133" si="24">((E88/E103)-(D88/D103))*E103</f>
        <v>-121784</v>
      </c>
      <c r="F133" s="389">
        <f t="shared" si="24"/>
        <v>-161880</v>
      </c>
      <c r="G133" s="389">
        <f t="shared" si="24"/>
        <v>89584</v>
      </c>
      <c r="H133" s="389">
        <f t="shared" si="24"/>
        <v>-23599</v>
      </c>
      <c r="I133" s="389">
        <f t="shared" si="24"/>
        <v>198996</v>
      </c>
      <c r="J133" s="389">
        <f t="shared" si="24"/>
        <v>-250125</v>
      </c>
      <c r="K133" s="389">
        <f t="shared" si="24"/>
        <v>344838</v>
      </c>
      <c r="L133" s="389">
        <f t="shared" si="24"/>
        <v>-93915</v>
      </c>
      <c r="M133" s="389">
        <f t="shared" si="24"/>
        <v>70740</v>
      </c>
      <c r="N133" s="389">
        <f t="shared" si="24"/>
        <v>-38470</v>
      </c>
      <c r="O133" s="389">
        <f t="shared" si="24"/>
        <v>195624</v>
      </c>
      <c r="P133" s="234"/>
    </row>
    <row r="134" spans="2:16">
      <c r="B134"/>
      <c r="C134" s="118" t="s">
        <v>34</v>
      </c>
      <c r="D134" s="389"/>
      <c r="E134" s="389">
        <f t="shared" ref="E134:O134" si="25">((E89/E104)-(D89/D104))*E104</f>
        <v>-155448</v>
      </c>
      <c r="F134" s="389">
        <f t="shared" si="25"/>
        <v>-138420</v>
      </c>
      <c r="G134" s="389">
        <f t="shared" si="25"/>
        <v>552672</v>
      </c>
      <c r="H134" s="389">
        <f t="shared" si="25"/>
        <v>-474480</v>
      </c>
      <c r="I134" s="389">
        <f t="shared" si="25"/>
        <v>367395</v>
      </c>
      <c r="J134" s="389">
        <f t="shared" si="25"/>
        <v>-239778</v>
      </c>
      <c r="K134" s="389">
        <f t="shared" si="25"/>
        <v>24073</v>
      </c>
      <c r="L134" s="389">
        <f t="shared" si="25"/>
        <v>227020</v>
      </c>
      <c r="M134" s="389">
        <f t="shared" si="25"/>
        <v>-233574</v>
      </c>
      <c r="N134" s="389">
        <f t="shared" si="25"/>
        <v>-100672</v>
      </c>
      <c r="O134" s="389">
        <f t="shared" si="25"/>
        <v>343992</v>
      </c>
      <c r="P134" s="234"/>
    </row>
    <row r="135" spans="2:16">
      <c r="B135"/>
      <c r="C135" s="118" t="s">
        <v>35</v>
      </c>
      <c r="D135" s="389"/>
      <c r="E135" s="389">
        <f t="shared" ref="E135:O135" si="26">((E90/E105)-(D90/D105))*E105</f>
        <v>587685</v>
      </c>
      <c r="F135" s="389">
        <f t="shared" si="26"/>
        <v>-133418</v>
      </c>
      <c r="G135" s="389">
        <f t="shared" si="26"/>
        <v>-21083</v>
      </c>
      <c r="H135" s="389">
        <f t="shared" si="26"/>
        <v>371760</v>
      </c>
      <c r="I135" s="389">
        <f t="shared" si="26"/>
        <v>-231000</v>
      </c>
      <c r="J135" s="389">
        <f t="shared" si="26"/>
        <v>108228</v>
      </c>
      <c r="K135" s="389">
        <f t="shared" si="26"/>
        <v>-9606</v>
      </c>
      <c r="L135" s="389">
        <f t="shared" si="26"/>
        <v>-117227</v>
      </c>
      <c r="M135" s="389">
        <f t="shared" si="26"/>
        <v>86691</v>
      </c>
      <c r="N135" s="389">
        <f t="shared" si="26"/>
        <v>212485</v>
      </c>
      <c r="O135" s="389">
        <f t="shared" si="26"/>
        <v>-351552</v>
      </c>
      <c r="P135" s="234"/>
    </row>
    <row r="136" spans="2:16">
      <c r="B136"/>
      <c r="C136" s="118"/>
      <c r="D136" s="401"/>
      <c r="E136" s="114"/>
      <c r="F136" s="114"/>
      <c r="G136" s="114"/>
      <c r="H136" s="114"/>
      <c r="I136" s="114"/>
      <c r="J136" s="114"/>
      <c r="K136" s="114"/>
      <c r="L136" s="114"/>
      <c r="M136" s="114"/>
      <c r="N136" s="114"/>
      <c r="O136" s="114"/>
      <c r="P136" s="234"/>
    </row>
    <row r="138" spans="2:16" ht="18">
      <c r="B138"/>
      <c r="C138" s="380" t="s">
        <v>290</v>
      </c>
      <c r="D138" s="387">
        <v>1</v>
      </c>
      <c r="E138" s="387">
        <v>2</v>
      </c>
      <c r="F138" s="387">
        <v>3</v>
      </c>
      <c r="G138" s="387">
        <v>4</v>
      </c>
      <c r="H138" s="387">
        <v>5</v>
      </c>
      <c r="I138" s="387">
        <v>6</v>
      </c>
      <c r="J138" s="387">
        <v>7</v>
      </c>
      <c r="K138" s="387">
        <v>8</v>
      </c>
      <c r="L138" s="387">
        <v>9</v>
      </c>
      <c r="M138" s="387">
        <v>10</v>
      </c>
      <c r="N138" s="387">
        <v>11</v>
      </c>
      <c r="O138" s="387">
        <v>12</v>
      </c>
      <c r="P138" s="234"/>
    </row>
    <row r="139" spans="2:16">
      <c r="B139"/>
      <c r="C139" s="369"/>
      <c r="D139" s="370" t="s">
        <v>17</v>
      </c>
      <c r="E139" s="370" t="s">
        <v>18</v>
      </c>
      <c r="F139" s="370" t="s">
        <v>19</v>
      </c>
      <c r="G139" s="370" t="s">
        <v>20</v>
      </c>
      <c r="H139" s="370" t="s">
        <v>21</v>
      </c>
      <c r="I139" s="370" t="s">
        <v>22</v>
      </c>
      <c r="J139" s="370" t="s">
        <v>23</v>
      </c>
      <c r="K139" s="370" t="s">
        <v>24</v>
      </c>
      <c r="L139" s="370" t="s">
        <v>25</v>
      </c>
      <c r="M139" s="370" t="s">
        <v>26</v>
      </c>
      <c r="N139" s="370" t="s">
        <v>27</v>
      </c>
      <c r="O139" s="370" t="s">
        <v>28</v>
      </c>
      <c r="P139" s="362"/>
    </row>
    <row r="140" spans="2:16">
      <c r="B140"/>
      <c r="C140" s="119"/>
      <c r="D140" s="389">
        <f>SUM(D141:D150)</f>
        <v>3182853.4839999997</v>
      </c>
      <c r="E140" s="389">
        <f t="shared" ref="E140:O140" si="27">SUM(E141:E150)</f>
        <v>3641407.4519999996</v>
      </c>
      <c r="F140" s="389">
        <f t="shared" si="27"/>
        <v>2414203.567999999</v>
      </c>
      <c r="G140" s="389">
        <f t="shared" si="27"/>
        <v>2632382.6639999989</v>
      </c>
      <c r="H140" s="389">
        <f t="shared" si="27"/>
        <v>2539985.0239999993</v>
      </c>
      <c r="I140" s="389">
        <f t="shared" si="27"/>
        <v>4552806.3839999996</v>
      </c>
      <c r="J140" s="389">
        <f t="shared" si="27"/>
        <v>3477235.2819999983</v>
      </c>
      <c r="K140" s="389">
        <f t="shared" si="27"/>
        <v>2383299.7179999989</v>
      </c>
      <c r="L140" s="389">
        <f t="shared" si="27"/>
        <v>3082161.7419999992</v>
      </c>
      <c r="M140" s="389">
        <f t="shared" si="27"/>
        <v>2979614.4119999995</v>
      </c>
      <c r="N140" s="389">
        <f t="shared" si="27"/>
        <v>3091456.067999999</v>
      </c>
      <c r="O140" s="389">
        <f t="shared" si="27"/>
        <v>2677396.3199999994</v>
      </c>
      <c r="P140" s="114"/>
    </row>
    <row r="141" spans="2:16">
      <c r="B141"/>
      <c r="C141" s="118" t="s">
        <v>39</v>
      </c>
      <c r="D141" s="389">
        <f>D81-D96*'Sales volumes'!C41</f>
        <v>446814.32399999956</v>
      </c>
      <c r="E141" s="389">
        <f>E81-E96*'Sales volumes'!D41</f>
        <v>265663.72799999965</v>
      </c>
      <c r="F141" s="389">
        <f>F81-F96*'Sales volumes'!E41</f>
        <v>692363.97599999979</v>
      </c>
      <c r="G141" s="389">
        <f>G81-G96*'Sales volumes'!F41</f>
        <v>179871.62399999984</v>
      </c>
      <c r="H141" s="389">
        <f>H81-H96*'Sales volumes'!G41</f>
        <v>304146.21599999955</v>
      </c>
      <c r="I141" s="389">
        <f>I81-I96*'Sales volumes'!H41</f>
        <v>1328836.6319999998</v>
      </c>
      <c r="J141" s="389">
        <f>J81-J96*'Sales volumes'!I41</f>
        <v>551635.45199999958</v>
      </c>
      <c r="K141" s="389">
        <f>K81-K96*'Sales volumes'!J41</f>
        <v>26403.425999999745</v>
      </c>
      <c r="L141" s="389">
        <f>L81-L96*'Sales volumes'!K41</f>
        <v>154962.55799999973</v>
      </c>
      <c r="M141" s="389">
        <f>M81-M96*'Sales volumes'!L41</f>
        <v>598706.23799999966</v>
      </c>
      <c r="N141" s="389">
        <f>N81-N96*'Sales volumes'!M41</f>
        <v>1084388.3459999994</v>
      </c>
      <c r="O141" s="389">
        <f>O81-O96*'Sales volumes'!N41</f>
        <v>94436.843999999808</v>
      </c>
      <c r="P141" s="114"/>
    </row>
    <row r="142" spans="2:16">
      <c r="B142"/>
      <c r="C142" s="118" t="s">
        <v>31</v>
      </c>
      <c r="D142" s="389">
        <f>D82-D97*'Sales volumes'!C42</f>
        <v>330552.82400000002</v>
      </c>
      <c r="E142" s="389">
        <f>E82-E97*'Sales volumes'!D42</f>
        <v>332714.13</v>
      </c>
      <c r="F142" s="389">
        <f>F82-F97*'Sales volumes'!E42</f>
        <v>424745.50799999991</v>
      </c>
      <c r="G142" s="389">
        <f>G82-G97*'Sales volumes'!F42</f>
        <v>511584.73599999992</v>
      </c>
      <c r="H142" s="389">
        <f>H82-H97*'Sales volumes'!G42</f>
        <v>307231.16399999999</v>
      </c>
      <c r="I142" s="389">
        <f>I82-I97*'Sales volumes'!H42</f>
        <v>176493.38399999996</v>
      </c>
      <c r="J142" s="389">
        <f>J82-J97*'Sales volumes'!I42</f>
        <v>148019.24799999991</v>
      </c>
      <c r="K142" s="389">
        <f>K82-K97*'Sales volumes'!J42</f>
        <v>194785.72399999993</v>
      </c>
      <c r="L142" s="389">
        <f>L82-L97*'Sales volumes'!K42</f>
        <v>435445.91999999993</v>
      </c>
      <c r="M142" s="389">
        <f>M82-M97*'Sales volumes'!L42</f>
        <v>84211.685999999987</v>
      </c>
      <c r="N142" s="389">
        <f>N82-N97*'Sales volumes'!M42</f>
        <v>140399.35799999989</v>
      </c>
      <c r="O142" s="389">
        <f>O82-O97*'Sales volumes'!N42</f>
        <v>135011.15999999997</v>
      </c>
      <c r="P142" s="364">
        <f>SUMIFS('Jounal entries final'!$H:$H,'Jounal entries final'!$E:$E,$C142,'Jounal entries final'!$B:$B,P$17,'Jounal entries final'!$C:$C,$Q$17)</f>
        <v>0</v>
      </c>
    </row>
    <row r="143" spans="2:16">
      <c r="B143"/>
      <c r="C143" s="118" t="s">
        <v>40</v>
      </c>
      <c r="D143" s="389">
        <f>D83-D98*'Sales volumes'!C43</f>
        <v>93662.235999999975</v>
      </c>
      <c r="E143" s="389">
        <f>E83-E98*'Sales volumes'!D43</f>
        <v>15354.143999999971</v>
      </c>
      <c r="F143" s="389">
        <f>F83-F98*'Sales volumes'!E43</f>
        <v>391523.02799999993</v>
      </c>
      <c r="G143" s="389">
        <f>G83-G98*'Sales volumes'!F43</f>
        <v>173922.33599999989</v>
      </c>
      <c r="H143" s="389">
        <f>H83-H98*'Sales volumes'!G43</f>
        <v>-10321.496000000014</v>
      </c>
      <c r="I143" s="389">
        <f>I83-I98*'Sales volumes'!H43</f>
        <v>657019.75199999998</v>
      </c>
      <c r="J143" s="389">
        <f>J83-J98*'Sales volumes'!I43</f>
        <v>581875.90199999977</v>
      </c>
      <c r="K143" s="389">
        <f>K83-K98*'Sales volumes'!J43</f>
        <v>140595.26599999995</v>
      </c>
      <c r="L143" s="389">
        <f>L83-L98*'Sales volumes'!K43</f>
        <v>20899.493999999948</v>
      </c>
      <c r="M143" s="389">
        <f>M83-M98*'Sales volumes'!L43</f>
        <v>53078.975999999981</v>
      </c>
      <c r="N143" s="389">
        <f>N83-N98*'Sales volumes'!M43</f>
        <v>76296.71399999992</v>
      </c>
      <c r="O143" s="389">
        <f>O83-O98*'Sales volumes'!N43</f>
        <v>121305.10799999998</v>
      </c>
      <c r="P143" s="364">
        <f>SUMIFS('Jounal entries final'!$H:$H,'Jounal entries final'!$E:$E,$C143,'Jounal entries final'!$B:$B,P$17,'Jounal entries final'!$C:$C,$Q$17)</f>
        <v>0</v>
      </c>
    </row>
    <row r="144" spans="2:16">
      <c r="B144"/>
      <c r="C144" s="118" t="s">
        <v>36</v>
      </c>
      <c r="D144" s="389">
        <f>D84-D99*'Sales volumes'!C44</f>
        <v>140910.71999999997</v>
      </c>
      <c r="E144" s="389">
        <f>E84-E99*'Sales volumes'!D44</f>
        <v>179912.68399999989</v>
      </c>
      <c r="F144" s="389">
        <f>F84-F99*'Sales volumes'!E44</f>
        <v>118459.79399999988</v>
      </c>
      <c r="G144" s="389">
        <f>G84-G99*'Sales volumes'!F44</f>
        <v>343723.82400000002</v>
      </c>
      <c r="H144" s="389">
        <f>H84-H99*'Sales volumes'!G44</f>
        <v>318025.81799999997</v>
      </c>
      <c r="I144" s="389">
        <f>I84-I99*'Sales volumes'!H44</f>
        <v>284007.61599999992</v>
      </c>
      <c r="J144" s="389">
        <f>J84-J99*'Sales volumes'!I44</f>
        <v>836793.77599999984</v>
      </c>
      <c r="K144" s="389">
        <f>K84-K99*'Sales volumes'!J44</f>
        <v>295095.81999999983</v>
      </c>
      <c r="L144" s="389">
        <f>L84-L99*'Sales volumes'!K44</f>
        <v>437887.5959999999</v>
      </c>
      <c r="M144" s="389">
        <f>M84-M99*'Sales volumes'!L44</f>
        <v>387984.66200000001</v>
      </c>
      <c r="N144" s="389">
        <f>N84-N99*'Sales volumes'!M44</f>
        <v>337245.31599999993</v>
      </c>
      <c r="O144" s="389">
        <f>O84-O99*'Sales volumes'!N44</f>
        <v>363669.74399999995</v>
      </c>
      <c r="P144" s="364">
        <f>SUMIFS('Jounal entries final'!$H:$H,'Jounal entries final'!$E:$E,$C144,'Jounal entries final'!$B:$B,P$17,'Jounal entries final'!$C:$C,$Q$17)</f>
        <v>0</v>
      </c>
    </row>
    <row r="145" spans="2:16">
      <c r="B145"/>
      <c r="C145" s="118" t="s">
        <v>32</v>
      </c>
      <c r="D145" s="389">
        <f>D85-D100*'Sales volumes'!C45</f>
        <v>112722.26799999992</v>
      </c>
      <c r="E145" s="389">
        <f>E85-E100*'Sales volumes'!D45</f>
        <v>723839.63399999985</v>
      </c>
      <c r="F145" s="389">
        <f>F85-F100*'Sales volumes'!E45</f>
        <v>126394.27799999999</v>
      </c>
      <c r="G145" s="389">
        <f>G85-G100*'Sales volumes'!F45</f>
        <v>243055.80799999984</v>
      </c>
      <c r="H145" s="389">
        <f>H85-H100*'Sales volumes'!G45</f>
        <v>60705.469999999972</v>
      </c>
      <c r="I145" s="389">
        <f>I85-I100*'Sales volumes'!H45</f>
        <v>211459.26399999997</v>
      </c>
      <c r="J145" s="389">
        <f>J85-J100*'Sales volumes'!I45</f>
        <v>96722.351999999955</v>
      </c>
      <c r="K145" s="389">
        <f>K85-K100*'Sales volumes'!J45</f>
        <v>80591.691999999923</v>
      </c>
      <c r="L145" s="389">
        <f>L85-L100*'Sales volumes'!K45</f>
        <v>750034.73399999994</v>
      </c>
      <c r="M145" s="389">
        <f>M85-M100*'Sales volumes'!L45</f>
        <v>523955.07000000007</v>
      </c>
      <c r="N145" s="389">
        <f>N85-N100*'Sales volumes'!M45</f>
        <v>239896.92999999993</v>
      </c>
      <c r="O145" s="389">
        <f>O85-O100*'Sales volumes'!N45</f>
        <v>229863.31199999998</v>
      </c>
      <c r="P145" s="234"/>
    </row>
    <row r="146" spans="2:16">
      <c r="B146"/>
      <c r="C146" s="118" t="s">
        <v>37</v>
      </c>
      <c r="D146" s="389">
        <f>D86-D101*'Sales volumes'!C46</f>
        <v>136686.60799999995</v>
      </c>
      <c r="E146" s="389">
        <f>E86-E101*'Sales volumes'!D46</f>
        <v>46709.633999999962</v>
      </c>
      <c r="F146" s="389">
        <f>F86-F101*'Sales volumes'!E46</f>
        <v>134729.63599999994</v>
      </c>
      <c r="G146" s="389">
        <f>G86-G101*'Sales volumes'!F46</f>
        <v>151098.31199999998</v>
      </c>
      <c r="H146" s="389">
        <f>H86-H101*'Sales volumes'!G46</f>
        <v>261624.55799999996</v>
      </c>
      <c r="I146" s="389">
        <f>I86-I101*'Sales volumes'!H46</f>
        <v>289631.29599999991</v>
      </c>
      <c r="J146" s="389">
        <f>J86-J101*'Sales volumes'!I46</f>
        <v>230877.91999999993</v>
      </c>
      <c r="K146" s="389">
        <f>K86-K101*'Sales volumes'!J46</f>
        <v>244192.05599999992</v>
      </c>
      <c r="L146" s="389">
        <f>L86-L101*'Sales volumes'!K46</f>
        <v>270397.61</v>
      </c>
      <c r="M146" s="389">
        <f>M86-M101*'Sales volumes'!L46</f>
        <v>39858.485999999975</v>
      </c>
      <c r="N146" s="389">
        <f>N86-N101*'Sales volumes'!M46</f>
        <v>311392.15799999994</v>
      </c>
      <c r="O146" s="389">
        <f>O86-O101*'Sales volumes'!N46</f>
        <v>157659.21599999996</v>
      </c>
      <c r="P146" s="234"/>
    </row>
    <row r="147" spans="2:16">
      <c r="B147"/>
      <c r="C147" s="118" t="s">
        <v>33</v>
      </c>
      <c r="D147" s="389">
        <f>D87-D102*'Sales volumes'!C47</f>
        <v>665019.34400000004</v>
      </c>
      <c r="E147" s="389">
        <f>E87-E102*'Sales volumes'!D47</f>
        <v>562352.27999999991</v>
      </c>
      <c r="F147" s="389">
        <f>F87-F102*'Sales volumes'!E47</f>
        <v>82809.515999999945</v>
      </c>
      <c r="G147" s="389">
        <f>G87-G102*'Sales volumes'!F47</f>
        <v>6734.8319999999367</v>
      </c>
      <c r="H147" s="389">
        <f>H87-H102*'Sales volumes'!G47</f>
        <v>164045.37599999993</v>
      </c>
      <c r="I147" s="389">
        <f>I87-I102*'Sales volumes'!H47</f>
        <v>333386.59199999995</v>
      </c>
      <c r="J147" s="389">
        <f>J87-J102*'Sales volumes'!I47</f>
        <v>599033.06399999978</v>
      </c>
      <c r="K147" s="389">
        <f>K87-K102*'Sales volumes'!J47</f>
        <v>427248.4439999999</v>
      </c>
      <c r="L147" s="389">
        <f>L87-L102*'Sales volumes'!K47</f>
        <v>172186.03399999999</v>
      </c>
      <c r="M147" s="389">
        <f>M87-M102*'Sales volumes'!L47</f>
        <v>291905.43599999999</v>
      </c>
      <c r="N147" s="389">
        <f>N87-N102*'Sales volumes'!M47</f>
        <v>126885.91999999993</v>
      </c>
      <c r="O147" s="389">
        <f>O87-O102*'Sales volumes'!N47</f>
        <v>185139.38399999996</v>
      </c>
      <c r="P147" s="234"/>
    </row>
    <row r="148" spans="2:16">
      <c r="B148"/>
      <c r="C148" s="118" t="s">
        <v>38</v>
      </c>
      <c r="D148" s="389">
        <f>D88-D103*'Sales volumes'!C48</f>
        <v>441055.67999999993</v>
      </c>
      <c r="E148" s="389">
        <f>E88-E103*'Sales volumes'!D48</f>
        <v>145559.984</v>
      </c>
      <c r="F148" s="389">
        <f>F88-F103*'Sales volumes'!E48</f>
        <v>239528.43999999971</v>
      </c>
      <c r="G148" s="389">
        <f>G88-G103*'Sales volumes'!F48</f>
        <v>222705.82399999996</v>
      </c>
      <c r="H148" s="389">
        <f>H88-H103*'Sales volumes'!G48</f>
        <v>376120.86199999985</v>
      </c>
      <c r="I148" s="389">
        <f>I88-I103*'Sales volumes'!H48</f>
        <v>571251.18399999989</v>
      </c>
      <c r="J148" s="389">
        <f>J88-J103*'Sales volumes'!I48</f>
        <v>87086.999999999942</v>
      </c>
      <c r="K148" s="389">
        <f>K88-K103*'Sales volumes'!J48</f>
        <v>453541.54799999972</v>
      </c>
      <c r="L148" s="389">
        <f>L88-L103*'Sales volumes'!K48</f>
        <v>303120.054</v>
      </c>
      <c r="M148" s="389">
        <f>M88-M103*'Sales volumes'!L48</f>
        <v>416847.24</v>
      </c>
      <c r="N148" s="389">
        <f>N88-N103*'Sales volumes'!M48</f>
        <v>123242.49199999997</v>
      </c>
      <c r="O148" s="389">
        <f>O88-O103*'Sales volumes'!N48</f>
        <v>451858.83599999989</v>
      </c>
      <c r="P148" s="234"/>
    </row>
    <row r="149" spans="2:16">
      <c r="B149"/>
      <c r="C149" s="118" t="s">
        <v>34</v>
      </c>
      <c r="D149" s="389">
        <f>D89-D104*'Sales volumes'!C49</f>
        <v>624950.52799999993</v>
      </c>
      <c r="E149" s="389">
        <f>E89-E104*'Sales volumes'!D49</f>
        <v>469919.304</v>
      </c>
      <c r="F149" s="389">
        <f>F89-F104*'Sales volumes'!E49</f>
        <v>111815.67599999998</v>
      </c>
      <c r="G149" s="389">
        <f>G89-G104*'Sales volumes'!F49</f>
        <v>637599.26399999985</v>
      </c>
      <c r="H149" s="389">
        <f>H89-H104*'Sales volumes'!G49</f>
        <v>216789.91200000001</v>
      </c>
      <c r="I149" s="389">
        <f>I89-I104*'Sales volumes'!H49</f>
        <v>593906.26399999997</v>
      </c>
      <c r="J149" s="389">
        <f>J89-J104*'Sales volumes'!I49</f>
        <v>161130.81599999988</v>
      </c>
      <c r="K149" s="389">
        <f>K89-K104*'Sales volumes'!J49</f>
        <v>310493.55399999989</v>
      </c>
      <c r="L149" s="389">
        <f>L89-L104*'Sales volumes'!K49</f>
        <v>452632.47599999991</v>
      </c>
      <c r="M149" s="389">
        <f>M89-M104*'Sales volumes'!L49</f>
        <v>222489.85200000007</v>
      </c>
      <c r="N149" s="389">
        <f>N89-N104*'Sales volumes'!M49</f>
        <v>206830.62399999995</v>
      </c>
      <c r="O149" s="389">
        <f>O89-O104*'Sales volumes'!N49</f>
        <v>536570.18799999985</v>
      </c>
      <c r="P149" s="234"/>
    </row>
    <row r="150" spans="2:16">
      <c r="B150"/>
      <c r="C150" s="118" t="s">
        <v>35</v>
      </c>
      <c r="D150" s="389">
        <f>D90-D105*'Sales volumes'!C50</f>
        <v>190478.95199999993</v>
      </c>
      <c r="E150" s="389">
        <f>E90-E105*'Sales volumes'!D50</f>
        <v>899381.92999999993</v>
      </c>
      <c r="F150" s="389">
        <f>F90-F105*'Sales volumes'!E50</f>
        <v>91833.715999999957</v>
      </c>
      <c r="G150" s="389">
        <f>G90-G105*'Sales volumes'!F50</f>
        <v>162086.10399999993</v>
      </c>
      <c r="H150" s="389">
        <f>H90-H105*'Sales volumes'!G50</f>
        <v>541617.14399999997</v>
      </c>
      <c r="I150" s="389">
        <f>I90-I105*'Sales volumes'!H50</f>
        <v>106814.39999999997</v>
      </c>
      <c r="J150" s="389">
        <f>J90-J105*'Sales volumes'!I50</f>
        <v>184059.75199999992</v>
      </c>
      <c r="K150" s="389">
        <f>K90-K105*'Sales volumes'!J50</f>
        <v>210352.18799999997</v>
      </c>
      <c r="L150" s="389">
        <f>L90-L105*'Sales volumes'!K50</f>
        <v>84595.265999999945</v>
      </c>
      <c r="M150" s="389">
        <f>M90-M105*'Sales volumes'!L50</f>
        <v>360576.76600000006</v>
      </c>
      <c r="N150" s="389">
        <f>N90-N105*'Sales volumes'!M50</f>
        <v>444878.20999999996</v>
      </c>
      <c r="O150" s="389">
        <f>O90-O105*'Sales volumes'!N50</f>
        <v>401882.52799999993</v>
      </c>
      <c r="P150" s="234"/>
    </row>
    <row r="151" spans="2:16">
      <c r="B151"/>
      <c r="C151" s="118"/>
      <c r="D151" s="401"/>
      <c r="E151" s="114"/>
      <c r="F151" s="114"/>
      <c r="G151" s="114"/>
      <c r="H151" s="114"/>
      <c r="I151" s="114"/>
      <c r="J151" s="114"/>
      <c r="K151" s="114"/>
      <c r="L151" s="114"/>
      <c r="M151" s="114"/>
      <c r="N151" s="114"/>
      <c r="O151" s="114"/>
      <c r="P151" s="234"/>
    </row>
    <row r="153" spans="2:16" ht="18">
      <c r="B153"/>
      <c r="C153" s="380" t="s">
        <v>290</v>
      </c>
      <c r="D153" s="387">
        <v>1</v>
      </c>
      <c r="E153" s="387">
        <v>2</v>
      </c>
      <c r="F153" s="387">
        <v>3</v>
      </c>
      <c r="G153" s="387">
        <v>4</v>
      </c>
      <c r="H153" s="387">
        <v>5</v>
      </c>
      <c r="I153" s="387">
        <v>6</v>
      </c>
      <c r="J153" s="387">
        <v>7</v>
      </c>
      <c r="K153" s="387">
        <v>8</v>
      </c>
      <c r="L153" s="387">
        <v>9</v>
      </c>
      <c r="M153" s="387">
        <v>10</v>
      </c>
      <c r="N153" s="387">
        <v>11</v>
      </c>
      <c r="O153" s="387">
        <v>12</v>
      </c>
      <c r="P153" s="234"/>
    </row>
    <row r="154" spans="2:16">
      <c r="B154"/>
      <c r="C154" s="369"/>
      <c r="D154" s="370" t="s">
        <v>17</v>
      </c>
      <c r="E154" s="370" t="s">
        <v>18</v>
      </c>
      <c r="F154" s="370" t="s">
        <v>19</v>
      </c>
      <c r="G154" s="370" t="s">
        <v>20</v>
      </c>
      <c r="H154" s="370" t="s">
        <v>21</v>
      </c>
      <c r="I154" s="370" t="s">
        <v>22</v>
      </c>
      <c r="J154" s="370" t="s">
        <v>23</v>
      </c>
      <c r="K154" s="370" t="s">
        <v>24</v>
      </c>
      <c r="L154" s="370" t="s">
        <v>25</v>
      </c>
      <c r="M154" s="370" t="s">
        <v>26</v>
      </c>
      <c r="N154" s="370" t="s">
        <v>27</v>
      </c>
      <c r="O154" s="370" t="s">
        <v>28</v>
      </c>
      <c r="P154" s="362"/>
    </row>
    <row r="155" spans="2:16">
      <c r="B155"/>
      <c r="C155" s="119"/>
      <c r="D155" s="389"/>
      <c r="E155" s="389"/>
      <c r="F155" s="389"/>
      <c r="G155" s="389"/>
      <c r="H155" s="389"/>
      <c r="I155" s="389"/>
      <c r="J155" s="389"/>
      <c r="K155" s="389"/>
      <c r="L155" s="389"/>
      <c r="M155" s="389"/>
      <c r="N155" s="389"/>
      <c r="O155" s="389"/>
      <c r="P155" s="114"/>
    </row>
    <row r="156" spans="2:16">
      <c r="B156"/>
      <c r="C156" s="118" t="s">
        <v>39</v>
      </c>
      <c r="D156" s="414">
        <f>D141/D81</f>
        <v>0.10515999999999989</v>
      </c>
      <c r="E156" s="414">
        <f t="shared" ref="E156:O156" si="28">E141/E81</f>
        <v>0.10958490566037722</v>
      </c>
      <c r="F156" s="414">
        <f t="shared" si="28"/>
        <v>0.1835254237288135</v>
      </c>
      <c r="G156" s="414">
        <f t="shared" si="28"/>
        <v>6.3499999999999945E-2</v>
      </c>
      <c r="H156" s="414">
        <f t="shared" si="28"/>
        <v>8.0528301886792331E-2</v>
      </c>
      <c r="I156" s="414">
        <f t="shared" si="28"/>
        <v>0.37921212121212117</v>
      </c>
      <c r="J156" s="414">
        <f t="shared" si="28"/>
        <v>0.17450909090909078</v>
      </c>
      <c r="K156" s="414">
        <f t="shared" si="28"/>
        <v>1.5959999999999846E-2</v>
      </c>
      <c r="L156" s="414">
        <f t="shared" si="28"/>
        <v>7.3836734693877415E-2</v>
      </c>
      <c r="M156" s="414">
        <f t="shared" si="28"/>
        <v>0.22463333333333321</v>
      </c>
      <c r="N156" s="414">
        <f t="shared" si="28"/>
        <v>0.31029032258064498</v>
      </c>
      <c r="O156" s="414">
        <f t="shared" si="28"/>
        <v>4.5288888888888795E-2</v>
      </c>
      <c r="P156" s="114"/>
    </row>
    <row r="157" spans="2:16">
      <c r="B157"/>
      <c r="C157" s="118" t="s">
        <v>31</v>
      </c>
      <c r="D157" s="414">
        <f t="shared" ref="D157:O165" si="29">D142/D82</f>
        <v>0.37864705882352945</v>
      </c>
      <c r="E157" s="414">
        <f t="shared" si="29"/>
        <v>0.32437288135593223</v>
      </c>
      <c r="F157" s="414">
        <f t="shared" si="29"/>
        <v>0.40414925373134319</v>
      </c>
      <c r="G157" s="414">
        <f t="shared" si="29"/>
        <v>0.35779710144927529</v>
      </c>
      <c r="H157" s="414">
        <f t="shared" si="29"/>
        <v>0.34058461538461537</v>
      </c>
      <c r="I157" s="414">
        <f t="shared" si="29"/>
        <v>0.34227692307692298</v>
      </c>
      <c r="J157" s="414">
        <f t="shared" si="29"/>
        <v>0.14525490196078422</v>
      </c>
      <c r="K157" s="414">
        <f t="shared" si="29"/>
        <v>0.14370833333333327</v>
      </c>
      <c r="L157" s="414">
        <f t="shared" si="29"/>
        <v>0.31153124999999993</v>
      </c>
      <c r="M157" s="414">
        <f t="shared" si="29"/>
        <v>0.19769811320754713</v>
      </c>
      <c r="N157" s="414">
        <f t="shared" si="29"/>
        <v>0.18435999999999986</v>
      </c>
      <c r="O157" s="414">
        <f t="shared" si="29"/>
        <v>0.29529999999999995</v>
      </c>
      <c r="P157" s="364">
        <f>SUMIFS('Jounal entries final'!$H:$H,'Jounal entries final'!$E:$E,$C157,'Jounal entries final'!$B:$B,P$17,'Jounal entries final'!$C:$C,$Q$17)</f>
        <v>0</v>
      </c>
    </row>
    <row r="158" spans="2:16">
      <c r="B158"/>
      <c r="C158" s="118" t="s">
        <v>40</v>
      </c>
      <c r="D158" s="414">
        <f t="shared" si="29"/>
        <v>0.15581132075471693</v>
      </c>
      <c r="E158" s="414">
        <f t="shared" si="29"/>
        <v>5.6159999999999898E-2</v>
      </c>
      <c r="F158" s="414">
        <f t="shared" si="29"/>
        <v>0.32152112676056332</v>
      </c>
      <c r="G158" s="414">
        <f t="shared" si="29"/>
        <v>0.11858823529411758</v>
      </c>
      <c r="H158" s="414">
        <f t="shared" si="29"/>
        <v>-5.9391304347826163E-2</v>
      </c>
      <c r="I158" s="414">
        <f t="shared" si="29"/>
        <v>0.41468571428571427</v>
      </c>
      <c r="J158" s="414">
        <f t="shared" si="29"/>
        <v>0.33232352941176457</v>
      </c>
      <c r="K158" s="414">
        <f t="shared" si="29"/>
        <v>0.31663888888888875</v>
      </c>
      <c r="L158" s="414">
        <f t="shared" si="29"/>
        <v>5.454166666666653E-2</v>
      </c>
      <c r="M158" s="414">
        <f t="shared" si="29"/>
        <v>0.30564179104477601</v>
      </c>
      <c r="N158" s="414">
        <f t="shared" si="29"/>
        <v>9.0170212765957353E-2</v>
      </c>
      <c r="O158" s="414">
        <f t="shared" si="29"/>
        <v>0.32871874999999995</v>
      </c>
      <c r="P158" s="364">
        <f>SUMIFS('Jounal entries final'!$H:$H,'Jounal entries final'!$E:$E,$C158,'Jounal entries final'!$B:$B,P$17,'Jounal entries final'!$C:$C,$Q$17)</f>
        <v>0</v>
      </c>
    </row>
    <row r="159" spans="2:16">
      <c r="B159"/>
      <c r="C159" s="118" t="s">
        <v>36</v>
      </c>
      <c r="D159" s="414">
        <f t="shared" si="29"/>
        <v>0.21858823529411761</v>
      </c>
      <c r="E159" s="414">
        <f t="shared" si="29"/>
        <v>0.13342857142857134</v>
      </c>
      <c r="F159" s="414">
        <f t="shared" si="29"/>
        <v>0.13755999999999985</v>
      </c>
      <c r="G159" s="414">
        <f t="shared" si="29"/>
        <v>0.32013559322033902</v>
      </c>
      <c r="H159" s="414">
        <f t="shared" si="29"/>
        <v>0.37591304347826082</v>
      </c>
      <c r="I159" s="414">
        <f t="shared" si="29"/>
        <v>0.31033962264150933</v>
      </c>
      <c r="J159" s="414">
        <f t="shared" si="29"/>
        <v>0.42040579710144921</v>
      </c>
      <c r="K159" s="414">
        <f t="shared" si="29"/>
        <v>0.20178181818181806</v>
      </c>
      <c r="L159" s="414">
        <f t="shared" si="29"/>
        <v>0.31272413793103443</v>
      </c>
      <c r="M159" s="414">
        <f t="shared" si="29"/>
        <v>0.40968571428571432</v>
      </c>
      <c r="N159" s="414">
        <f t="shared" si="29"/>
        <v>0.4065312499999999</v>
      </c>
      <c r="O159" s="414">
        <f t="shared" si="29"/>
        <v>0.37242622950819665</v>
      </c>
      <c r="P159" s="364">
        <f>SUMIFS('Jounal entries final'!$H:$H,'Jounal entries final'!$E:$E,$C159,'Jounal entries final'!$B:$B,P$17,'Jounal entries final'!$C:$C,$Q$17)</f>
        <v>0</v>
      </c>
    </row>
    <row r="160" spans="2:16">
      <c r="B160"/>
      <c r="C160" s="118" t="s">
        <v>32</v>
      </c>
      <c r="D160" s="414">
        <f t="shared" si="29"/>
        <v>0.10102127659574461</v>
      </c>
      <c r="E160" s="414">
        <f t="shared" si="29"/>
        <v>0.39603030303030295</v>
      </c>
      <c r="F160" s="414">
        <f t="shared" si="29"/>
        <v>0.29961403508771928</v>
      </c>
      <c r="G160" s="414">
        <f t="shared" si="29"/>
        <v>0.1943272727272726</v>
      </c>
      <c r="H160" s="414">
        <f t="shared" si="29"/>
        <v>0.10704166666666662</v>
      </c>
      <c r="I160" s="414">
        <f t="shared" si="29"/>
        <v>0.26289655172413789</v>
      </c>
      <c r="J160" s="414">
        <f t="shared" si="29"/>
        <v>0.12815999999999994</v>
      </c>
      <c r="K160" s="414">
        <f t="shared" si="29"/>
        <v>0.10647826086956512</v>
      </c>
      <c r="L160" s="414">
        <f t="shared" si="29"/>
        <v>0.3794084507042253</v>
      </c>
      <c r="M160" s="414">
        <f t="shared" si="29"/>
        <v>0.37467647058823533</v>
      </c>
      <c r="N160" s="414">
        <f t="shared" si="29"/>
        <v>0.21573076923076917</v>
      </c>
      <c r="O160" s="414">
        <f t="shared" si="29"/>
        <v>0.33934374999999994</v>
      </c>
      <c r="P160" s="234"/>
    </row>
    <row r="161" spans="2:16">
      <c r="B161"/>
      <c r="C161" s="118" t="s">
        <v>37</v>
      </c>
      <c r="D161" s="414">
        <f t="shared" si="29"/>
        <v>0.24807547169811311</v>
      </c>
      <c r="E161" s="414">
        <f t="shared" si="29"/>
        <v>9.6553191489361617E-2</v>
      </c>
      <c r="F161" s="414">
        <f t="shared" si="29"/>
        <v>0.22996428571428562</v>
      </c>
      <c r="G161" s="414">
        <f t="shared" si="29"/>
        <v>0.27069090909090904</v>
      </c>
      <c r="H161" s="414">
        <f t="shared" si="29"/>
        <v>0.36673529411764699</v>
      </c>
      <c r="I161" s="414">
        <f t="shared" si="29"/>
        <v>0.4288749999999999</v>
      </c>
      <c r="J161" s="414">
        <f t="shared" si="29"/>
        <v>0.34439344262295069</v>
      </c>
      <c r="K161" s="414">
        <f t="shared" si="29"/>
        <v>0.34474626865671631</v>
      </c>
      <c r="L161" s="414">
        <f t="shared" si="29"/>
        <v>0.39603030303030301</v>
      </c>
      <c r="M161" s="414">
        <f t="shared" si="29"/>
        <v>8.1733333333333283E-2</v>
      </c>
      <c r="N161" s="414">
        <f t="shared" si="29"/>
        <v>0.43310447761194021</v>
      </c>
      <c r="O161" s="414">
        <f t="shared" si="29"/>
        <v>0.27769811320754711</v>
      </c>
      <c r="P161" s="234"/>
    </row>
    <row r="162" spans="2:16">
      <c r="B162"/>
      <c r="C162" s="118" t="s">
        <v>33</v>
      </c>
      <c r="D162" s="414">
        <f t="shared" si="29"/>
        <v>0.37864705882352945</v>
      </c>
      <c r="E162" s="414">
        <f t="shared" si="29"/>
        <v>0.43856338028169006</v>
      </c>
      <c r="F162" s="414">
        <f t="shared" si="29"/>
        <v>0.18526530612244885</v>
      </c>
      <c r="G162" s="414">
        <f t="shared" si="29"/>
        <v>1.5288888888888744E-2</v>
      </c>
      <c r="H162" s="414">
        <f t="shared" si="29"/>
        <v>0.17573076923076916</v>
      </c>
      <c r="I162" s="414">
        <f t="shared" si="29"/>
        <v>0.28746666666666659</v>
      </c>
      <c r="J162" s="414">
        <f t="shared" si="29"/>
        <v>0.33951515151515138</v>
      </c>
      <c r="K162" s="414">
        <f t="shared" si="29"/>
        <v>0.36766153846153837</v>
      </c>
      <c r="L162" s="414">
        <f t="shared" si="29"/>
        <v>0.35202941176470587</v>
      </c>
      <c r="M162" s="414">
        <f t="shared" si="29"/>
        <v>0.254</v>
      </c>
      <c r="N162" s="414">
        <f t="shared" si="29"/>
        <v>0.16771428571428562</v>
      </c>
      <c r="O162" s="414">
        <f t="shared" si="29"/>
        <v>0.15435999999999997</v>
      </c>
      <c r="P162" s="234"/>
    </row>
    <row r="163" spans="2:16">
      <c r="B163"/>
      <c r="C163" s="118" t="s">
        <v>38</v>
      </c>
      <c r="D163" s="414">
        <f t="shared" si="29"/>
        <v>0.43870422535211262</v>
      </c>
      <c r="E163" s="414">
        <f t="shared" si="29"/>
        <v>0.2678965517241379</v>
      </c>
      <c r="F163" s="414">
        <f t="shared" si="29"/>
        <v>0.17073076923076902</v>
      </c>
      <c r="G163" s="414">
        <f t="shared" si="29"/>
        <v>0.33146666666666663</v>
      </c>
      <c r="H163" s="414">
        <f t="shared" si="29"/>
        <v>0.27013559322033887</v>
      </c>
      <c r="I163" s="414">
        <f t="shared" si="29"/>
        <v>0.48518309859154918</v>
      </c>
      <c r="J163" s="414">
        <f t="shared" si="29"/>
        <v>0.16683333333333322</v>
      </c>
      <c r="K163" s="414">
        <f t="shared" si="29"/>
        <v>0.28029508196721292</v>
      </c>
      <c r="L163" s="414">
        <f t="shared" si="29"/>
        <v>0.28817857142857145</v>
      </c>
      <c r="M163" s="414">
        <f t="shared" si="29"/>
        <v>0.29962711864406777</v>
      </c>
      <c r="N163" s="414">
        <f t="shared" si="29"/>
        <v>0.29662962962962958</v>
      </c>
      <c r="O163" s="414">
        <f t="shared" si="29"/>
        <v>0.41996969696969688</v>
      </c>
      <c r="P163" s="234"/>
    </row>
    <row r="164" spans="2:16">
      <c r="B164"/>
      <c r="C164" s="118" t="s">
        <v>34</v>
      </c>
      <c r="D164" s="414">
        <f t="shared" si="29"/>
        <v>0.33981249999999996</v>
      </c>
      <c r="E164" s="414">
        <f t="shared" si="29"/>
        <v>0.31272413793103448</v>
      </c>
      <c r="F164" s="414">
        <f t="shared" si="29"/>
        <v>0.16829166666666664</v>
      </c>
      <c r="G164" s="414">
        <f t="shared" si="29"/>
        <v>0.38455555555555548</v>
      </c>
      <c r="H164" s="414">
        <f t="shared" si="29"/>
        <v>0.17573076923076925</v>
      </c>
      <c r="I164" s="414">
        <f t="shared" si="29"/>
        <v>0.36191044776119402</v>
      </c>
      <c r="J164" s="414">
        <f t="shared" si="29"/>
        <v>0.17750943396226401</v>
      </c>
      <c r="K164" s="414">
        <f t="shared" si="29"/>
        <v>0.23885185185185176</v>
      </c>
      <c r="L164" s="414">
        <f t="shared" si="29"/>
        <v>0.31153124999999993</v>
      </c>
      <c r="M164" s="414">
        <f t="shared" si="29"/>
        <v>0.19769811320754724</v>
      </c>
      <c r="N164" s="414">
        <f t="shared" si="29"/>
        <v>0.16771428571428568</v>
      </c>
      <c r="O164" s="414">
        <f t="shared" si="29"/>
        <v>0.30685245901639335</v>
      </c>
      <c r="P164" s="234"/>
    </row>
    <row r="165" spans="2:16">
      <c r="B165"/>
      <c r="C165" s="118" t="s">
        <v>35</v>
      </c>
      <c r="D165" s="414">
        <f t="shared" si="29"/>
        <v>0.17152941176470582</v>
      </c>
      <c r="E165" s="414">
        <f t="shared" si="29"/>
        <v>0.4463611111111111</v>
      </c>
      <c r="F165" s="414">
        <f t="shared" si="29"/>
        <v>0.24675471698113197</v>
      </c>
      <c r="G165" s="414">
        <f t="shared" si="29"/>
        <v>0.14784615384615379</v>
      </c>
      <c r="H165" s="414">
        <f t="shared" si="29"/>
        <v>0.40469444444444441</v>
      </c>
      <c r="I165" s="414">
        <f t="shared" si="29"/>
        <v>0.17784615384615379</v>
      </c>
      <c r="J165" s="414">
        <f t="shared" si="29"/>
        <v>0.31887499999999985</v>
      </c>
      <c r="K165" s="414">
        <f t="shared" si="29"/>
        <v>0.34758730158730156</v>
      </c>
      <c r="L165" s="414">
        <f t="shared" si="29"/>
        <v>0.15265384615384606</v>
      </c>
      <c r="M165" s="414">
        <f t="shared" si="29"/>
        <v>0.22687272727272731</v>
      </c>
      <c r="N165" s="414">
        <f t="shared" si="29"/>
        <v>0.40026470588235291</v>
      </c>
      <c r="O165" s="414">
        <f t="shared" si="29"/>
        <v>0.24496428571428566</v>
      </c>
      <c r="P165" s="234"/>
    </row>
    <row r="166" spans="2:16">
      <c r="B166"/>
      <c r="C166" s="118"/>
      <c r="D166" s="401"/>
      <c r="E166" s="114"/>
      <c r="F166" s="114"/>
      <c r="G166" s="114"/>
      <c r="H166" s="114"/>
      <c r="I166" s="114"/>
      <c r="J166" s="114"/>
      <c r="K166" s="114"/>
      <c r="L166" s="114"/>
      <c r="M166" s="114"/>
      <c r="N166" s="114"/>
      <c r="O166" s="114"/>
      <c r="P166" s="234"/>
    </row>
    <row r="168" spans="2:16" ht="18">
      <c r="B168"/>
      <c r="C168" s="380" t="s">
        <v>291</v>
      </c>
      <c r="D168" s="387">
        <v>1</v>
      </c>
      <c r="E168" s="387">
        <v>2</v>
      </c>
      <c r="F168" s="387">
        <v>3</v>
      </c>
      <c r="G168" s="387">
        <v>4</v>
      </c>
      <c r="H168" s="387">
        <v>5</v>
      </c>
      <c r="I168" s="387">
        <v>6</v>
      </c>
      <c r="J168" s="387">
        <v>7</v>
      </c>
      <c r="K168" s="387">
        <v>8</v>
      </c>
      <c r="L168" s="387">
        <v>9</v>
      </c>
      <c r="M168" s="387">
        <v>10</v>
      </c>
      <c r="N168" s="387">
        <v>11</v>
      </c>
      <c r="O168" s="387">
        <v>12</v>
      </c>
      <c r="P168" s="234"/>
    </row>
    <row r="169" spans="2:16">
      <c r="B169"/>
      <c r="C169" s="369"/>
      <c r="D169" s="370" t="s">
        <v>17</v>
      </c>
      <c r="E169" s="370" t="s">
        <v>18</v>
      </c>
      <c r="F169" s="370" t="s">
        <v>19</v>
      </c>
      <c r="G169" s="370" t="s">
        <v>20</v>
      </c>
      <c r="H169" s="370" t="s">
        <v>21</v>
      </c>
      <c r="I169" s="370" t="s">
        <v>22</v>
      </c>
      <c r="J169" s="370" t="s">
        <v>23</v>
      </c>
      <c r="K169" s="370" t="s">
        <v>24</v>
      </c>
      <c r="L169" s="370" t="s">
        <v>25</v>
      </c>
      <c r="M169" s="370" t="s">
        <v>26</v>
      </c>
      <c r="N169" s="370" t="s">
        <v>27</v>
      </c>
      <c r="O169" s="370" t="s">
        <v>28</v>
      </c>
      <c r="P169" s="362"/>
    </row>
    <row r="170" spans="2:16">
      <c r="B170"/>
      <c r="C170" s="119"/>
      <c r="D170" s="389"/>
      <c r="E170" s="389"/>
      <c r="F170" s="389"/>
      <c r="G170" s="389"/>
      <c r="H170" s="389"/>
      <c r="I170" s="389"/>
      <c r="J170" s="389"/>
      <c r="K170" s="389"/>
      <c r="L170" s="389"/>
      <c r="M170" s="389"/>
      <c r="N170" s="389"/>
      <c r="O170" s="389"/>
      <c r="P170" s="114"/>
    </row>
    <row r="171" spans="2:16">
      <c r="B171"/>
      <c r="C171" s="118" t="s">
        <v>39</v>
      </c>
      <c r="D171" s="414">
        <f t="shared" ref="D171:D180" si="30">D141/D$140</f>
        <v>0.14038168148364558</v>
      </c>
      <c r="E171" s="414">
        <f t="shared" ref="E171:O171" si="31">E141/E$140</f>
        <v>7.2956331171917341E-2</v>
      </c>
      <c r="F171" s="414">
        <f t="shared" si="31"/>
        <v>0.28678773620303094</v>
      </c>
      <c r="G171" s="414">
        <f t="shared" si="31"/>
        <v>6.8330348189832898E-2</v>
      </c>
      <c r="H171" s="414">
        <f t="shared" si="31"/>
        <v>0.1197433107385123</v>
      </c>
      <c r="I171" s="414">
        <f t="shared" si="31"/>
        <v>0.29187198398551528</v>
      </c>
      <c r="J171" s="414">
        <f t="shared" si="31"/>
        <v>0.15864196905385014</v>
      </c>
      <c r="K171" s="414">
        <f t="shared" si="31"/>
        <v>1.1078516814560273E-2</v>
      </c>
      <c r="L171" s="414">
        <f t="shared" si="31"/>
        <v>5.0277231038318354E-2</v>
      </c>
      <c r="M171" s="414">
        <f t="shared" si="31"/>
        <v>0.20093413281557176</v>
      </c>
      <c r="N171" s="414">
        <f t="shared" si="31"/>
        <v>0.3507694504297254</v>
      </c>
      <c r="O171" s="414">
        <f t="shared" si="31"/>
        <v>3.5271895794642696E-2</v>
      </c>
      <c r="P171" s="114"/>
    </row>
    <row r="172" spans="2:16">
      <c r="B172"/>
      <c r="C172" s="118" t="s">
        <v>31</v>
      </c>
      <c r="D172" s="414">
        <f t="shared" si="30"/>
        <v>0.10385423823674821</v>
      </c>
      <c r="E172" s="414">
        <f t="shared" ref="E172:O172" si="32">E142/E$140</f>
        <v>9.1369651538791882E-2</v>
      </c>
      <c r="F172" s="414">
        <f t="shared" si="32"/>
        <v>0.17593607831168614</v>
      </c>
      <c r="G172" s="414">
        <f t="shared" si="32"/>
        <v>0.19434284498083904</v>
      </c>
      <c r="H172" s="414">
        <f t="shared" si="32"/>
        <v>0.12095786435629002</v>
      </c>
      <c r="I172" s="414">
        <f t="shared" si="32"/>
        <v>3.8765844429548661E-2</v>
      </c>
      <c r="J172" s="414">
        <f t="shared" si="32"/>
        <v>4.2568085273442816E-2</v>
      </c>
      <c r="K172" s="414">
        <f t="shared" si="32"/>
        <v>8.1729428543489649E-2</v>
      </c>
      <c r="L172" s="414">
        <f t="shared" si="32"/>
        <v>0.1412793864988543</v>
      </c>
      <c r="M172" s="414">
        <f t="shared" si="32"/>
        <v>2.8262611987929932E-2</v>
      </c>
      <c r="N172" s="414">
        <f t="shared" si="32"/>
        <v>4.5415284872810921E-2</v>
      </c>
      <c r="O172" s="414">
        <f t="shared" si="32"/>
        <v>5.0426288775955293E-2</v>
      </c>
      <c r="P172" s="364">
        <f>SUMIFS('Jounal entries final'!$H:$H,'Jounal entries final'!$E:$E,$C172,'Jounal entries final'!$B:$B,P$17,'Jounal entries final'!$C:$C,$Q$17)</f>
        <v>0</v>
      </c>
    </row>
    <row r="173" spans="2:16">
      <c r="B173"/>
      <c r="C173" s="118" t="s">
        <v>40</v>
      </c>
      <c r="D173" s="414">
        <f t="shared" si="30"/>
        <v>2.9427127723859747E-2</v>
      </c>
      <c r="E173" s="414">
        <f t="shared" ref="E173:O173" si="33">E143/E$140</f>
        <v>4.2165410496886003E-3</v>
      </c>
      <c r="F173" s="414">
        <f t="shared" si="33"/>
        <v>0.162174819551091</v>
      </c>
      <c r="G173" s="414">
        <f t="shared" si="33"/>
        <v>6.6070308993647117E-2</v>
      </c>
      <c r="H173" s="414">
        <f t="shared" si="33"/>
        <v>-4.0636050616336301E-3</v>
      </c>
      <c r="I173" s="414">
        <f t="shared" si="33"/>
        <v>0.14431093628513944</v>
      </c>
      <c r="J173" s="414">
        <f t="shared" si="33"/>
        <v>0.16733866270484946</v>
      </c>
      <c r="K173" s="414">
        <f t="shared" si="33"/>
        <v>5.899185274019321E-2</v>
      </c>
      <c r="L173" s="414">
        <f t="shared" si="33"/>
        <v>6.7807908051049819E-3</v>
      </c>
      <c r="M173" s="414">
        <f t="shared" si="33"/>
        <v>1.7814041906305558E-2</v>
      </c>
      <c r="N173" s="414">
        <f t="shared" si="33"/>
        <v>2.4679863572947252E-2</v>
      </c>
      <c r="O173" s="414">
        <f t="shared" si="33"/>
        <v>4.5307116878385789E-2</v>
      </c>
      <c r="P173" s="364">
        <f>SUMIFS('Jounal entries final'!$H:$H,'Jounal entries final'!$E:$E,$C173,'Jounal entries final'!$B:$B,P$17,'Jounal entries final'!$C:$C,$Q$17)</f>
        <v>0</v>
      </c>
    </row>
    <row r="174" spans="2:16">
      <c r="B174"/>
      <c r="C174" s="118" t="s">
        <v>36</v>
      </c>
      <c r="D174" s="414">
        <f t="shared" si="30"/>
        <v>4.4271821090210127E-2</v>
      </c>
      <c r="E174" s="414">
        <f t="shared" ref="E174:O174" si="34">E144/E$140</f>
        <v>4.9407457520631207E-2</v>
      </c>
      <c r="F174" s="414">
        <f t="shared" si="34"/>
        <v>4.9067856402074513E-2</v>
      </c>
      <c r="G174" s="414">
        <f t="shared" si="34"/>
        <v>0.13057517385321915</v>
      </c>
      <c r="H174" s="414">
        <f t="shared" si="34"/>
        <v>0.12520775319342989</v>
      </c>
      <c r="I174" s="414">
        <f t="shared" si="34"/>
        <v>6.2380780566046568E-2</v>
      </c>
      <c r="J174" s="414">
        <f t="shared" si="34"/>
        <v>0.24064916755322405</v>
      </c>
      <c r="K174" s="414">
        <f t="shared" si="34"/>
        <v>0.12381817434512027</v>
      </c>
      <c r="L174" s="414">
        <f t="shared" si="34"/>
        <v>0.14207158243287285</v>
      </c>
      <c r="M174" s="414">
        <f t="shared" si="34"/>
        <v>0.13021304382118826</v>
      </c>
      <c r="N174" s="414">
        <f t="shared" si="34"/>
        <v>0.10908947388606398</v>
      </c>
      <c r="O174" s="414">
        <f t="shared" si="34"/>
        <v>0.13582962719542396</v>
      </c>
      <c r="P174" s="364">
        <f>SUMIFS('Jounal entries final'!$H:$H,'Jounal entries final'!$E:$E,$C174,'Jounal entries final'!$B:$B,P$17,'Jounal entries final'!$C:$C,$Q$17)</f>
        <v>0</v>
      </c>
    </row>
    <row r="175" spans="2:16">
      <c r="B175"/>
      <c r="C175" s="118" t="s">
        <v>32</v>
      </c>
      <c r="D175" s="414">
        <f t="shared" si="30"/>
        <v>3.5415475002744404E-2</v>
      </c>
      <c r="E175" s="414">
        <f t="shared" ref="E175:O175" si="35">E145/E$140</f>
        <v>0.19878018143848186</v>
      </c>
      <c r="F175" s="414">
        <f t="shared" si="35"/>
        <v>5.2354440891125398E-2</v>
      </c>
      <c r="G175" s="414">
        <f t="shared" si="35"/>
        <v>9.2333007401996764E-2</v>
      </c>
      <c r="H175" s="414">
        <f t="shared" si="35"/>
        <v>2.3899932254088752E-2</v>
      </c>
      <c r="I175" s="414">
        <f t="shared" si="35"/>
        <v>4.6445916246984416E-2</v>
      </c>
      <c r="J175" s="414">
        <f t="shared" si="35"/>
        <v>2.7815877890312975E-2</v>
      </c>
      <c r="K175" s="414">
        <f t="shared" si="35"/>
        <v>3.3815172884604838E-2</v>
      </c>
      <c r="L175" s="414">
        <f t="shared" si="35"/>
        <v>0.24334697422897286</v>
      </c>
      <c r="M175" s="414">
        <f t="shared" si="35"/>
        <v>0.17584660212738967</v>
      </c>
      <c r="N175" s="414">
        <f t="shared" si="35"/>
        <v>7.759998030804946E-2</v>
      </c>
      <c r="O175" s="414">
        <f t="shared" si="35"/>
        <v>8.5853300941266711E-2</v>
      </c>
      <c r="P175" s="234"/>
    </row>
    <row r="176" spans="2:16">
      <c r="B176"/>
      <c r="C176" s="118" t="s">
        <v>37</v>
      </c>
      <c r="D176" s="414">
        <f t="shared" si="30"/>
        <v>4.2944674860817426E-2</v>
      </c>
      <c r="E176" s="414">
        <f t="shared" ref="E176:O176" si="36">E146/E$140</f>
        <v>1.2827357173212038E-2</v>
      </c>
      <c r="F176" s="414">
        <f t="shared" si="36"/>
        <v>5.5807073515185858E-2</v>
      </c>
      <c r="G176" s="414">
        <f t="shared" si="36"/>
        <v>5.7399827945379615E-2</v>
      </c>
      <c r="H176" s="414">
        <f t="shared" si="36"/>
        <v>0.10300240179683832</v>
      </c>
      <c r="I176" s="414">
        <f t="shared" si="36"/>
        <v>6.3615992329007401E-2</v>
      </c>
      <c r="J176" s="414">
        <f t="shared" si="36"/>
        <v>6.6396979576028595E-2</v>
      </c>
      <c r="K176" s="414">
        <f t="shared" si="36"/>
        <v>0.10245965043998718</v>
      </c>
      <c r="L176" s="414">
        <f t="shared" si="36"/>
        <v>8.7729857364506877E-2</v>
      </c>
      <c r="M176" s="414">
        <f t="shared" si="36"/>
        <v>1.3377061756539787E-2</v>
      </c>
      <c r="N176" s="414">
        <f t="shared" si="36"/>
        <v>0.10072669678966308</v>
      </c>
      <c r="O176" s="414">
        <f t="shared" si="36"/>
        <v>5.888527403369255E-2</v>
      </c>
      <c r="P176" s="234"/>
    </row>
    <row r="177" spans="2:16">
      <c r="B177"/>
      <c r="C177" s="118" t="s">
        <v>33</v>
      </c>
      <c r="D177" s="414">
        <f t="shared" si="30"/>
        <v>0.20893809512219447</v>
      </c>
      <c r="E177" s="414">
        <f t="shared" ref="E177:O177" si="37">E147/E$140</f>
        <v>0.15443267127141586</v>
      </c>
      <c r="F177" s="414">
        <f t="shared" si="37"/>
        <v>3.4300966620060921E-2</v>
      </c>
      <c r="G177" s="414">
        <f t="shared" si="37"/>
        <v>2.5584547763911041E-3</v>
      </c>
      <c r="H177" s="414">
        <f t="shared" si="37"/>
        <v>6.4585174499044593E-2</v>
      </c>
      <c r="I177" s="414">
        <f t="shared" si="37"/>
        <v>7.3226613187774861E-2</v>
      </c>
      <c r="J177" s="414">
        <f t="shared" si="37"/>
        <v>0.17227280164241704</v>
      </c>
      <c r="K177" s="414">
        <f t="shared" si="37"/>
        <v>0.1792676098491445</v>
      </c>
      <c r="L177" s="414">
        <f t="shared" si="37"/>
        <v>5.5865346601917568E-2</v>
      </c>
      <c r="M177" s="414">
        <f t="shared" si="37"/>
        <v>9.7967520503455002E-2</v>
      </c>
      <c r="N177" s="414">
        <f t="shared" si="37"/>
        <v>4.1044063770923352E-2</v>
      </c>
      <c r="O177" s="414">
        <f t="shared" si="37"/>
        <v>6.9149039541519949E-2</v>
      </c>
      <c r="P177" s="234"/>
    </row>
    <row r="178" spans="2:16">
      <c r="B178"/>
      <c r="C178" s="118" t="s">
        <v>38</v>
      </c>
      <c r="D178" s="414">
        <f t="shared" si="30"/>
        <v>0.13857241064257544</v>
      </c>
      <c r="E178" s="414">
        <f t="shared" ref="E178:O178" si="38">E148/E$140</f>
        <v>3.9973550315017044E-2</v>
      </c>
      <c r="F178" s="414">
        <f t="shared" si="38"/>
        <v>9.921633915835544E-2</v>
      </c>
      <c r="G178" s="414">
        <f t="shared" si="38"/>
        <v>8.4602374512522643E-2</v>
      </c>
      <c r="H178" s="414">
        <f t="shared" si="38"/>
        <v>0.14807995261628754</v>
      </c>
      <c r="I178" s="414">
        <f t="shared" si="38"/>
        <v>0.12547232098592137</v>
      </c>
      <c r="J178" s="414">
        <f t="shared" si="38"/>
        <v>2.5044897148837796E-2</v>
      </c>
      <c r="K178" s="414">
        <f t="shared" si="38"/>
        <v>0.19029983705977174</v>
      </c>
      <c r="L178" s="414">
        <f t="shared" si="38"/>
        <v>9.8346575998736183E-2</v>
      </c>
      <c r="M178" s="414">
        <f t="shared" si="38"/>
        <v>0.13989972605891665</v>
      </c>
      <c r="N178" s="414">
        <f t="shared" si="38"/>
        <v>3.9865516212795819E-2</v>
      </c>
      <c r="O178" s="414">
        <f t="shared" si="38"/>
        <v>0.16876800517900167</v>
      </c>
      <c r="P178" s="234"/>
    </row>
    <row r="179" spans="2:16">
      <c r="B179"/>
      <c r="C179" s="118" t="s">
        <v>34</v>
      </c>
      <c r="D179" s="414">
        <f t="shared" si="30"/>
        <v>0.19634913486957101</v>
      </c>
      <c r="E179" s="414">
        <f t="shared" ref="E179:O179" si="39">E149/E$140</f>
        <v>0.12904881153629277</v>
      </c>
      <c r="F179" s="414">
        <f t="shared" si="39"/>
        <v>4.6315761223330289E-2</v>
      </c>
      <c r="G179" s="414">
        <f t="shared" si="39"/>
        <v>0.24221374525812486</v>
      </c>
      <c r="H179" s="414">
        <f t="shared" si="39"/>
        <v>8.5350862289178625E-2</v>
      </c>
      <c r="I179" s="414">
        <f t="shared" si="39"/>
        <v>0.13044839026916985</v>
      </c>
      <c r="J179" s="414">
        <f t="shared" si="39"/>
        <v>4.6338772884911721E-2</v>
      </c>
      <c r="K179" s="414">
        <f t="shared" si="39"/>
        <v>0.13027885316101062</v>
      </c>
      <c r="L179" s="414">
        <f t="shared" si="39"/>
        <v>0.1468555234568219</v>
      </c>
      <c r="M179" s="414">
        <f t="shared" si="39"/>
        <v>7.4670685946460674E-2</v>
      </c>
      <c r="N179" s="414">
        <f t="shared" si="39"/>
        <v>6.6903950582033633E-2</v>
      </c>
      <c r="O179" s="414">
        <f t="shared" si="39"/>
        <v>0.20040745704767382</v>
      </c>
      <c r="P179" s="234"/>
    </row>
    <row r="180" spans="2:16">
      <c r="B180"/>
      <c r="C180" s="118" t="s">
        <v>35</v>
      </c>
      <c r="D180" s="414">
        <f t="shared" si="30"/>
        <v>5.9845340967633415E-2</v>
      </c>
      <c r="E180" s="414">
        <f t="shared" ref="E180:O180" si="40">E150/E$140</f>
        <v>0.2469874469845513</v>
      </c>
      <c r="F180" s="414">
        <f t="shared" si="40"/>
        <v>3.8038928124059498E-2</v>
      </c>
      <c r="G180" s="414">
        <f t="shared" si="40"/>
        <v>6.157391408804689E-2</v>
      </c>
      <c r="H180" s="414">
        <f t="shared" si="40"/>
        <v>0.21323635331796356</v>
      </c>
      <c r="I180" s="414">
        <f t="shared" si="40"/>
        <v>2.3461221714892056E-2</v>
      </c>
      <c r="J180" s="414">
        <f t="shared" si="40"/>
        <v>5.2932786272125491E-2</v>
      </c>
      <c r="K180" s="414">
        <f t="shared" si="40"/>
        <v>8.8260904162117668E-2</v>
      </c>
      <c r="L180" s="414">
        <f t="shared" si="40"/>
        <v>2.7446731573894143E-2</v>
      </c>
      <c r="M180" s="414">
        <f t="shared" si="40"/>
        <v>0.12101457307624276</v>
      </c>
      <c r="N180" s="414">
        <f t="shared" si="40"/>
        <v>0.14390571957498705</v>
      </c>
      <c r="O180" s="414">
        <f t="shared" si="40"/>
        <v>0.15010199461243751</v>
      </c>
      <c r="P180" s="234"/>
    </row>
    <row r="181" spans="2:16">
      <c r="B181"/>
      <c r="C181" s="118"/>
      <c r="D181" s="401"/>
      <c r="E181" s="114"/>
      <c r="F181" s="114"/>
      <c r="G181" s="114"/>
      <c r="H181" s="114"/>
      <c r="I181" s="114"/>
      <c r="J181" s="114"/>
      <c r="K181" s="114"/>
      <c r="L181" s="114"/>
      <c r="M181" s="114"/>
      <c r="N181" s="114"/>
      <c r="O181" s="114"/>
      <c r="P181" s="234"/>
    </row>
  </sheetData>
  <mergeCells count="17">
    <mergeCell ref="D24:E24"/>
    <mergeCell ref="F24:G24"/>
    <mergeCell ref="L26:M26"/>
    <mergeCell ref="N26:O26"/>
    <mergeCell ref="G72:I72"/>
    <mergeCell ref="C72:E72"/>
    <mergeCell ref="K72:M72"/>
    <mergeCell ref="C62:O67"/>
    <mergeCell ref="F26:G26"/>
    <mergeCell ref="G46:H46"/>
    <mergeCell ref="G31:H31"/>
    <mergeCell ref="F23:G23"/>
    <mergeCell ref="G21:H21"/>
    <mergeCell ref="O21:P21"/>
    <mergeCell ref="K22:M22"/>
    <mergeCell ref="K23:O25"/>
    <mergeCell ref="F25:G25"/>
  </mergeCells>
  <conditionalFormatting sqref="C23 E23:F23">
    <cfRule type="iconSet" priority="48">
      <iconSet iconSet="3Arrows">
        <cfvo type="percent" val="0"/>
        <cfvo type="num" val="0"/>
        <cfvo type="num" val="9.9999999999999995E-8" gte="0"/>
      </iconSet>
    </cfRule>
  </conditionalFormatting>
  <conditionalFormatting sqref="C34">
    <cfRule type="iconSet" priority="18">
      <iconSet iconSet="3Arrows">
        <cfvo type="percent" val="0"/>
        <cfvo type="num" val="0"/>
        <cfvo type="num" val="1E-25" gte="0"/>
      </iconSet>
    </cfRule>
  </conditionalFormatting>
  <conditionalFormatting sqref="C38">
    <cfRule type="iconSet" priority="15">
      <iconSet iconSet="3Arrows">
        <cfvo type="percent" val="0"/>
        <cfvo type="num" val="0"/>
        <cfvo type="num" val="1E-25" gte="0"/>
      </iconSet>
    </cfRule>
  </conditionalFormatting>
  <conditionalFormatting sqref="C41">
    <cfRule type="iconSet" priority="16">
      <iconSet iconSet="3Arrows">
        <cfvo type="percent" val="0"/>
        <cfvo type="num" val="0"/>
        <cfvo type="num" val="1E-25" gte="0"/>
      </iconSet>
    </cfRule>
  </conditionalFormatting>
  <conditionalFormatting sqref="C42:C43 C39:C40 C35:C37">
    <cfRule type="iconSet" priority="17">
      <iconSet iconSet="3Arrows">
        <cfvo type="percent" val="0"/>
        <cfvo type="num" val="0"/>
        <cfvo type="num" val="1E-25" gte="0"/>
      </iconSet>
    </cfRule>
  </conditionalFormatting>
  <conditionalFormatting sqref="C49">
    <cfRule type="iconSet" priority="4">
      <iconSet iconSet="3Arrows">
        <cfvo type="percent" val="0"/>
        <cfvo type="num" val="0"/>
        <cfvo type="num" val="1E-25" gte="0"/>
      </iconSet>
    </cfRule>
  </conditionalFormatting>
  <conditionalFormatting sqref="C53">
    <cfRule type="iconSet" priority="1">
      <iconSet iconSet="3Arrows">
        <cfvo type="percent" val="0"/>
        <cfvo type="num" val="0"/>
        <cfvo type="num" val="1E-25" gte="0"/>
      </iconSet>
    </cfRule>
  </conditionalFormatting>
  <conditionalFormatting sqref="C54:C55 C50:C52">
    <cfRule type="iconSet" priority="10">
      <iconSet iconSet="3Arrows">
        <cfvo type="percent" val="0"/>
        <cfvo type="num" val="0"/>
        <cfvo type="num" val="1E-25" gte="0"/>
      </iconSet>
    </cfRule>
  </conditionalFormatting>
  <conditionalFormatting sqref="C56">
    <cfRule type="iconSet" priority="2">
      <iconSet iconSet="3Arrows">
        <cfvo type="percent" val="0"/>
        <cfvo type="num" val="0"/>
        <cfvo type="num" val="1E-25" gte="0"/>
      </iconSet>
    </cfRule>
  </conditionalFormatting>
  <conditionalFormatting sqref="C57:C58">
    <cfRule type="iconSet" priority="3">
      <iconSet iconSet="3Arrows">
        <cfvo type="percent" val="0"/>
        <cfvo type="num" val="0"/>
        <cfvo type="num" val="1E-25" gte="0"/>
      </iconSet>
    </cfRule>
  </conditionalFormatting>
  <conditionalFormatting sqref="D48:E48">
    <cfRule type="iconSet" priority="14">
      <iconSet iconSet="3Arrows">
        <cfvo type="percent" val="0"/>
        <cfvo type="num" val="0"/>
        <cfvo type="num" val="9.9999999999999995E-8" gte="0"/>
      </iconSet>
    </cfRule>
  </conditionalFormatting>
  <conditionalFormatting sqref="F34:F43">
    <cfRule type="iconSet" priority="27">
      <iconSet iconSet="3Arrows">
        <cfvo type="percent" val="0"/>
        <cfvo type="num" val="0"/>
        <cfvo type="num" val="1E-25" gte="0"/>
      </iconSet>
    </cfRule>
  </conditionalFormatting>
  <conditionalFormatting sqref="F49:F58">
    <cfRule type="iconSet" priority="6">
      <iconSet iconSet="3Arrows">
        <cfvo type="percent" val="0"/>
        <cfvo type="num" val="0"/>
        <cfvo type="num" val="1E-25" gte="0"/>
      </iconSet>
    </cfRule>
  </conditionalFormatting>
  <conditionalFormatting sqref="F25:G26">
    <cfRule type="iconSet" priority="31">
      <iconSet iconSet="3Arrows">
        <cfvo type="percent" val="0"/>
        <cfvo type="num" val="0"/>
        <cfvo type="num" val="1E-25" gte="0"/>
      </iconSet>
    </cfRule>
  </conditionalFormatting>
  <conditionalFormatting sqref="F24:H24">
    <cfRule type="iconSet" priority="47">
      <iconSet iconSet="3Arrows">
        <cfvo type="percent" val="0"/>
        <cfvo type="num" val="0"/>
        <cfvo type="num" val="1E-25" gte="0"/>
      </iconSet>
    </cfRule>
  </conditionalFormatting>
  <conditionalFormatting sqref="G33:H33 D33:E33">
    <cfRule type="iconSet" priority="28">
      <iconSet iconSet="3Arrows">
        <cfvo type="percent" val="0"/>
        <cfvo type="num" val="0"/>
        <cfvo type="num" val="9.9999999999999995E-8" gte="0"/>
      </iconSet>
    </cfRule>
  </conditionalFormatting>
  <conditionalFormatting sqref="G48:H48">
    <cfRule type="iconSet" priority="7">
      <iconSet iconSet="3Arrows">
        <cfvo type="percent" val="0"/>
        <cfvo type="num" val="0"/>
        <cfvo type="num" val="9.9999999999999995E-8" gte="0"/>
      </iconSet>
    </cfRule>
  </conditionalFormatting>
  <conditionalFormatting sqref="H25">
    <cfRule type="iconSet" priority="30">
      <iconSet iconSet="3Arrows">
        <cfvo type="percent" val="0"/>
        <cfvo type="num" val="0"/>
        <cfvo type="num" val="1E-25" gte="0"/>
      </iconSet>
    </cfRule>
  </conditionalFormatting>
  <conditionalFormatting sqref="H26">
    <cfRule type="iconSet" priority="29">
      <iconSet iconSet="3Arrows">
        <cfvo type="percent" val="0"/>
        <cfvo type="num" val="0"/>
        <cfvo type="num" val="1E-25" gte="0"/>
      </iconSet>
    </cfRule>
  </conditionalFormatting>
  <conditionalFormatting sqref="N26:O26">
    <cfRule type="iconSet" priority="46">
      <iconSet iconSet="3Arrows">
        <cfvo type="percent" val="0"/>
        <cfvo type="num" val="0"/>
        <cfvo type="num" val="1E-25" gte="0"/>
      </iconSet>
    </cfRule>
  </conditionalFormatting>
  <conditionalFormatting sqref="X32 Z32">
    <cfRule type="iconSet" priority="19">
      <iconSet iconSet="3Arrows">
        <cfvo type="percent" val="0"/>
        <cfvo type="num" val="0"/>
        <cfvo type="num" val="9.9999999999999995E-8" gte="0"/>
      </iconSet>
    </cfRule>
  </conditionalFormatting>
  <conditionalFormatting sqref="X47">
    <cfRule type="iconSet" priority="5">
      <iconSet iconSet="3Arrows">
        <cfvo type="percent" val="0"/>
        <cfvo type="num" val="0"/>
        <cfvo type="num" val="9.9999999999999995E-8" gte="0"/>
      </iconSet>
    </cfRule>
  </conditionalFormatting>
  <conditionalFormatting sqref="Z47">
    <cfRule type="iconSet" priority="12">
      <iconSet iconSet="3Arrows">
        <cfvo type="percent" val="0"/>
        <cfvo type="num" val="0"/>
        <cfvo type="num" val="9.9999999999999995E-8" gte="0"/>
      </iconSet>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BB983A7-2FEB-49BE-90CE-60B38D2AED36}">
          <x14:formula1>
            <xm:f>Reference!$A$2:$A$13</xm:f>
          </x14:formula1>
          <xm:sqref>D17</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D057-2646-4F3F-9047-C6B8637D2592}">
  <sheetPr codeName="Sheet31">
    <tabColor theme="4" tint="0.79998168889431442"/>
  </sheetPr>
  <dimension ref="A1:AD54"/>
  <sheetViews>
    <sheetView showGridLines="0" tabSelected="1" zoomScale="80" zoomScaleNormal="80" workbookViewId="0">
      <selection activeCell="H23" sqref="H23"/>
    </sheetView>
  </sheetViews>
  <sheetFormatPr baseColWidth="10" defaultColWidth="0" defaultRowHeight="15" zeroHeight="1"/>
  <cols>
    <col min="1" max="1" width="2.83203125" style="236" customWidth="1"/>
    <col min="2" max="2" width="2.1640625" style="236" customWidth="1"/>
    <col min="3" max="3" width="44.83203125" style="243" bestFit="1" customWidth="1"/>
    <col min="4" max="4" width="20.1640625" style="236" bestFit="1" customWidth="1"/>
    <col min="5" max="5" width="14.5" style="236" customWidth="1"/>
    <col min="6" max="6" width="13.33203125" style="236" customWidth="1"/>
    <col min="7" max="7" width="15.83203125" style="236" bestFit="1" customWidth="1"/>
    <col min="8" max="8" width="14.5" style="236" customWidth="1"/>
    <col min="9" max="9" width="5.1640625" style="236" customWidth="1"/>
    <col min="10" max="10" width="3.1640625" style="236" customWidth="1"/>
    <col min="11" max="12" width="14.5" style="236" customWidth="1"/>
    <col min="13" max="13" width="42.83203125" style="236" customWidth="1"/>
    <col min="14" max="14" width="7.33203125" style="236" customWidth="1"/>
    <col min="15" max="15" width="7.83203125" style="236" bestFit="1" customWidth="1"/>
    <col min="16" max="16" width="1.5" style="236" customWidth="1"/>
    <col min="17" max="17" width="8.83203125" style="236" customWidth="1"/>
    <col min="18" max="18" width="5" style="114" customWidth="1"/>
    <col min="19" max="27" width="8.83203125" style="114" customWidth="1"/>
    <col min="28" max="28" width="0" style="114" hidden="1" customWidth="1"/>
    <col min="29" max="16384" width="8.83203125" style="114" hidden="1"/>
  </cols>
  <sheetData>
    <row r="1" spans="1:30">
      <c r="A1" s="114"/>
      <c r="B1" s="114"/>
      <c r="C1" s="114"/>
      <c r="D1" s="114"/>
      <c r="E1" s="114"/>
      <c r="F1" s="118"/>
      <c r="G1" s="114"/>
      <c r="H1" s="114"/>
      <c r="I1" s="114"/>
      <c r="J1" s="114"/>
      <c r="K1" s="114"/>
      <c r="L1" s="114"/>
      <c r="M1" s="114"/>
      <c r="N1" s="114"/>
      <c r="O1" s="114"/>
      <c r="P1" s="114"/>
      <c r="Q1" s="114"/>
      <c r="AD1" s="236"/>
    </row>
    <row r="2" spans="1:30">
      <c r="A2" s="114"/>
      <c r="B2" s="114"/>
      <c r="C2" s="114"/>
      <c r="D2" s="114"/>
      <c r="E2" s="114"/>
      <c r="F2" s="118"/>
      <c r="G2" s="114"/>
      <c r="H2" s="114"/>
      <c r="I2" s="114"/>
      <c r="J2" s="114"/>
      <c r="K2" s="114"/>
      <c r="L2" s="114"/>
      <c r="M2" s="114"/>
      <c r="N2" s="114"/>
      <c r="O2" s="114"/>
      <c r="P2" s="114"/>
      <c r="Q2" s="114"/>
      <c r="AD2" s="236"/>
    </row>
    <row r="3" spans="1:30">
      <c r="A3" s="114"/>
      <c r="B3" s="114"/>
      <c r="C3" s="114"/>
      <c r="D3" s="114"/>
      <c r="E3" s="114"/>
      <c r="F3" s="118"/>
      <c r="G3" s="114"/>
      <c r="H3" s="114"/>
      <c r="I3" s="114"/>
      <c r="J3" s="114"/>
      <c r="K3" s="114"/>
      <c r="L3" s="114"/>
      <c r="M3" s="114"/>
      <c r="N3" s="114"/>
      <c r="O3" s="114"/>
      <c r="P3" s="114"/>
      <c r="Q3" s="114"/>
      <c r="AD3" s="236"/>
    </row>
    <row r="4" spans="1:30">
      <c r="A4" s="114"/>
      <c r="B4" s="114"/>
      <c r="C4" s="114"/>
      <c r="D4" s="114"/>
      <c r="E4" s="114"/>
      <c r="F4" s="118"/>
      <c r="G4" s="114"/>
      <c r="H4" s="114"/>
      <c r="I4" s="114"/>
      <c r="J4" s="114"/>
      <c r="K4" s="114"/>
      <c r="L4" s="114"/>
      <c r="M4" s="114"/>
      <c r="N4" s="114"/>
      <c r="O4" s="114"/>
      <c r="P4" s="114"/>
      <c r="Q4" s="114"/>
      <c r="AD4" s="236"/>
    </row>
    <row r="5" spans="1:30">
      <c r="A5" s="114"/>
      <c r="B5" s="114"/>
      <c r="C5" s="114"/>
      <c r="D5" s="114"/>
      <c r="E5" s="114"/>
      <c r="F5" s="118"/>
      <c r="G5" s="114"/>
      <c r="H5" s="114"/>
      <c r="I5" s="114"/>
      <c r="J5" s="114"/>
      <c r="K5" s="114"/>
      <c r="L5" s="114"/>
      <c r="M5" s="114"/>
      <c r="N5" s="114"/>
      <c r="O5" s="114"/>
      <c r="P5" s="114"/>
      <c r="Q5" s="114"/>
      <c r="AD5" s="236"/>
    </row>
    <row r="6" spans="1:30" s="234" customFormat="1">
      <c r="F6" s="251"/>
      <c r="AD6" s="293"/>
    </row>
    <row r="7" spans="1:30" s="234" customFormat="1">
      <c r="A7" s="645"/>
      <c r="B7" s="645"/>
      <c r="C7" s="645"/>
      <c r="D7" s="293"/>
      <c r="E7" s="293"/>
      <c r="F7" s="294"/>
      <c r="G7" s="293"/>
      <c r="H7" s="293"/>
      <c r="I7" s="293"/>
      <c r="J7" s="293"/>
      <c r="K7" s="293"/>
      <c r="L7" s="293"/>
      <c r="M7" s="293"/>
      <c r="N7" s="293"/>
      <c r="O7" s="293"/>
      <c r="P7" s="293"/>
      <c r="Q7" s="293"/>
      <c r="R7" s="293"/>
      <c r="S7" s="293"/>
      <c r="T7" s="293"/>
      <c r="AD7" s="293"/>
    </row>
    <row r="8" spans="1:30" s="234" customFormat="1">
      <c r="A8" s="645"/>
      <c r="B8" s="645"/>
      <c r="C8" s="645"/>
      <c r="D8" s="293"/>
      <c r="E8" s="293"/>
      <c r="F8" s="294"/>
      <c r="G8" s="293"/>
      <c r="H8" s="293"/>
      <c r="I8" s="293"/>
      <c r="J8" s="293"/>
      <c r="K8" s="293"/>
      <c r="L8" s="293"/>
      <c r="M8" s="293"/>
      <c r="N8" s="293"/>
      <c r="O8" s="293"/>
      <c r="P8" s="293"/>
      <c r="Q8" s="293"/>
      <c r="R8" s="293"/>
      <c r="S8" s="293"/>
      <c r="T8" s="293"/>
      <c r="AD8" s="293"/>
    </row>
    <row r="9" spans="1:30" s="234" customFormat="1">
      <c r="A9" s="645"/>
      <c r="B9" s="645"/>
      <c r="C9" s="645"/>
      <c r="D9" s="293"/>
      <c r="E9" s="293"/>
      <c r="F9" s="294"/>
      <c r="G9" s="293"/>
      <c r="H9" s="293"/>
      <c r="I9" s="293"/>
      <c r="J9" s="293"/>
      <c r="K9" s="293"/>
      <c r="L9" s="293"/>
      <c r="M9" s="293"/>
      <c r="N9" s="293"/>
      <c r="O9" s="293"/>
      <c r="P9" s="293"/>
      <c r="Q9" s="293"/>
      <c r="R9" s="293"/>
      <c r="S9" s="293"/>
      <c r="T9" s="293"/>
      <c r="AD9" s="293"/>
    </row>
    <row r="10" spans="1:30" s="234" customFormat="1">
      <c r="A10" s="645"/>
      <c r="B10" s="645"/>
      <c r="C10" s="645"/>
      <c r="D10" s="293"/>
      <c r="E10" s="293"/>
      <c r="F10" s="294"/>
      <c r="G10" s="293"/>
      <c r="H10" s="293"/>
      <c r="I10" s="293"/>
      <c r="J10" s="293"/>
      <c r="K10" s="293"/>
      <c r="L10" s="293"/>
      <c r="M10" s="293"/>
      <c r="N10" s="293"/>
      <c r="O10" s="293"/>
      <c r="P10" s="293"/>
      <c r="Q10" s="293"/>
      <c r="R10" s="293"/>
      <c r="S10" s="293"/>
      <c r="T10" s="293"/>
      <c r="AD10" s="293"/>
    </row>
    <row r="11" spans="1:30" s="234" customFormat="1">
      <c r="A11" s="645"/>
      <c r="B11" s="645"/>
      <c r="C11" s="645"/>
      <c r="D11" s="293"/>
      <c r="E11" s="293"/>
      <c r="F11" s="294"/>
      <c r="G11" s="293"/>
      <c r="H11" s="293"/>
      <c r="I11" s="293"/>
      <c r="J11" s="293"/>
      <c r="K11" s="293"/>
      <c r="L11" s="293"/>
      <c r="M11" s="293"/>
      <c r="N11" s="293"/>
      <c r="O11" s="293"/>
      <c r="P11" s="293"/>
      <c r="Q11" s="293"/>
      <c r="R11" s="293"/>
      <c r="S11" s="293"/>
      <c r="T11" s="293"/>
      <c r="AD11" s="293"/>
    </row>
    <row r="12" spans="1:30" s="234" customFormat="1">
      <c r="A12" s="645"/>
      <c r="B12" s="645"/>
      <c r="C12" s="645"/>
      <c r="D12" s="293"/>
      <c r="E12" s="293"/>
      <c r="F12" s="294"/>
      <c r="G12" s="293"/>
      <c r="H12" s="293"/>
      <c r="I12" s="293"/>
      <c r="J12" s="293"/>
      <c r="K12" s="293"/>
      <c r="L12" s="293"/>
      <c r="M12" s="293"/>
      <c r="N12" s="293"/>
      <c r="O12" s="293"/>
      <c r="P12" s="293"/>
      <c r="Q12" s="293"/>
      <c r="R12" s="293"/>
      <c r="S12" s="293"/>
      <c r="T12" s="293"/>
      <c r="AD12" s="293"/>
    </row>
    <row r="13" spans="1:30" s="234" customFormat="1">
      <c r="A13" s="645"/>
      <c r="B13" s="645"/>
      <c r="C13" s="645"/>
      <c r="D13" s="293"/>
      <c r="E13" s="293"/>
      <c r="F13" s="294"/>
      <c r="G13" s="293"/>
      <c r="H13" s="293"/>
      <c r="I13" s="293"/>
      <c r="J13" s="293"/>
      <c r="K13" s="293"/>
      <c r="L13" s="293"/>
      <c r="M13" s="293"/>
      <c r="N13" s="293"/>
      <c r="O13" s="293"/>
      <c r="P13" s="293"/>
      <c r="Q13" s="293"/>
      <c r="R13" s="293"/>
      <c r="S13" s="293"/>
      <c r="T13" s="293"/>
      <c r="AD13" s="293"/>
    </row>
    <row r="14" spans="1:30" ht="19">
      <c r="A14" s="7"/>
      <c r="B14" s="7"/>
      <c r="C14" s="7"/>
      <c r="D14" s="114"/>
      <c r="E14" s="114"/>
      <c r="F14" s="118"/>
      <c r="G14" s="147"/>
      <c r="H14" s="147"/>
      <c r="I14" s="147"/>
      <c r="J14" s="114"/>
      <c r="K14" s="114"/>
      <c r="L14" s="114"/>
      <c r="M14" s="114"/>
      <c r="N14" s="114"/>
      <c r="O14" s="114"/>
      <c r="P14" s="114"/>
      <c r="Q14" s="114"/>
      <c r="W14" s="280" t="s">
        <v>258</v>
      </c>
      <c r="X14" s="280" t="s">
        <v>256</v>
      </c>
      <c r="Y14" s="337" t="s">
        <v>259</v>
      </c>
      <c r="Z14" s="337" t="s">
        <v>257</v>
      </c>
      <c r="AD14" s="236"/>
    </row>
    <row r="15" spans="1:30" ht="16" thickBot="1">
      <c r="A15" s="114"/>
      <c r="B15" s="114"/>
      <c r="C15" s="114"/>
      <c r="D15" s="114"/>
      <c r="E15" s="114"/>
      <c r="F15" s="114"/>
      <c r="G15" s="114"/>
      <c r="H15" s="114"/>
      <c r="I15" s="114"/>
      <c r="J15" s="130"/>
      <c r="K15" s="114"/>
      <c r="L15" s="114"/>
      <c r="M15" s="114"/>
      <c r="N15" s="114"/>
      <c r="O15" s="114"/>
      <c r="P15" s="114"/>
      <c r="Q15" s="114"/>
    </row>
    <row r="16" spans="1:30" s="287" customFormat="1" ht="26.5" customHeight="1" thickBot="1">
      <c r="C16" s="646" t="s">
        <v>174</v>
      </c>
      <c r="D16" s="647" t="str">
        <f xml:space="preserve"> 'Executive summary'!G16</f>
        <v>October</v>
      </c>
      <c r="E16" s="703">
        <f>VLOOKUP('P&amp;L Page'!D16,Reference!$A$2:$B$13,2,0)</f>
        <v>10</v>
      </c>
      <c r="F16" s="702">
        <v>2022</v>
      </c>
    </row>
    <row r="17" spans="1:25">
      <c r="A17" s="114"/>
      <c r="B17" s="114"/>
      <c r="C17" s="118"/>
      <c r="D17" s="114"/>
      <c r="E17" s="114"/>
      <c r="F17" s="114"/>
      <c r="G17" s="114"/>
      <c r="H17" s="114"/>
      <c r="I17" s="114"/>
      <c r="J17" s="114"/>
      <c r="K17" s="114"/>
      <c r="L17" s="114"/>
      <c r="M17" s="114"/>
      <c r="N17" s="114"/>
      <c r="O17" s="114"/>
      <c r="P17" s="114"/>
      <c r="Q17" s="114"/>
    </row>
    <row r="18" spans="1:25">
      <c r="R18" s="236"/>
    </row>
    <row r="19" spans="1:25">
      <c r="R19" s="236"/>
    </row>
    <row r="20" spans="1:25">
      <c r="B20" s="234"/>
      <c r="C20" s="251"/>
      <c r="D20" s="234"/>
      <c r="E20" s="234"/>
      <c r="F20" s="234"/>
      <c r="G20" s="114"/>
      <c r="H20" s="427" t="s">
        <v>250</v>
      </c>
      <c r="J20" s="579"/>
      <c r="K20" s="114"/>
      <c r="L20" s="580"/>
      <c r="M20" s="580"/>
      <c r="N20" s="580"/>
      <c r="O20" s="580"/>
      <c r="P20" s="580"/>
      <c r="R20" s="236"/>
      <c r="S20" s="794" t="s">
        <v>1001</v>
      </c>
      <c r="T20" s="795"/>
      <c r="U20" s="795"/>
      <c r="V20" s="795"/>
      <c r="W20" s="795"/>
      <c r="X20" s="795"/>
      <c r="Y20" s="795"/>
    </row>
    <row r="21" spans="1:25" s="204" customFormat="1" ht="25">
      <c r="A21" s="244"/>
      <c r="B21" s="252"/>
      <c r="C21" s="793" t="s">
        <v>1003</v>
      </c>
      <c r="D21" s="793"/>
      <c r="E21" s="793"/>
      <c r="F21" s="234"/>
      <c r="G21" s="234"/>
      <c r="H21" s="234"/>
      <c r="I21" s="236"/>
      <c r="J21" s="580"/>
      <c r="K21" s="793" t="s">
        <v>268</v>
      </c>
      <c r="L21" s="793"/>
      <c r="M21" s="793"/>
      <c r="N21" s="580"/>
      <c r="O21" s="580"/>
      <c r="P21" s="580"/>
      <c r="Q21" s="244"/>
      <c r="R21" s="236"/>
      <c r="S21" s="795"/>
      <c r="T21" s="795"/>
      <c r="U21" s="795"/>
      <c r="V21" s="795"/>
      <c r="W21" s="795"/>
      <c r="X21" s="795"/>
      <c r="Y21" s="795"/>
    </row>
    <row r="22" spans="1:25" ht="33.5" customHeight="1">
      <c r="B22" s="234"/>
      <c r="C22" s="114"/>
      <c r="D22" s="277" t="s">
        <v>254</v>
      </c>
      <c r="E22" s="277" t="s">
        <v>255</v>
      </c>
      <c r="F22" s="429" t="s">
        <v>300</v>
      </c>
      <c r="G22" s="277" t="s">
        <v>178</v>
      </c>
      <c r="H22" s="429" t="s">
        <v>299</v>
      </c>
      <c r="J22" s="580"/>
      <c r="K22" s="796" t="s">
        <v>986</v>
      </c>
      <c r="L22" s="796"/>
      <c r="M22" s="796"/>
      <c r="N22" s="796"/>
      <c r="O22" s="796"/>
      <c r="P22" s="580"/>
      <c r="R22" s="236"/>
      <c r="S22" s="795"/>
      <c r="T22" s="795"/>
      <c r="U22" s="795"/>
      <c r="V22" s="795"/>
      <c r="W22" s="795"/>
      <c r="X22" s="795"/>
      <c r="Y22" s="795"/>
    </row>
    <row r="23" spans="1:25" ht="19.25" customHeight="1">
      <c r="B23" s="234"/>
      <c r="C23" s="207" t="s">
        <v>98</v>
      </c>
      <c r="D23" s="317">
        <f>-SUMIFS('Jounal entries final'!$H:$H,'Jounal entries final'!$E:$E,'P&amp;L Page'!C23,'Jounal entries final'!$B:$B,'P&amp;L Page'!$E$16,'Jounal entries final'!$C:$C,'P&amp;L Page'!$F$16)</f>
        <v>11353191</v>
      </c>
      <c r="E23" s="317">
        <f>-SUMIFS('Jounal entries final'!$H:$H,'Jounal entries final'!$E:$E,'P&amp;L Page'!C23,'Jounal entries final'!$B:$B,'P&amp;L Page'!$E$16-1,'Jounal entries final'!$C:$C,'P&amp;L Page'!$F$16)</f>
        <v>11487586</v>
      </c>
      <c r="F23" s="322">
        <f>(D23-E23)/E23</f>
        <v>-1.1699150718001153E-2</v>
      </c>
      <c r="G23" s="431">
        <f>HLOOKUP($E$16,'P&amp;L Budget'!$D$16:$P$38,8,0)</f>
        <v>11224834</v>
      </c>
      <c r="H23" s="322">
        <f>(D23-G23)/G23</f>
        <v>1.1435091155913754E-2</v>
      </c>
      <c r="J23" s="580"/>
      <c r="K23" s="796"/>
      <c r="L23" s="796"/>
      <c r="M23" s="796"/>
      <c r="N23" s="796"/>
      <c r="O23" s="796"/>
      <c r="P23" s="580"/>
      <c r="R23" s="236"/>
      <c r="S23" s="795"/>
      <c r="T23" s="795"/>
      <c r="U23" s="795"/>
      <c r="V23" s="795"/>
      <c r="W23" s="795"/>
      <c r="X23" s="795"/>
      <c r="Y23" s="795"/>
    </row>
    <row r="24" spans="1:25" ht="19.25" customHeight="1">
      <c r="B24" s="234"/>
      <c r="C24" s="207" t="s">
        <v>143</v>
      </c>
      <c r="D24" s="317">
        <f>SUMIFS('Jounal entries final'!$H:$H,'Jounal entries final'!$E:$E,'P&amp;L Page'!C24,'Jounal entries final'!$B:$B,'P&amp;L Page'!$E$16,'Jounal entries final'!$C:$C,'P&amp;L Page'!$F$16)</f>
        <v>8357251.3279999997</v>
      </c>
      <c r="E24" s="317">
        <f>SUMIFS('Jounal entries final'!$H:$H,'Jounal entries final'!$E:$E,'P&amp;L Page'!C24,'Jounal entries final'!$B:$B,'P&amp;L Page'!$E$16-1,'Jounal entries final'!$C:$C,'P&amp;L Page'!$F$16)</f>
        <v>8197676.7179999994</v>
      </c>
      <c r="F24" s="322">
        <f>(D24-E24)/E24</f>
        <v>1.9465833490312608E-2</v>
      </c>
      <c r="G24" s="431">
        <f>HLOOKUP($E$16,'P&amp;L Budget'!$D$16:$P$38,9,0)</f>
        <v>8396816</v>
      </c>
      <c r="H24" s="322">
        <f>(D24-G24)/G24</f>
        <v>-4.711866021596788E-3</v>
      </c>
      <c r="J24" s="580"/>
      <c r="K24" s="633" t="str">
        <f>HLOOKUP(E16,Sheet16!B4:M6,3,0)</f>
        <v>October’s results suggest a potential downward trend in both revenue and profitability. While the business remains profitable, cost pressures are rising, and revenue stability remains an issue. A focus on controlling COGS and improving pricing strategies is crucial moving forward.</v>
      </c>
      <c r="L24" s="114"/>
      <c r="M24" s="114"/>
      <c r="N24" s="114"/>
      <c r="O24" s="114"/>
      <c r="P24" s="580"/>
      <c r="R24" s="236"/>
      <c r="S24" s="795"/>
      <c r="T24" s="795"/>
      <c r="U24" s="795"/>
      <c r="V24" s="795"/>
      <c r="W24" s="795"/>
      <c r="X24" s="795"/>
      <c r="Y24" s="795"/>
    </row>
    <row r="25" spans="1:25" ht="19">
      <c r="B25" s="234"/>
      <c r="C25" s="207"/>
      <c r="D25" s="318"/>
      <c r="E25" s="304"/>
      <c r="F25" s="323"/>
      <c r="G25" s="431"/>
      <c r="H25" s="635"/>
      <c r="J25" s="580"/>
      <c r="K25" s="580"/>
      <c r="L25" s="580"/>
      <c r="M25" s="580"/>
      <c r="N25" s="580"/>
      <c r="O25" s="580"/>
      <c r="P25" s="580"/>
      <c r="R25" s="236"/>
      <c r="S25" s="795"/>
      <c r="T25" s="795"/>
      <c r="U25" s="795"/>
      <c r="V25" s="795"/>
      <c r="W25" s="795"/>
      <c r="X25" s="795"/>
      <c r="Y25" s="795"/>
    </row>
    <row r="26" spans="1:25" ht="18">
      <c r="B26" s="234"/>
      <c r="C26" s="424" t="s">
        <v>181</v>
      </c>
      <c r="D26" s="425">
        <f>+D23-D24</f>
        <v>2995939.6720000003</v>
      </c>
      <c r="E26" s="425">
        <f>+E23-E24</f>
        <v>3289909.2820000006</v>
      </c>
      <c r="F26" s="426">
        <f>(D26-E26)/E26</f>
        <v>-8.9354928905909042E-2</v>
      </c>
      <c r="G26" s="425">
        <f>+G23-G24</f>
        <v>2828018</v>
      </c>
      <c r="H26" s="426">
        <f>(D26-G26)/G26</f>
        <v>5.9377865345977381E-2</v>
      </c>
      <c r="J26" s="580"/>
      <c r="K26" s="580"/>
      <c r="L26" s="580"/>
      <c r="M26" s="580"/>
      <c r="N26" s="580"/>
      <c r="O26" s="580"/>
      <c r="P26" s="580"/>
      <c r="R26" s="236"/>
      <c r="S26" s="795"/>
      <c r="T26" s="795"/>
      <c r="U26" s="795"/>
      <c r="V26" s="795"/>
      <c r="W26" s="795"/>
      <c r="X26" s="795"/>
      <c r="Y26" s="795"/>
    </row>
    <row r="27" spans="1:25" ht="18">
      <c r="B27" s="114"/>
      <c r="C27" s="207"/>
      <c r="D27" s="423">
        <f>D26/D23</f>
        <v>0.26388525234887711</v>
      </c>
      <c r="E27" s="423">
        <f>E26/E23</f>
        <v>0.28638821785534407</v>
      </c>
      <c r="F27" s="322"/>
      <c r="G27" s="432">
        <f>G26/G23</f>
        <v>0.25194296859980292</v>
      </c>
      <c r="H27" s="322"/>
      <c r="J27" s="580"/>
      <c r="K27" s="580"/>
      <c r="L27" s="580"/>
      <c r="M27" s="580"/>
      <c r="N27" s="580"/>
      <c r="O27" s="580"/>
      <c r="P27" s="580"/>
      <c r="R27" s="236"/>
      <c r="S27" s="795"/>
      <c r="T27" s="795"/>
      <c r="U27" s="795"/>
      <c r="V27" s="795"/>
      <c r="W27" s="795"/>
      <c r="X27" s="795"/>
      <c r="Y27" s="795"/>
    </row>
    <row r="28" spans="1:25" ht="18">
      <c r="B28" s="114"/>
      <c r="C28" s="118"/>
      <c r="D28" s="320"/>
      <c r="E28" s="304"/>
      <c r="F28" s="323"/>
      <c r="G28" s="431"/>
      <c r="H28" s="635"/>
      <c r="J28" s="580"/>
      <c r="K28" s="580"/>
      <c r="L28" s="580"/>
      <c r="M28" s="580"/>
      <c r="N28" s="580"/>
      <c r="O28" s="580"/>
      <c r="P28" s="580"/>
      <c r="R28" s="236"/>
      <c r="S28" s="795"/>
      <c r="T28" s="795"/>
      <c r="U28" s="795"/>
      <c r="V28" s="795"/>
      <c r="W28" s="795"/>
      <c r="X28" s="795"/>
      <c r="Y28" s="795"/>
    </row>
    <row r="29" spans="1:25" ht="18" customHeight="1">
      <c r="B29" s="234"/>
      <c r="C29" s="207" t="s">
        <v>157</v>
      </c>
      <c r="D29" s="317">
        <f>SUMIFS('Jounal entries final'!$H:$H,'Jounal entries final'!$E:$E,'P&amp;L Page'!C29,'Jounal entries final'!$B:$B,'P&amp;L Page'!$E$16,'Jounal entries final'!$C:$C,'P&amp;L Page'!$F$16)</f>
        <v>1071231</v>
      </c>
      <c r="E29" s="317">
        <f>SUMIFS('Jounal entries final'!$H:$H,'Jounal entries final'!$E:$E,'P&amp;L Page'!C29,'Jounal entries final'!$B:$B,'P&amp;L Page'!$E$16-1,'Jounal entries final'!$C:$C,'P&amp;L Page'!$F$16)</f>
        <v>926975</v>
      </c>
      <c r="F29" s="322">
        <f>(D29-E29)/E29</f>
        <v>0.15562016235605058</v>
      </c>
      <c r="G29" s="431">
        <f>HLOOKUP($E$16,'P&amp;L Budget'!$D$16:$P$38,14,0)</f>
        <v>1071231</v>
      </c>
      <c r="H29" s="322">
        <f>(D29-G29)/G29</f>
        <v>0</v>
      </c>
      <c r="J29" s="580"/>
      <c r="K29" s="796" t="s">
        <v>987</v>
      </c>
      <c r="L29" s="796"/>
      <c r="M29" s="796"/>
      <c r="N29" s="634"/>
      <c r="O29" s="634"/>
      <c r="P29" s="580"/>
      <c r="R29" s="236"/>
      <c r="S29" s="795"/>
      <c r="T29" s="795"/>
      <c r="U29" s="795"/>
      <c r="V29" s="795"/>
      <c r="W29" s="795"/>
      <c r="X29" s="795"/>
      <c r="Y29" s="795"/>
    </row>
    <row r="30" spans="1:25" ht="22">
      <c r="B30" s="252"/>
      <c r="C30" s="207" t="s">
        <v>154</v>
      </c>
      <c r="D30" s="317">
        <f>SUMIFS('Jounal entries final'!$H:$H,'Jounal entries final'!$E:$E,'P&amp;L Page'!C30,'Jounal entries final'!$B:$B,'P&amp;L Page'!$E$16,'Jounal entries final'!$C:$C,'P&amp;L Page'!$F$16)</f>
        <v>789096</v>
      </c>
      <c r="E30" s="317">
        <f>SUMIFS('Jounal entries final'!$H:$H,'Jounal entries final'!$E:$E,'P&amp;L Page'!C30,'Jounal entries final'!$B:$B,'P&amp;L Page'!$E$16-1,'Jounal entries final'!$C:$C,'P&amp;L Page'!$F$16)</f>
        <v>776615</v>
      </c>
      <c r="F30" s="322">
        <f>(D30-E30)/E30</f>
        <v>1.6071026184145298E-2</v>
      </c>
      <c r="G30" s="431">
        <f>HLOOKUP($E$16,'P&amp;L Budget'!$D$16:$P$38,15,0)</f>
        <v>789096</v>
      </c>
      <c r="H30" s="322">
        <f>(D30-G30)/G30</f>
        <v>0</v>
      </c>
      <c r="J30" s="580"/>
      <c r="K30" s="634"/>
      <c r="L30" s="634"/>
      <c r="M30" s="634"/>
      <c r="N30" s="634"/>
      <c r="O30" s="634"/>
      <c r="P30" s="580"/>
      <c r="R30" s="236"/>
      <c r="S30" s="795"/>
      <c r="T30" s="795"/>
      <c r="U30" s="795"/>
      <c r="V30" s="795"/>
      <c r="W30" s="795"/>
      <c r="X30" s="795"/>
      <c r="Y30" s="795"/>
    </row>
    <row r="31" spans="1:25" ht="18">
      <c r="B31" s="234"/>
      <c r="C31" s="207" t="s">
        <v>155</v>
      </c>
      <c r="D31" s="317">
        <f>SUMIFS('Jounal entries final'!$H:$H,'Jounal entries final'!$E:$E,'P&amp;L Page'!C31,'Jounal entries final'!$B:$B,'P&amp;L Page'!$E$16,'Jounal entries final'!$C:$C,'P&amp;L Page'!$F$16)</f>
        <v>796762</v>
      </c>
      <c r="E31" s="317">
        <f>SUMIFS('Jounal entries final'!$H:$H,'Jounal entries final'!$E:$E,'P&amp;L Page'!C31,'Jounal entries final'!$B:$B,'P&amp;L Page'!$E$16-1,'Jounal entries final'!$C:$C,'P&amp;L Page'!$F$16)</f>
        <v>789374</v>
      </c>
      <c r="F31" s="322">
        <f>(D31-E31)/E31</f>
        <v>9.3593151028536544E-3</v>
      </c>
      <c r="G31" s="431">
        <f>HLOOKUP($E$16,'P&amp;L Budget'!$D$16:$P$38,16,0)</f>
        <v>796762</v>
      </c>
      <c r="H31" s="322">
        <f>(D31-G31)/G31</f>
        <v>0</v>
      </c>
      <c r="J31" s="580"/>
      <c r="K31" s="794" t="str">
        <f>HLOOKUP(E16,Sheet16!B4:M6,2,0)</f>
        <v>Revenue: Slight decline to $11,353K (-1% from September), showing continued volatility. Price Effect: Negative impact of -$106.91K, indicating slight downward pressure on prices. Volume Effect: Minimal negative volume impact of -$27.49K, suggesting stable but slightly declining sales volume.
COGS: Increased to $8,357K, pushing the gross margin down to 26%. This is a concern as the margin compression could further impact profitability.
Operating Expenses: Personnel costs increased slightly to $1,071K, adding to the overall cost burden.
EBITDA: Positive but low at $339K, showing that profitability is under strain.
Net Result: Net income of $328K is positive but reflects a weakening financial position.</v>
      </c>
      <c r="L31" s="794"/>
      <c r="M31" s="794"/>
      <c r="N31" s="794"/>
      <c r="O31" s="794"/>
      <c r="P31" s="580"/>
      <c r="R31" s="236"/>
      <c r="S31" s="795"/>
      <c r="T31" s="795"/>
      <c r="U31" s="795"/>
      <c r="V31" s="795"/>
      <c r="W31" s="795"/>
      <c r="X31" s="795"/>
      <c r="Y31" s="795"/>
    </row>
    <row r="32" spans="1:25" ht="18">
      <c r="B32" s="234"/>
      <c r="C32" s="207"/>
      <c r="D32" s="317"/>
      <c r="E32" s="304"/>
      <c r="F32" s="323"/>
      <c r="G32" s="431"/>
      <c r="H32" s="635"/>
      <c r="J32" s="580"/>
      <c r="K32" s="114"/>
      <c r="L32" s="114"/>
      <c r="M32" s="114"/>
      <c r="N32" s="114"/>
      <c r="O32" s="114"/>
      <c r="P32" s="580"/>
      <c r="R32" s="236"/>
      <c r="S32" s="795"/>
      <c r="T32" s="795"/>
      <c r="U32" s="795"/>
      <c r="V32" s="795"/>
      <c r="W32" s="795"/>
      <c r="X32" s="795"/>
      <c r="Y32" s="795"/>
    </row>
    <row r="33" spans="2:25" ht="18">
      <c r="B33" s="234"/>
      <c r="C33" s="424" t="s">
        <v>182</v>
      </c>
      <c r="D33" s="425">
        <f>+D26-SUM(D29:D31)</f>
        <v>338850.67200000025</v>
      </c>
      <c r="E33" s="425">
        <f>+E26-SUM(E29:E31)</f>
        <v>796945.28200000059</v>
      </c>
      <c r="F33" s="426">
        <f>(D33-E33)/E33</f>
        <v>-0.57481312750904767</v>
      </c>
      <c r="G33" s="425">
        <f>+G26-SUM(G29:G31)</f>
        <v>170929</v>
      </c>
      <c r="H33" s="426">
        <f>(D33-G33)/G33</f>
        <v>0.98240598143088798</v>
      </c>
      <c r="J33" s="580"/>
      <c r="K33" s="580"/>
      <c r="L33" s="580"/>
      <c r="M33" s="580"/>
      <c r="N33" s="580"/>
      <c r="O33" s="580"/>
      <c r="P33" s="580"/>
      <c r="R33" s="236"/>
      <c r="S33" s="795"/>
      <c r="T33" s="795"/>
      <c r="U33" s="795"/>
      <c r="V33" s="795"/>
      <c r="W33" s="795"/>
      <c r="X33" s="795"/>
      <c r="Y33" s="795"/>
    </row>
    <row r="34" spans="2:25" ht="18">
      <c r="B34" s="234"/>
      <c r="C34" s="207"/>
      <c r="D34" s="317"/>
      <c r="E34" s="304"/>
      <c r="F34" s="323"/>
      <c r="G34" s="431"/>
      <c r="H34" s="635"/>
      <c r="J34" s="580"/>
      <c r="K34" s="580"/>
      <c r="L34" s="580"/>
      <c r="M34" s="580"/>
      <c r="N34" s="580"/>
      <c r="O34" s="580"/>
      <c r="P34" s="580"/>
      <c r="R34" s="236"/>
      <c r="S34" s="795"/>
      <c r="T34" s="795"/>
      <c r="U34" s="795"/>
      <c r="V34" s="795"/>
      <c r="W34" s="795"/>
      <c r="X34" s="795"/>
      <c r="Y34" s="795"/>
    </row>
    <row r="35" spans="2:25" ht="18">
      <c r="B35" s="234"/>
      <c r="C35" s="207" t="s">
        <v>158</v>
      </c>
      <c r="D35" s="317">
        <f>-SUMIFS('Jounal entries final'!$H:$H,'Jounal entries final'!$E:$E,'P&amp;L Page'!C35,'Jounal entries final'!$B:$B,'P&amp;L Page'!$E$16,'Jounal entries final'!$C:$C,'P&amp;L Page'!$F$16)</f>
        <v>1205676</v>
      </c>
      <c r="E35" s="317">
        <f>-SUMIFS('Jounal entries final'!$H:$H,'Jounal entries final'!$E:$E,'P&amp;L Page'!C35,'Jounal entries final'!$B:$B,'P&amp;L Page'!$E$16-1,'Jounal entries final'!$C:$C,'P&amp;L Page'!$F$16)</f>
        <v>1232767</v>
      </c>
      <c r="F35" s="322">
        <f>(D35-E35)/E35</f>
        <v>-2.1975766710173129E-2</v>
      </c>
      <c r="G35" s="431">
        <f>HLOOKUP($E$16,'P&amp;L Budget'!$D$16:$P$38,20,0)</f>
        <v>1205676</v>
      </c>
      <c r="H35" s="322">
        <f>(D35-G35)/G35</f>
        <v>0</v>
      </c>
      <c r="J35" s="580"/>
      <c r="K35" s="580"/>
      <c r="L35" s="580"/>
      <c r="M35" s="580"/>
      <c r="N35" s="580"/>
      <c r="O35" s="580"/>
      <c r="P35" s="580"/>
      <c r="R35" s="236"/>
      <c r="S35" s="795"/>
      <c r="T35" s="795"/>
      <c r="U35" s="795"/>
      <c r="V35" s="795"/>
      <c r="W35" s="795"/>
      <c r="X35" s="795"/>
      <c r="Y35" s="795"/>
    </row>
    <row r="36" spans="2:25" ht="18">
      <c r="B36" s="114"/>
      <c r="C36" s="207" t="s">
        <v>159</v>
      </c>
      <c r="D36" s="317">
        <f>SUMIFS('Jounal entries final'!$H:$H,'Jounal entries final'!$E:$E,'P&amp;L Page'!C36,'Jounal entries final'!$B:$B,'P&amp;L Page'!$E$16,'Jounal entries final'!$C:$C,'P&amp;L Page'!$F$16)</f>
        <v>1216045</v>
      </c>
      <c r="E36" s="317">
        <f>SUMIFS('Jounal entries final'!$H:$H,'Jounal entries final'!$E:$E,'P&amp;L Page'!C36,'Jounal entries final'!$B:$B,'P&amp;L Page'!$E$16-1,'Jounal entries final'!$C:$C,'P&amp;L Page'!$F$16)</f>
        <v>1223081</v>
      </c>
      <c r="F36" s="322">
        <f>(D36-E36)/E36</f>
        <v>-5.7526852268983001E-3</v>
      </c>
      <c r="G36" s="431">
        <f>HLOOKUP($E$16,'P&amp;L Budget'!$D$16:$P$38,21,0)</f>
        <v>1216045</v>
      </c>
      <c r="H36" s="322">
        <f>(D36-G36)/G36</f>
        <v>0</v>
      </c>
      <c r="J36" s="580"/>
      <c r="K36" s="580"/>
      <c r="L36" s="580"/>
      <c r="M36" s="580"/>
      <c r="N36" s="580"/>
      <c r="O36" s="580"/>
      <c r="P36" s="580"/>
      <c r="R36" s="236"/>
      <c r="S36" s="795"/>
      <c r="T36" s="795"/>
      <c r="U36" s="795"/>
      <c r="V36" s="795"/>
      <c r="W36" s="795"/>
      <c r="X36" s="795"/>
      <c r="Y36" s="795"/>
    </row>
    <row r="37" spans="2:25" ht="19">
      <c r="B37" s="114"/>
      <c r="C37" s="207"/>
      <c r="D37" s="317"/>
      <c r="E37" s="209"/>
      <c r="F37" s="324"/>
      <c r="G37" s="433"/>
      <c r="H37" s="636"/>
      <c r="J37" s="580"/>
      <c r="K37" s="580"/>
      <c r="L37" s="580"/>
      <c r="M37" s="580"/>
      <c r="N37" s="580"/>
      <c r="O37" s="580"/>
      <c r="P37" s="580"/>
      <c r="R37" s="236"/>
      <c r="S37" s="795"/>
      <c r="T37" s="795"/>
      <c r="U37" s="795"/>
      <c r="V37" s="795"/>
      <c r="W37" s="795"/>
      <c r="X37" s="795"/>
      <c r="Y37" s="795"/>
    </row>
    <row r="38" spans="2:25" ht="18">
      <c r="B38" s="234"/>
      <c r="C38" s="424" t="s">
        <v>183</v>
      </c>
      <c r="D38" s="425">
        <f>+D33+D35-D36</f>
        <v>328481.67200000025</v>
      </c>
      <c r="E38" s="425">
        <f>+E33+E35-E36</f>
        <v>806631.28200000059</v>
      </c>
      <c r="F38" s="426">
        <f>(D38-E38)/E38</f>
        <v>-0.5927734525921845</v>
      </c>
      <c r="G38" s="425">
        <f>+G33+G35-G36</f>
        <v>160560</v>
      </c>
      <c r="H38" s="426">
        <f>(D38-G38)/G38</f>
        <v>1.0458499750871963</v>
      </c>
      <c r="J38" s="580"/>
      <c r="K38" s="580"/>
      <c r="L38" s="580"/>
      <c r="M38" s="580"/>
      <c r="N38" s="580"/>
      <c r="O38" s="580"/>
      <c r="P38" s="580"/>
      <c r="R38" s="236"/>
      <c r="S38" s="795"/>
      <c r="T38" s="795"/>
      <c r="U38" s="795"/>
      <c r="V38" s="795"/>
      <c r="W38" s="795"/>
      <c r="X38" s="795"/>
      <c r="Y38" s="795"/>
    </row>
    <row r="39" spans="2:25" ht="22">
      <c r="B39" s="252"/>
      <c r="C39" s="306"/>
      <c r="D39" s="306"/>
      <c r="E39" s="306"/>
      <c r="F39" s="257"/>
      <c r="G39" s="257"/>
      <c r="H39" s="257"/>
      <c r="J39" s="580"/>
      <c r="K39" s="580"/>
      <c r="L39" s="580"/>
      <c r="M39" s="580"/>
      <c r="N39" s="580"/>
      <c r="O39" s="580"/>
      <c r="P39" s="580"/>
      <c r="R39" s="236"/>
      <c r="S39" s="795"/>
      <c r="T39" s="795"/>
      <c r="U39" s="795"/>
      <c r="V39" s="795"/>
      <c r="W39" s="795"/>
      <c r="X39" s="795"/>
      <c r="Y39" s="795"/>
    </row>
    <row r="40" spans="2:25" ht="34" hidden="1">
      <c r="B40" s="293"/>
      <c r="C40" s="289"/>
      <c r="D40" s="289"/>
      <c r="E40" s="289"/>
      <c r="F40" s="293"/>
      <c r="G40" s="296"/>
      <c r="H40" s="293"/>
      <c r="J40" s="293"/>
      <c r="K40" s="781"/>
      <c r="L40" s="782"/>
      <c r="M40" s="782"/>
      <c r="N40" s="782"/>
      <c r="O40" s="782"/>
      <c r="P40" s="293"/>
    </row>
    <row r="41" spans="2:25" ht="19" hidden="1">
      <c r="B41" s="293"/>
      <c r="C41" s="249"/>
      <c r="D41" s="769"/>
      <c r="E41" s="769"/>
      <c r="F41" s="293"/>
      <c r="G41" s="293"/>
      <c r="H41" s="293"/>
      <c r="J41" s="293"/>
      <c r="K41" s="782"/>
      <c r="L41" s="782"/>
      <c r="M41" s="782"/>
      <c r="N41" s="782"/>
      <c r="O41" s="782"/>
      <c r="P41" s="293"/>
    </row>
    <row r="42" spans="2:25" ht="19" hidden="1">
      <c r="B42" s="293"/>
      <c r="C42" s="249"/>
      <c r="D42" s="769"/>
      <c r="E42" s="769"/>
      <c r="F42" s="293"/>
      <c r="G42" s="293"/>
      <c r="H42" s="293"/>
      <c r="J42" s="293"/>
      <c r="K42" s="782"/>
      <c r="L42" s="782"/>
      <c r="M42" s="782"/>
      <c r="N42" s="782"/>
      <c r="O42" s="782"/>
      <c r="P42" s="293"/>
    </row>
    <row r="43" spans="2:25" ht="19" hidden="1">
      <c r="B43" s="293"/>
      <c r="C43" s="249"/>
      <c r="D43" s="749"/>
      <c r="E43" s="749"/>
      <c r="F43" s="750"/>
      <c r="G43" s="750"/>
      <c r="H43" s="293"/>
      <c r="J43" s="293"/>
      <c r="K43" s="249"/>
      <c r="L43" s="749"/>
      <c r="M43" s="749"/>
      <c r="N43" s="750"/>
      <c r="O43" s="750"/>
      <c r="P43" s="293"/>
    </row>
    <row r="44" spans="2:25" ht="19" hidden="1">
      <c r="B44" s="293"/>
      <c r="C44" s="246"/>
      <c r="D44" s="247"/>
      <c r="E44" s="248"/>
      <c r="F44" s="293"/>
      <c r="G44" s="293"/>
      <c r="H44" s="293"/>
      <c r="J44" s="293"/>
      <c r="K44" s="246"/>
      <c r="L44" s="247"/>
      <c r="M44" s="248"/>
      <c r="N44" s="293"/>
      <c r="O44" s="293"/>
      <c r="P44" s="293"/>
    </row>
    <row r="47" spans="2:25" ht="18" hidden="1" customHeight="1">
      <c r="B47" s="293"/>
      <c r="C47" s="294"/>
      <c r="D47" s="293"/>
      <c r="E47" s="293"/>
      <c r="F47" s="293"/>
      <c r="G47" s="752"/>
      <c r="H47" s="752"/>
      <c r="J47" s="293"/>
      <c r="K47" s="294"/>
      <c r="L47" s="293"/>
      <c r="M47" s="293"/>
      <c r="N47" s="293"/>
      <c r="O47" s="752"/>
      <c r="P47" s="752"/>
    </row>
    <row r="48" spans="2:25" ht="22" hidden="1">
      <c r="B48" s="295"/>
      <c r="C48" s="737"/>
      <c r="D48" s="737"/>
      <c r="E48" s="737"/>
      <c r="F48" s="293"/>
      <c r="G48" s="293"/>
      <c r="H48" s="293"/>
      <c r="J48" s="295"/>
      <c r="K48" s="737"/>
      <c r="L48" s="737"/>
      <c r="M48" s="737"/>
      <c r="N48" s="293"/>
      <c r="O48" s="293"/>
      <c r="P48" s="293"/>
    </row>
    <row r="49" spans="2:16" ht="34" hidden="1">
      <c r="B49" s="293"/>
      <c r="C49" s="290"/>
      <c r="D49" s="291"/>
      <c r="E49" s="289"/>
      <c r="F49" s="293"/>
      <c r="G49" s="296"/>
      <c r="H49" s="293"/>
      <c r="J49" s="293"/>
      <c r="K49" s="781"/>
      <c r="L49" s="782"/>
      <c r="M49" s="782"/>
      <c r="N49" s="782"/>
      <c r="O49" s="782"/>
      <c r="P49" s="293"/>
    </row>
    <row r="50" spans="2:16" ht="13.25" hidden="1" customHeight="1">
      <c r="B50" s="293"/>
      <c r="C50" s="288"/>
      <c r="D50" s="292"/>
      <c r="E50" s="292"/>
      <c r="F50" s="293"/>
      <c r="G50" s="296"/>
      <c r="H50" s="293"/>
      <c r="J50" s="293"/>
      <c r="K50" s="781"/>
      <c r="L50" s="782"/>
      <c r="M50" s="782"/>
      <c r="N50" s="782"/>
      <c r="O50" s="782"/>
      <c r="P50" s="293"/>
    </row>
    <row r="51" spans="2:16" ht="18" hidden="1">
      <c r="B51" s="293"/>
      <c r="C51" s="249"/>
      <c r="D51" s="297"/>
      <c r="E51" s="297"/>
      <c r="F51" s="249"/>
      <c r="G51" s="298"/>
      <c r="H51" s="293"/>
      <c r="J51" s="293"/>
      <c r="K51" s="782"/>
      <c r="L51" s="782"/>
      <c r="M51" s="782"/>
      <c r="N51" s="782"/>
      <c r="O51" s="782"/>
      <c r="P51" s="293"/>
    </row>
    <row r="52" spans="2:16" ht="18" hidden="1">
      <c r="B52" s="293"/>
      <c r="C52" s="249"/>
      <c r="D52" s="297"/>
      <c r="E52" s="297"/>
      <c r="F52" s="249"/>
      <c r="G52" s="298"/>
      <c r="H52" s="293"/>
      <c r="J52" s="293"/>
      <c r="K52" s="782"/>
      <c r="L52" s="782"/>
      <c r="M52" s="782"/>
      <c r="N52" s="782"/>
      <c r="O52" s="782"/>
      <c r="P52" s="293"/>
    </row>
    <row r="53" spans="2:16" ht="19" hidden="1">
      <c r="B53" s="293"/>
      <c r="C53" s="249"/>
      <c r="D53" s="297"/>
      <c r="E53" s="297"/>
      <c r="F53" s="249"/>
      <c r="G53" s="298"/>
      <c r="H53" s="293"/>
      <c r="J53" s="293"/>
      <c r="K53" s="249"/>
      <c r="L53" s="749"/>
      <c r="M53" s="749"/>
      <c r="N53" s="750"/>
      <c r="O53" s="750"/>
      <c r="P53" s="293"/>
    </row>
    <row r="54" spans="2:16" ht="19" hidden="1">
      <c r="B54" s="293"/>
      <c r="C54" s="246"/>
      <c r="D54" s="247"/>
      <c r="E54" s="248"/>
      <c r="F54" s="293"/>
      <c r="G54" s="293"/>
      <c r="H54" s="293"/>
      <c r="J54" s="293"/>
      <c r="K54" s="246"/>
      <c r="L54" s="247"/>
      <c r="M54" s="248"/>
      <c r="N54" s="293"/>
      <c r="O54" s="293"/>
      <c r="P54" s="293"/>
    </row>
  </sheetData>
  <mergeCells count="20">
    <mergeCell ref="L53:M53"/>
    <mergeCell ref="N53:O53"/>
    <mergeCell ref="S20:Y39"/>
    <mergeCell ref="K21:M21"/>
    <mergeCell ref="K31:O31"/>
    <mergeCell ref="K22:O23"/>
    <mergeCell ref="K29:M29"/>
    <mergeCell ref="G47:H47"/>
    <mergeCell ref="O47:P47"/>
    <mergeCell ref="C48:E48"/>
    <mergeCell ref="K48:M48"/>
    <mergeCell ref="K49:O52"/>
    <mergeCell ref="K40:O42"/>
    <mergeCell ref="D41:E41"/>
    <mergeCell ref="D42:E42"/>
    <mergeCell ref="C21:E21"/>
    <mergeCell ref="D43:E43"/>
    <mergeCell ref="F43:G43"/>
    <mergeCell ref="L43:M43"/>
    <mergeCell ref="N43:O43"/>
  </mergeCells>
  <conditionalFormatting sqref="F23 F26 F33 F35 F38">
    <cfRule type="iconSet" priority="10">
      <iconSet>
        <cfvo type="percent" val="0"/>
        <cfvo type="num" val="0"/>
        <cfvo type="num" val="1.0000000000000001E-18" gte="0"/>
      </iconSet>
    </cfRule>
  </conditionalFormatting>
  <conditionalFormatting sqref="F40:G40">
    <cfRule type="iconSet" priority="14">
      <iconSet iconSet="3Arrows">
        <cfvo type="percent" val="0"/>
        <cfvo type="num" val="0"/>
        <cfvo type="num" val="9.9999999999999995E-8" gte="0"/>
      </iconSet>
    </cfRule>
  </conditionalFormatting>
  <conditionalFormatting sqref="F43:G43">
    <cfRule type="iconSet" priority="13">
      <iconSet iconSet="3Arrows">
        <cfvo type="percent" val="0"/>
        <cfvo type="num" val="0"/>
        <cfvo type="num" val="1E-25" gte="0"/>
      </iconSet>
    </cfRule>
  </conditionalFormatting>
  <conditionalFormatting sqref="F49:G50">
    <cfRule type="iconSet" priority="18">
      <iconSet iconSet="3Arrows">
        <cfvo type="percent" val="0"/>
        <cfvo type="num" val="0"/>
        <cfvo type="num" val="9.9999999999999995E-8" gte="0"/>
      </iconSet>
    </cfRule>
  </conditionalFormatting>
  <conditionalFormatting sqref="G53">
    <cfRule type="iconSet" priority="15">
      <iconSet iconSet="3Flags">
        <cfvo type="percent" val="0"/>
        <cfvo type="num" val="0"/>
        <cfvo type="num" val="1.0000000000000001E-17" gte="0"/>
      </iconSet>
    </cfRule>
  </conditionalFormatting>
  <conditionalFormatting sqref="N43:O43">
    <cfRule type="iconSet" priority="12">
      <iconSet iconSet="3Arrows">
        <cfvo type="percent" val="0"/>
        <cfvo type="num" val="0"/>
        <cfvo type="num" val="1E-25" gte="0"/>
      </iconSet>
    </cfRule>
  </conditionalFormatting>
  <conditionalFormatting sqref="N53:O53">
    <cfRule type="iconSet" priority="17">
      <iconSet iconSet="3Arrows">
        <cfvo type="percent" val="0"/>
        <cfvo type="num" val="0"/>
        <cfvo type="num" val="1E-25" gte="0"/>
      </iconSet>
    </cfRule>
  </conditionalFormatting>
  <conditionalFormatting sqref="F23:F38">
    <cfRule type="iconSet" priority="4">
      <iconSet iconSet="3Arrows">
        <cfvo type="percent" val="0"/>
        <cfvo type="num" val="0"/>
        <cfvo type="num" val="0" gte="0"/>
      </iconSet>
    </cfRule>
  </conditionalFormatting>
  <conditionalFormatting sqref="H23 H26 H33 H35 H38">
    <cfRule type="iconSet" priority="2">
      <iconSet>
        <cfvo type="percent" val="0"/>
        <cfvo type="num" val="0"/>
        <cfvo type="num" val="1.0000000000000001E-18" gte="0"/>
      </iconSet>
    </cfRule>
  </conditionalFormatting>
  <conditionalFormatting sqref="H23:H38">
    <cfRule type="iconSet" priority="1">
      <iconSet iconSet="3Arrows">
        <cfvo type="percent" val="0"/>
        <cfvo type="num" val="0"/>
        <cfvo type="num" val="0" gte="0"/>
      </iconSe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11" id="{06C67C3B-AE7C-4396-B04A-CB225E1B7044}">
            <x14:iconSet custom="1">
              <x14:cfvo type="percent">
                <xm:f>0</xm:f>
              </x14:cfvo>
              <x14:cfvo type="num">
                <xm:f>0</xm:f>
              </x14:cfvo>
              <x14:cfvo type="num" gte="0">
                <xm:f>1.0000000000000001E-18</xm:f>
              </x14:cfvo>
              <x14:cfIcon iconSet="3TrafficLights1" iconId="2"/>
              <x14:cfIcon iconSet="3TrafficLights1" iconId="1"/>
              <x14:cfIcon iconSet="3TrafficLights1" iconId="0"/>
            </x14:iconSet>
          </x14:cfRule>
          <xm:sqref>F24 F29:F31 F36</xm:sqref>
        </x14:conditionalFormatting>
        <x14:conditionalFormatting xmlns:xm="http://schemas.microsoft.com/office/excel/2006/main">
          <x14:cfRule type="iconSet" priority="16" id="{393452ED-DBB8-490D-A798-2D36C5081C61}">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G51:G52</xm:sqref>
        </x14:conditionalFormatting>
        <x14:conditionalFormatting xmlns:xm="http://schemas.microsoft.com/office/excel/2006/main">
          <x14:cfRule type="iconSet" priority="3" id="{3C5D6E07-B52E-40ED-A2B4-A197834709F8}">
            <x14:iconSet custom="1">
              <x14:cfvo type="percent">
                <xm:f>0</xm:f>
              </x14:cfvo>
              <x14:cfvo type="num">
                <xm:f>0</xm:f>
              </x14:cfvo>
              <x14:cfvo type="num" gte="0">
                <xm:f>1.0000000000000001E-18</xm:f>
              </x14:cfvo>
              <x14:cfIcon iconSet="3TrafficLights1" iconId="2"/>
              <x14:cfIcon iconSet="3TrafficLights1" iconId="1"/>
              <x14:cfIcon iconSet="3TrafficLights1" iconId="0"/>
            </x14:iconSet>
          </x14:cfRule>
          <xm:sqref>H24 H29:H31 H36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3423B-6D7B-405A-B757-B0E5ED630805}">
  <sheetPr codeName="Sheet16">
    <tabColor theme="4" tint="0.79998168889431442"/>
  </sheetPr>
  <dimension ref="A1:Q55"/>
  <sheetViews>
    <sheetView showGridLines="0" zoomScale="60" zoomScaleNormal="60" workbookViewId="0"/>
  </sheetViews>
  <sheetFormatPr baseColWidth="10" defaultColWidth="8.83203125" defaultRowHeight="15"/>
  <cols>
    <col min="1" max="1" width="2.83203125" style="236" customWidth="1"/>
    <col min="2" max="2" width="2.1640625" style="236" customWidth="1"/>
    <col min="3" max="3" width="44.83203125" style="243" bestFit="1" customWidth="1"/>
    <col min="4" max="4" width="20.1640625" style="236" bestFit="1" customWidth="1"/>
    <col min="5" max="5" width="16.1640625" style="236" bestFit="1" customWidth="1"/>
    <col min="6" max="6" width="7.33203125" style="236" customWidth="1"/>
    <col min="7" max="7" width="9.5" style="236" bestFit="1" customWidth="1"/>
    <col min="8" max="8" width="1.5" style="236" customWidth="1"/>
    <col min="9" max="9" width="8.83203125" style="236"/>
    <col min="10" max="10" width="2.1640625" style="236" customWidth="1"/>
    <col min="11" max="11" width="44.83203125" style="236" bestFit="1" customWidth="1"/>
    <col min="12" max="12" width="19.1640625" style="236" customWidth="1"/>
    <col min="13" max="13" width="16.1640625" style="236" bestFit="1" customWidth="1"/>
    <col min="14" max="14" width="7.33203125" style="236" customWidth="1"/>
    <col min="15" max="15" width="7.83203125" style="236" bestFit="1" customWidth="1"/>
    <col min="16" max="16" width="1.5" style="236" customWidth="1"/>
    <col min="17" max="17" width="8.83203125" style="236"/>
    <col min="18" max="16384" width="8.83203125" style="114"/>
  </cols>
  <sheetData>
    <row r="1" spans="1:17" s="114" customFormat="1">
      <c r="C1" s="118"/>
    </row>
    <row r="2" spans="1:17" s="114" customFormat="1">
      <c r="C2" s="118"/>
    </row>
    <row r="3" spans="1:17" s="114" customFormat="1">
      <c r="C3" s="118"/>
    </row>
    <row r="4" spans="1:17" s="114" customFormat="1">
      <c r="C4" s="118"/>
    </row>
    <row r="5" spans="1:17" s="114" customFormat="1">
      <c r="C5" s="118"/>
    </row>
    <row r="6" spans="1:17" s="114" customFormat="1">
      <c r="C6" s="118"/>
    </row>
    <row r="7" spans="1:17" s="114" customFormat="1">
      <c r="C7" s="118"/>
    </row>
    <row r="8" spans="1:17" s="114" customFormat="1">
      <c r="C8" s="118"/>
    </row>
    <row r="9" spans="1:17" s="114" customFormat="1">
      <c r="C9" s="118"/>
    </row>
    <row r="10" spans="1:17" s="114" customFormat="1">
      <c r="C10" s="118"/>
    </row>
    <row r="11" spans="1:17" s="114" customFormat="1">
      <c r="C11" s="118"/>
    </row>
    <row r="12" spans="1:17" s="114" customFormat="1">
      <c r="C12" s="118"/>
    </row>
    <row r="13" spans="1:17" s="114" customFormat="1">
      <c r="C13" s="118"/>
    </row>
    <row r="14" spans="1:17" s="114" customFormat="1">
      <c r="C14" s="118"/>
    </row>
    <row r="15" spans="1:17" ht="19">
      <c r="A15" s="114"/>
      <c r="B15" s="114"/>
      <c r="C15" s="118"/>
      <c r="D15" s="147"/>
      <c r="E15" s="147"/>
      <c r="F15" s="147"/>
      <c r="G15" s="114"/>
      <c r="H15" s="114"/>
      <c r="I15" s="114"/>
      <c r="J15" s="114"/>
      <c r="K15" s="114"/>
      <c r="L15" s="280"/>
      <c r="M15" s="280"/>
      <c r="N15" s="280"/>
      <c r="O15" s="280"/>
      <c r="P15" s="114"/>
      <c r="Q15" s="114"/>
    </row>
    <row r="16" spans="1:17" s="114" customFormat="1" ht="16" thickBot="1">
      <c r="J16" s="130"/>
    </row>
    <row r="17" spans="1:17" s="287" customFormat="1" ht="26.5" customHeight="1" thickBot="1">
      <c r="C17" s="643" t="s">
        <v>174</v>
      </c>
      <c r="D17" s="644" t="str">
        <f>+'Dashboard Aifina'!G16</f>
        <v>October</v>
      </c>
      <c r="E17" s="648">
        <f>VLOOKUP('P&amp;L Page YTD'!D17,Reference!$A$2:$B$13,2,0)</f>
        <v>10</v>
      </c>
      <c r="F17" s="649">
        <v>2022</v>
      </c>
    </row>
    <row r="18" spans="1:17">
      <c r="A18" s="114"/>
      <c r="B18" s="114"/>
      <c r="C18" s="118"/>
      <c r="D18" s="114"/>
      <c r="E18" s="114"/>
      <c r="F18" s="114"/>
      <c r="G18" s="114"/>
      <c r="H18" s="114"/>
      <c r="I18" s="114"/>
      <c r="J18" s="114"/>
      <c r="K18" s="114"/>
      <c r="L18" s="114"/>
      <c r="M18" s="114"/>
      <c r="N18" s="114"/>
      <c r="O18" s="114"/>
      <c r="P18" s="114"/>
      <c r="Q18" s="114"/>
    </row>
    <row r="21" spans="1:17">
      <c r="B21" s="234"/>
      <c r="C21" s="251"/>
      <c r="D21" s="234"/>
      <c r="E21" s="234"/>
      <c r="F21" s="234"/>
      <c r="G21" s="762" t="s">
        <v>250</v>
      </c>
      <c r="H21" s="762"/>
      <c r="J21" s="234"/>
      <c r="K21" s="251"/>
      <c r="L21" s="234"/>
      <c r="M21" s="234"/>
      <c r="N21" s="234"/>
      <c r="O21" s="731" t="s">
        <v>250</v>
      </c>
      <c r="P21" s="731"/>
    </row>
    <row r="22" spans="1:17" s="204" customFormat="1" ht="25">
      <c r="A22" s="244"/>
      <c r="B22" s="252"/>
      <c r="C22" s="797" t="s">
        <v>176</v>
      </c>
      <c r="D22" s="797"/>
      <c r="E22" s="797"/>
      <c r="F22" s="234"/>
      <c r="G22" s="234"/>
      <c r="H22" s="234"/>
      <c r="I22" s="244"/>
      <c r="J22" s="252"/>
      <c r="K22" s="766" t="s">
        <v>251</v>
      </c>
      <c r="L22" s="766"/>
      <c r="M22" s="766"/>
      <c r="N22" s="234"/>
      <c r="O22" s="234"/>
      <c r="P22" s="234"/>
      <c r="Q22" s="244"/>
    </row>
    <row r="23" spans="1:17" ht="33.5" customHeight="1">
      <c r="B23" s="234"/>
      <c r="C23" s="114"/>
      <c r="D23" s="303" t="s">
        <v>254</v>
      </c>
      <c r="E23" s="303" t="s">
        <v>255</v>
      </c>
      <c r="F23" s="259"/>
      <c r="G23" s="303" t="s">
        <v>260</v>
      </c>
      <c r="H23" s="259"/>
      <c r="J23" s="234"/>
      <c r="K23" s="309"/>
      <c r="L23" s="310"/>
      <c r="M23" s="310"/>
      <c r="N23" s="310"/>
      <c r="O23" s="310"/>
      <c r="P23" s="234"/>
    </row>
    <row r="24" spans="1:17" ht="18">
      <c r="B24" s="234"/>
      <c r="C24" s="207" t="s">
        <v>98</v>
      </c>
      <c r="D24" s="317">
        <f>HLOOKUP($E$17,'LTM P&amp;L (2)'!$G$3:$S$25,8,0)</f>
        <v>121227538</v>
      </c>
      <c r="E24" s="317">
        <f>HLOOKUP($E$17-1,'LTM P&amp;L (2)'!$G$3:$S$25,8,0)</f>
        <v>109874347</v>
      </c>
      <c r="F24" s="304"/>
      <c r="G24" s="322">
        <f>(D24-E24)/E24</f>
        <v>0.1033288598293103</v>
      </c>
      <c r="H24" s="304"/>
      <c r="J24" s="114"/>
      <c r="K24" s="114"/>
      <c r="L24" s="114"/>
      <c r="M24" s="114"/>
      <c r="N24" s="114"/>
      <c r="O24" s="114"/>
      <c r="P24" s="114"/>
    </row>
    <row r="25" spans="1:17" ht="18">
      <c r="B25" s="234"/>
      <c r="C25" s="207" t="s">
        <v>143</v>
      </c>
      <c r="D25" s="317">
        <f>HLOOKUP($E$17,'LTM P&amp;L (2)'!$G$3:$S$25,9,0)</f>
        <v>90076683.643999994</v>
      </c>
      <c r="E25" s="317">
        <f>HLOOKUP($E$17-1,'LTM P&amp;L (2)'!$G$3:$S$25,9,0)</f>
        <v>81719432.316</v>
      </c>
      <c r="F25" s="304"/>
      <c r="G25" s="322">
        <f>(D25-E25)/E25</f>
        <v>0.10226761360362158</v>
      </c>
      <c r="H25" s="304"/>
      <c r="J25" s="114"/>
      <c r="K25" s="114"/>
      <c r="L25" s="114"/>
      <c r="M25" s="114"/>
      <c r="N25" s="114"/>
      <c r="O25" s="114"/>
      <c r="P25" s="114"/>
    </row>
    <row r="26" spans="1:17" ht="19">
      <c r="B26" s="234"/>
      <c r="C26" s="207"/>
      <c r="D26" s="318"/>
      <c r="E26" s="304"/>
      <c r="F26" s="304"/>
      <c r="G26" s="323"/>
      <c r="H26" s="304"/>
      <c r="J26" s="114"/>
      <c r="K26" s="114"/>
      <c r="L26" s="114"/>
      <c r="M26" s="114"/>
      <c r="N26" s="114"/>
      <c r="O26" s="114"/>
      <c r="P26" s="114"/>
    </row>
    <row r="27" spans="1:17" ht="18">
      <c r="B27" s="234"/>
      <c r="C27" s="315" t="s">
        <v>181</v>
      </c>
      <c r="D27" s="319">
        <f>+D24-D25</f>
        <v>31150854.356000006</v>
      </c>
      <c r="E27" s="319">
        <f>+E24-E25</f>
        <v>28154914.684</v>
      </c>
      <c r="F27" s="254"/>
      <c r="G27" s="322">
        <f>(D27-E27)/E27</f>
        <v>0.10640911917600489</v>
      </c>
      <c r="H27" s="304"/>
      <c r="J27" s="114"/>
      <c r="K27" s="114"/>
      <c r="L27" s="114"/>
      <c r="M27" s="114"/>
      <c r="N27" s="114"/>
      <c r="O27" s="114"/>
      <c r="P27" s="114"/>
    </row>
    <row r="28" spans="1:17" ht="19">
      <c r="B28" s="114"/>
      <c r="C28" s="207"/>
      <c r="D28" s="321">
        <f>D27/D24</f>
        <v>0.25696186584272629</v>
      </c>
      <c r="E28" s="321">
        <f>E27/E24</f>
        <v>0.25624648020888807</v>
      </c>
      <c r="F28" s="304"/>
      <c r="G28" s="322"/>
      <c r="H28" s="304"/>
      <c r="J28" s="114"/>
      <c r="K28" s="398"/>
      <c r="L28" s="114"/>
      <c r="M28" s="114"/>
      <c r="N28" s="114"/>
      <c r="O28" s="114"/>
      <c r="P28" s="114"/>
    </row>
    <row r="29" spans="1:17" ht="18">
      <c r="B29" s="114"/>
      <c r="C29" s="118"/>
      <c r="D29" s="320"/>
      <c r="E29" s="304"/>
      <c r="F29" s="304"/>
      <c r="G29" s="323"/>
      <c r="H29" s="304"/>
      <c r="J29" s="114"/>
      <c r="K29" s="317"/>
      <c r="L29" s="114"/>
      <c r="M29" s="114"/>
      <c r="N29" s="114"/>
      <c r="O29" s="114"/>
      <c r="P29" s="114"/>
    </row>
    <row r="30" spans="1:17" ht="18">
      <c r="B30" s="234"/>
      <c r="C30" s="207" t="s">
        <v>157</v>
      </c>
      <c r="D30" s="317">
        <f>SUMIFS('Jounal entries final'!$H:$H,'Jounal entries final'!$E:$E,'P&amp;L Page YTD'!C30,'Jounal entries final'!$B:$B,'P&amp;L Page YTD'!$E$17,'Jounal entries final'!$C:$C,'P&amp;L Page YTD'!$F$17)</f>
        <v>1071231</v>
      </c>
      <c r="E30" s="317">
        <f>SUMIFS('Jounal entries final'!$H:$H,'Jounal entries final'!$E:$E,'P&amp;L Page YTD'!C30,'Jounal entries final'!$B:$B,'P&amp;L Page YTD'!$E$17-1,'Jounal entries final'!$C:$C,'P&amp;L Page YTD'!$F$17)</f>
        <v>926975</v>
      </c>
      <c r="F30" s="304"/>
      <c r="G30" s="322">
        <f>(D30-E30)/E30</f>
        <v>0.15562016235605058</v>
      </c>
      <c r="H30" s="304"/>
      <c r="J30" s="234"/>
      <c r="K30" s="251"/>
      <c r="L30" s="234"/>
      <c r="M30" s="234"/>
      <c r="N30" s="234"/>
      <c r="O30" s="231"/>
      <c r="P30" s="231"/>
    </row>
    <row r="31" spans="1:17" ht="22">
      <c r="B31" s="252"/>
      <c r="C31" s="207" t="s">
        <v>154</v>
      </c>
      <c r="D31" s="317">
        <f>SUMIFS('Jounal entries final'!$H:$H,'Jounal entries final'!$E:$E,'P&amp;L Page YTD'!C31,'Jounal entries final'!$B:$B,'P&amp;L Page YTD'!$E$17,'Jounal entries final'!$C:$C,'P&amp;L Page YTD'!$F$17)</f>
        <v>789096</v>
      </c>
      <c r="E31" s="317">
        <f>SUMIFS('Jounal entries final'!$H:$H,'Jounal entries final'!$E:$E,'P&amp;L Page YTD'!C31,'Jounal entries final'!$B:$B,'P&amp;L Page YTD'!$E$17-1,'Jounal entries final'!$C:$C,'P&amp;L Page YTD'!$F$17)</f>
        <v>776615</v>
      </c>
      <c r="F31" s="304"/>
      <c r="G31" s="322">
        <f>(D31-E31)/E31</f>
        <v>1.6071026184145298E-2</v>
      </c>
      <c r="H31" s="304"/>
      <c r="J31" s="252"/>
      <c r="K31" s="306"/>
      <c r="L31" s="306"/>
      <c r="M31" s="306"/>
      <c r="N31" s="234"/>
      <c r="O31" s="234"/>
      <c r="P31" s="234"/>
    </row>
    <row r="32" spans="1:17" ht="18">
      <c r="B32" s="234"/>
      <c r="C32" s="207" t="s">
        <v>155</v>
      </c>
      <c r="D32" s="317">
        <f>SUMIFS('Jounal entries final'!$H:$H,'Jounal entries final'!$E:$E,'P&amp;L Page YTD'!C32,'Jounal entries final'!$B:$B,'P&amp;L Page YTD'!$E$17,'Jounal entries final'!$C:$C,'P&amp;L Page YTD'!$F$17)</f>
        <v>796762</v>
      </c>
      <c r="E32" s="317">
        <f>SUMIFS('Jounal entries final'!$H:$H,'Jounal entries final'!$E:$E,'P&amp;L Page YTD'!C32,'Jounal entries final'!$B:$B,'P&amp;L Page YTD'!$E$17-1,'Jounal entries final'!$C:$C,'P&amp;L Page YTD'!$F$17)</f>
        <v>789374</v>
      </c>
      <c r="F32" s="304"/>
      <c r="G32" s="322">
        <f>(D32-E32)/E32</f>
        <v>9.3593151028536544E-3</v>
      </c>
      <c r="H32" s="304"/>
      <c r="J32" s="234"/>
      <c r="K32" s="309"/>
      <c r="L32" s="310"/>
      <c r="M32" s="310"/>
      <c r="N32" s="310"/>
      <c r="O32" s="310"/>
      <c r="P32" s="234"/>
    </row>
    <row r="33" spans="2:16" ht="18">
      <c r="B33" s="234"/>
      <c r="C33" s="207"/>
      <c r="D33" s="317"/>
      <c r="E33" s="304"/>
      <c r="F33" s="304"/>
      <c r="G33" s="323"/>
      <c r="H33" s="304"/>
      <c r="J33" s="234"/>
      <c r="K33" s="310"/>
      <c r="L33" s="310"/>
      <c r="M33" s="310"/>
      <c r="N33" s="310"/>
      <c r="O33" s="310"/>
      <c r="P33" s="234"/>
    </row>
    <row r="34" spans="2:16" ht="18">
      <c r="B34" s="234"/>
      <c r="C34" s="315" t="s">
        <v>182</v>
      </c>
      <c r="D34" s="319">
        <f>+D27-SUM(D30:D32)</f>
        <v>28493765.356000006</v>
      </c>
      <c r="E34" s="319">
        <f>+E27-SUM(E30:E32)</f>
        <v>25661950.684</v>
      </c>
      <c r="F34" s="254"/>
      <c r="G34" s="322">
        <f>(D34-E34)/E34</f>
        <v>0.11035071756121866</v>
      </c>
      <c r="H34" s="304"/>
      <c r="J34" s="234"/>
      <c r="K34" s="310"/>
      <c r="L34" s="310"/>
      <c r="M34" s="310"/>
      <c r="N34" s="310"/>
      <c r="O34" s="310"/>
      <c r="P34" s="234"/>
    </row>
    <row r="35" spans="2:16" ht="19">
      <c r="B35" s="234"/>
      <c r="C35" s="207"/>
      <c r="D35" s="317"/>
      <c r="E35" s="304"/>
      <c r="F35" s="304"/>
      <c r="G35" s="323"/>
      <c r="H35" s="304"/>
      <c r="J35" s="234"/>
      <c r="K35" s="253"/>
      <c r="L35" s="313"/>
      <c r="M35" s="313"/>
      <c r="N35" s="314"/>
      <c r="O35" s="314"/>
      <c r="P35" s="234"/>
    </row>
    <row r="36" spans="2:16" ht="19">
      <c r="B36" s="234"/>
      <c r="C36" s="207" t="s">
        <v>158</v>
      </c>
      <c r="D36" s="317">
        <f>-SUMIFS('Jounal entries final'!$H:$H,'Jounal entries final'!$E:$E,'P&amp;L Page YTD'!C36,'Jounal entries final'!$B:$B,'P&amp;L Page YTD'!$E$17,'Jounal entries final'!$C:$C,'P&amp;L Page YTD'!$F$17)</f>
        <v>1205676</v>
      </c>
      <c r="E36" s="317">
        <f>-SUMIFS('Jounal entries final'!$H:$H,'Jounal entries final'!$E:$E,'P&amp;L Page YTD'!C36,'Jounal entries final'!$B:$B,'P&amp;L Page YTD'!$E$17-1,'Jounal entries final'!$C:$C,'P&amp;L Page YTD'!$F$17)</f>
        <v>1232767</v>
      </c>
      <c r="F36" s="304"/>
      <c r="G36" s="322">
        <f>(D36-E36)/E36</f>
        <v>-2.1975766710173129E-2</v>
      </c>
      <c r="H36" s="304"/>
      <c r="J36" s="234"/>
      <c r="K36" s="255"/>
      <c r="L36" s="256"/>
      <c r="M36" s="257"/>
      <c r="N36" s="234"/>
      <c r="O36" s="234"/>
      <c r="P36" s="234"/>
    </row>
    <row r="37" spans="2:16" ht="19">
      <c r="B37" s="114"/>
      <c r="C37" s="207" t="s">
        <v>159</v>
      </c>
      <c r="D37" s="317">
        <f>SUMIFS('Jounal entries final'!$H:$H,'Jounal entries final'!$E:$E,'P&amp;L Page YTD'!C37,'Jounal entries final'!$B:$B,'P&amp;L Page YTD'!$E$17,'Jounal entries final'!$C:$C,'P&amp;L Page YTD'!$F$17)</f>
        <v>1216045</v>
      </c>
      <c r="E37" s="317">
        <f>SUMIFS('Jounal entries final'!$H:$H,'Jounal entries final'!$E:$E,'P&amp;L Page YTD'!C37,'Jounal entries final'!$B:$B,'P&amp;L Page YTD'!$E$17-1,'Jounal entries final'!$C:$C,'P&amp;L Page YTD'!$F$17)</f>
        <v>1223081</v>
      </c>
      <c r="F37" s="209"/>
      <c r="G37" s="322">
        <f>(D37-E37)/E37</f>
        <v>-5.7526852268983001E-3</v>
      </c>
      <c r="H37" s="209"/>
      <c r="J37" s="234"/>
      <c r="K37" s="310"/>
      <c r="L37" s="310"/>
      <c r="M37" s="310"/>
      <c r="N37" s="310"/>
      <c r="O37" s="310"/>
      <c r="P37" s="234"/>
    </row>
    <row r="38" spans="2:16" ht="19">
      <c r="B38" s="114"/>
      <c r="C38" s="207"/>
      <c r="D38" s="317"/>
      <c r="E38" s="209"/>
      <c r="F38" s="209"/>
      <c r="G38" s="324"/>
      <c r="H38" s="209"/>
      <c r="J38" s="234"/>
      <c r="K38" s="310"/>
      <c r="L38" s="310"/>
      <c r="M38" s="310"/>
      <c r="N38" s="310"/>
      <c r="O38" s="310"/>
      <c r="P38" s="234"/>
    </row>
    <row r="39" spans="2:16" ht="19">
      <c r="B39" s="234"/>
      <c r="C39" s="315" t="s">
        <v>183</v>
      </c>
      <c r="D39" s="319">
        <f>+D34+D36-D37</f>
        <v>28483396.356000006</v>
      </c>
      <c r="E39" s="319">
        <f>+E34+E36-E37</f>
        <v>25671636.684</v>
      </c>
      <c r="F39" s="254"/>
      <c r="G39" s="322">
        <f>(D39-E39)/E39</f>
        <v>0.10952786947754102</v>
      </c>
      <c r="H39" s="305"/>
      <c r="J39" s="234"/>
      <c r="K39" s="254"/>
      <c r="L39" s="307"/>
      <c r="M39" s="307"/>
      <c r="N39" s="308"/>
      <c r="O39" s="308"/>
      <c r="P39" s="234"/>
    </row>
    <row r="40" spans="2:16" ht="22">
      <c r="B40" s="252"/>
      <c r="C40" s="306"/>
      <c r="D40" s="306"/>
      <c r="E40" s="306"/>
      <c r="F40" s="257"/>
      <c r="G40" s="257"/>
      <c r="H40" s="257"/>
      <c r="J40" s="234"/>
      <c r="K40" s="255"/>
      <c r="L40" s="256"/>
      <c r="M40" s="257"/>
      <c r="N40" s="234"/>
      <c r="O40" s="234"/>
      <c r="P40" s="234"/>
    </row>
    <row r="41" spans="2:16" ht="34">
      <c r="B41" s="293"/>
      <c r="C41" s="289"/>
      <c r="D41" s="289"/>
      <c r="E41" s="289"/>
      <c r="F41" s="293"/>
      <c r="G41" s="296"/>
      <c r="H41" s="293"/>
      <c r="J41" s="293"/>
      <c r="K41" s="781"/>
      <c r="L41" s="782"/>
      <c r="M41" s="782"/>
      <c r="N41" s="782"/>
      <c r="O41" s="782"/>
      <c r="P41" s="293"/>
    </row>
    <row r="42" spans="2:16" ht="19">
      <c r="B42" s="293"/>
      <c r="C42" s="249"/>
      <c r="D42" s="769"/>
      <c r="E42" s="769"/>
      <c r="F42" s="293"/>
      <c r="G42" s="293"/>
      <c r="H42" s="293"/>
      <c r="J42" s="293"/>
      <c r="K42" s="782"/>
      <c r="L42" s="782"/>
      <c r="M42" s="782"/>
      <c r="N42" s="782"/>
      <c r="O42" s="782"/>
      <c r="P42" s="293"/>
    </row>
    <row r="43" spans="2:16" ht="19">
      <c r="B43" s="293"/>
      <c r="C43" s="249"/>
      <c r="D43" s="769"/>
      <c r="E43" s="769"/>
      <c r="F43" s="293"/>
      <c r="G43" s="293"/>
      <c r="H43" s="293"/>
      <c r="J43" s="293"/>
      <c r="K43" s="782"/>
      <c r="L43" s="782"/>
      <c r="M43" s="782"/>
      <c r="N43" s="782"/>
      <c r="O43" s="782"/>
      <c r="P43" s="293"/>
    </row>
    <row r="44" spans="2:16" ht="19">
      <c r="B44" s="293"/>
      <c r="C44" s="249"/>
      <c r="D44" s="749"/>
      <c r="E44" s="749"/>
      <c r="F44" s="750"/>
      <c r="G44" s="750"/>
      <c r="H44" s="293"/>
      <c r="J44" s="293"/>
      <c r="K44" s="249"/>
      <c r="L44" s="749"/>
      <c r="M44" s="749"/>
      <c r="N44" s="750"/>
      <c r="O44" s="750"/>
      <c r="P44" s="293"/>
    </row>
    <row r="45" spans="2:16" ht="19">
      <c r="B45" s="293"/>
      <c r="C45" s="246"/>
      <c r="D45" s="247"/>
      <c r="E45" s="248"/>
      <c r="F45" s="293"/>
      <c r="G45" s="293"/>
      <c r="H45" s="293"/>
      <c r="J45" s="293"/>
      <c r="K45" s="246"/>
      <c r="L45" s="247"/>
      <c r="M45" s="248"/>
      <c r="N45" s="293"/>
      <c r="O45" s="293"/>
      <c r="P45" s="293"/>
    </row>
    <row r="48" spans="2:16" ht="18" customHeight="1">
      <c r="B48" s="293"/>
      <c r="C48" s="294"/>
      <c r="D48" s="293"/>
      <c r="E48" s="293"/>
      <c r="F48" s="293"/>
      <c r="G48" s="752"/>
      <c r="H48" s="752"/>
      <c r="J48" s="293"/>
      <c r="K48" s="294"/>
      <c r="L48" s="293"/>
      <c r="M48" s="293"/>
      <c r="N48" s="293"/>
      <c r="O48" s="752"/>
      <c r="P48" s="752"/>
    </row>
    <row r="49" spans="2:16" ht="22">
      <c r="B49" s="295"/>
      <c r="C49" s="737"/>
      <c r="D49" s="737"/>
      <c r="E49" s="737"/>
      <c r="F49" s="293"/>
      <c r="G49" s="293"/>
      <c r="H49" s="293"/>
      <c r="J49" s="295"/>
      <c r="K49" s="737"/>
      <c r="L49" s="737"/>
      <c r="M49" s="737"/>
      <c r="N49" s="293"/>
      <c r="O49" s="293"/>
      <c r="P49" s="293"/>
    </row>
    <row r="50" spans="2:16" ht="34">
      <c r="B50" s="293"/>
      <c r="C50" s="290"/>
      <c r="D50" s="291"/>
      <c r="E50" s="289"/>
      <c r="F50" s="293"/>
      <c r="G50" s="296"/>
      <c r="H50" s="293"/>
      <c r="J50" s="293"/>
      <c r="K50" s="781"/>
      <c r="L50" s="782"/>
      <c r="M50" s="782"/>
      <c r="N50" s="782"/>
      <c r="O50" s="782"/>
      <c r="P50" s="293"/>
    </row>
    <row r="51" spans="2:16" ht="13.25" customHeight="1">
      <c r="B51" s="293"/>
      <c r="C51" s="288"/>
      <c r="D51" s="292"/>
      <c r="E51" s="292"/>
      <c r="F51" s="293"/>
      <c r="G51" s="296"/>
      <c r="H51" s="293"/>
      <c r="J51" s="293"/>
      <c r="K51" s="781"/>
      <c r="L51" s="782"/>
      <c r="M51" s="782"/>
      <c r="N51" s="782"/>
      <c r="O51" s="782"/>
      <c r="P51" s="293"/>
    </row>
    <row r="52" spans="2:16" ht="18">
      <c r="B52" s="293"/>
      <c r="C52" s="249"/>
      <c r="D52" s="297"/>
      <c r="E52" s="297"/>
      <c r="F52" s="249"/>
      <c r="G52" s="298"/>
      <c r="H52" s="293"/>
      <c r="J52" s="293"/>
      <c r="K52" s="782"/>
      <c r="L52" s="782"/>
      <c r="M52" s="782"/>
      <c r="N52" s="782"/>
      <c r="O52" s="782"/>
      <c r="P52" s="293"/>
    </row>
    <row r="53" spans="2:16" ht="18">
      <c r="B53" s="293"/>
      <c r="C53" s="249"/>
      <c r="D53" s="297"/>
      <c r="E53" s="297"/>
      <c r="F53" s="249"/>
      <c r="G53" s="298"/>
      <c r="H53" s="293"/>
      <c r="J53" s="293"/>
      <c r="K53" s="782"/>
      <c r="L53" s="782"/>
      <c r="M53" s="782"/>
      <c r="N53" s="782"/>
      <c r="O53" s="782"/>
      <c r="P53" s="293"/>
    </row>
    <row r="54" spans="2:16" ht="19">
      <c r="B54" s="293"/>
      <c r="C54" s="249"/>
      <c r="D54" s="297"/>
      <c r="E54" s="297"/>
      <c r="F54" s="249"/>
      <c r="G54" s="298"/>
      <c r="H54" s="293"/>
      <c r="J54" s="293"/>
      <c r="K54" s="249"/>
      <c r="L54" s="749"/>
      <c r="M54" s="749"/>
      <c r="N54" s="750"/>
      <c r="O54" s="750"/>
      <c r="P54" s="293"/>
    </row>
    <row r="55" spans="2:16" ht="19">
      <c r="B55" s="293"/>
      <c r="C55" s="246"/>
      <c r="D55" s="247"/>
      <c r="E55" s="248"/>
      <c r="F55" s="293"/>
      <c r="G55" s="293"/>
      <c r="H55" s="293"/>
      <c r="J55" s="293"/>
      <c r="K55" s="246"/>
      <c r="L55" s="247"/>
      <c r="M55" s="248"/>
      <c r="N55" s="293"/>
      <c r="O55" s="293"/>
      <c r="P55" s="293"/>
    </row>
  </sheetData>
  <mergeCells count="18">
    <mergeCell ref="G21:H21"/>
    <mergeCell ref="O21:P21"/>
    <mergeCell ref="C22:E22"/>
    <mergeCell ref="K22:M22"/>
    <mergeCell ref="K41:O43"/>
    <mergeCell ref="D42:E42"/>
    <mergeCell ref="D43:E43"/>
    <mergeCell ref="D44:E44"/>
    <mergeCell ref="F44:G44"/>
    <mergeCell ref="L44:M44"/>
    <mergeCell ref="N44:O44"/>
    <mergeCell ref="G48:H48"/>
    <mergeCell ref="O48:P48"/>
    <mergeCell ref="C49:E49"/>
    <mergeCell ref="K49:M49"/>
    <mergeCell ref="K50:O53"/>
    <mergeCell ref="L54:M54"/>
    <mergeCell ref="N54:O54"/>
  </mergeCells>
  <conditionalFormatting sqref="F41:G41">
    <cfRule type="iconSet" priority="5">
      <iconSet iconSet="3Arrows">
        <cfvo type="percent" val="0"/>
        <cfvo type="num" val="0"/>
        <cfvo type="num" val="9.9999999999999995E-8" gte="0"/>
      </iconSet>
    </cfRule>
  </conditionalFormatting>
  <conditionalFormatting sqref="F44:G44">
    <cfRule type="iconSet" priority="4">
      <iconSet iconSet="3Arrows">
        <cfvo type="percent" val="0"/>
        <cfvo type="num" val="0"/>
        <cfvo type="num" val="1E-25" gte="0"/>
      </iconSet>
    </cfRule>
  </conditionalFormatting>
  <conditionalFormatting sqref="F50:G51">
    <cfRule type="iconSet" priority="9">
      <iconSet iconSet="3Arrows">
        <cfvo type="percent" val="0"/>
        <cfvo type="num" val="0"/>
        <cfvo type="num" val="9.9999999999999995E-8" gte="0"/>
      </iconSet>
    </cfRule>
  </conditionalFormatting>
  <conditionalFormatting sqref="G24 G27 G34 G36 G39">
    <cfRule type="iconSet" priority="1">
      <iconSet>
        <cfvo type="percent" val="0"/>
        <cfvo type="num" val="0"/>
        <cfvo type="num" val="1.0000000000000001E-18" gte="0"/>
      </iconSet>
    </cfRule>
  </conditionalFormatting>
  <conditionalFormatting sqref="G54">
    <cfRule type="iconSet" priority="6">
      <iconSet iconSet="3Flags">
        <cfvo type="percent" val="0"/>
        <cfvo type="num" val="0"/>
        <cfvo type="num" val="1.0000000000000001E-17" gte="0"/>
      </iconSet>
    </cfRule>
  </conditionalFormatting>
  <conditionalFormatting sqref="N35:O35">
    <cfRule type="iconSet" priority="10">
      <iconSet iconSet="3Arrows">
        <cfvo type="percent" val="0"/>
        <cfvo type="num" val="0"/>
        <cfvo type="num" val="1E-25" gte="0"/>
      </iconSet>
    </cfRule>
  </conditionalFormatting>
  <conditionalFormatting sqref="N39:O39">
    <cfRule type="iconSet" priority="11">
      <iconSet iconSet="3Arrows">
        <cfvo type="percent" val="0"/>
        <cfvo type="num" val="0"/>
        <cfvo type="num" val="1E-25" gte="0"/>
      </iconSet>
    </cfRule>
  </conditionalFormatting>
  <conditionalFormatting sqref="N44:O44">
    <cfRule type="iconSet" priority="3">
      <iconSet iconSet="3Arrows">
        <cfvo type="percent" val="0"/>
        <cfvo type="num" val="0"/>
        <cfvo type="num" val="1E-25" gte="0"/>
      </iconSet>
    </cfRule>
  </conditionalFormatting>
  <conditionalFormatting sqref="N54:O54">
    <cfRule type="iconSet" priority="8">
      <iconSet iconSet="3Arrows">
        <cfvo type="percent" val="0"/>
        <cfvo type="num" val="0"/>
        <cfvo type="num" val="1E-25" gte="0"/>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2" id="{A51DED20-7CD0-4BE3-8487-4361C2B501B5}">
            <x14:iconSet custom="1">
              <x14:cfvo type="percent">
                <xm:f>0</xm:f>
              </x14:cfvo>
              <x14:cfvo type="num">
                <xm:f>0</xm:f>
              </x14:cfvo>
              <x14:cfvo type="num" gte="0">
                <xm:f>1.0000000000000001E-18</xm:f>
              </x14:cfvo>
              <x14:cfIcon iconSet="3TrafficLights1" iconId="2"/>
              <x14:cfIcon iconSet="3TrafficLights1" iconId="1"/>
              <x14:cfIcon iconSet="3TrafficLights1" iconId="0"/>
            </x14:iconSet>
          </x14:cfRule>
          <xm:sqref>G25 G30:G32 G37</xm:sqref>
        </x14:conditionalFormatting>
        <x14:conditionalFormatting xmlns:xm="http://schemas.microsoft.com/office/excel/2006/main">
          <x14:cfRule type="iconSet" priority="7" id="{14EE6288-4167-4970-847B-34BBF24A2787}">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G52:G53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48BBE-052D-4313-A98A-01E3FFD9ABFD}">
  <sheetPr codeName="Sheet18">
    <tabColor theme="4" tint="0.79998168889431442"/>
  </sheetPr>
  <dimension ref="A1:T58"/>
  <sheetViews>
    <sheetView showGridLines="0" zoomScale="80" zoomScaleNormal="80" workbookViewId="0">
      <selection sqref="A1:XFD16"/>
    </sheetView>
  </sheetViews>
  <sheetFormatPr baseColWidth="10" defaultColWidth="8.83203125" defaultRowHeight="15"/>
  <cols>
    <col min="1" max="1" width="2.83203125" style="236" customWidth="1"/>
    <col min="2" max="2" width="2.1640625" style="236" customWidth="1"/>
    <col min="3" max="3" width="44.83203125" style="243" bestFit="1" customWidth="1"/>
    <col min="4" max="4" width="12.1640625" style="344" bestFit="1" customWidth="1"/>
    <col min="5" max="15" width="13.83203125" style="344" bestFit="1" customWidth="1"/>
    <col min="16" max="16" width="1.5" style="236" customWidth="1"/>
    <col min="17" max="17" width="8.83203125" style="236"/>
    <col min="18" max="18" width="8.83203125" style="114"/>
    <col min="19" max="19" width="9.5" style="114" bestFit="1" customWidth="1"/>
    <col min="20" max="20" width="11.6640625" style="316" bestFit="1" customWidth="1"/>
    <col min="21" max="16384" width="8.83203125" style="114"/>
  </cols>
  <sheetData>
    <row r="1" spans="3:15" s="114" customFormat="1">
      <c r="C1" s="118"/>
    </row>
    <row r="2" spans="3:15" s="114" customFormat="1">
      <c r="C2" s="118"/>
    </row>
    <row r="3" spans="3:15" s="114" customFormat="1">
      <c r="C3" s="118"/>
    </row>
    <row r="4" spans="3:15" s="114" customFormat="1">
      <c r="C4" s="118"/>
    </row>
    <row r="5" spans="3:15" s="114" customFormat="1">
      <c r="C5" s="118"/>
    </row>
    <row r="6" spans="3:15" s="114" customFormat="1">
      <c r="C6" s="118"/>
    </row>
    <row r="7" spans="3:15" s="114" customFormat="1">
      <c r="C7" s="118"/>
    </row>
    <row r="8" spans="3:15" s="114" customFormat="1">
      <c r="C8" s="118"/>
    </row>
    <row r="9" spans="3:15" s="114" customFormat="1">
      <c r="C9" s="118"/>
    </row>
    <row r="10" spans="3:15" s="114" customFormat="1">
      <c r="C10" s="118"/>
    </row>
    <row r="11" spans="3:15" s="114" customFormat="1">
      <c r="C11" s="118"/>
    </row>
    <row r="12" spans="3:15" s="114" customFormat="1">
      <c r="C12" s="118"/>
    </row>
    <row r="13" spans="3:15" s="114" customFormat="1">
      <c r="C13" s="118"/>
    </row>
    <row r="14" spans="3:15" s="114" customFormat="1">
      <c r="C14" s="118"/>
    </row>
    <row r="15" spans="3:15" s="114" customFormat="1" ht="19">
      <c r="C15" s="118"/>
      <c r="D15" s="147"/>
      <c r="E15" s="147"/>
      <c r="F15" s="147"/>
      <c r="L15" s="280"/>
      <c r="M15" s="280"/>
      <c r="N15" s="280"/>
      <c r="O15" s="280"/>
    </row>
    <row r="16" spans="3:15" s="114" customFormat="1" ht="20" thickBot="1">
      <c r="C16" s="118"/>
      <c r="D16" s="147"/>
      <c r="E16" s="147"/>
      <c r="F16" s="147"/>
      <c r="L16" s="280"/>
      <c r="M16" s="280"/>
      <c r="N16" s="280"/>
      <c r="O16" s="280"/>
    </row>
    <row r="17" spans="1:20" s="287" customFormat="1" ht="26.5" customHeight="1" thickBot="1">
      <c r="C17" s="281" t="s">
        <v>174</v>
      </c>
      <c r="D17" s="285">
        <v>1</v>
      </c>
      <c r="E17" s="285">
        <v>2</v>
      </c>
      <c r="F17" s="285">
        <v>3</v>
      </c>
      <c r="G17" s="285">
        <v>4</v>
      </c>
      <c r="H17" s="285">
        <v>5</v>
      </c>
      <c r="I17" s="285">
        <v>6</v>
      </c>
      <c r="J17" s="285">
        <v>7</v>
      </c>
      <c r="K17" s="285">
        <v>8</v>
      </c>
      <c r="L17" s="285">
        <v>9</v>
      </c>
      <c r="M17" s="285">
        <v>10</v>
      </c>
      <c r="N17" s="285">
        <v>11</v>
      </c>
      <c r="O17" s="285">
        <v>12</v>
      </c>
      <c r="Q17" s="285">
        <v>2022</v>
      </c>
      <c r="T17" s="316"/>
    </row>
    <row r="18" spans="1:20">
      <c r="A18" s="114"/>
      <c r="B18" s="114"/>
      <c r="C18" s="118"/>
      <c r="D18" s="205"/>
      <c r="E18" s="205"/>
      <c r="F18" s="205"/>
      <c r="G18" s="205"/>
      <c r="H18" s="205"/>
      <c r="I18" s="205"/>
      <c r="J18" s="205"/>
      <c r="K18" s="205"/>
      <c r="L18" s="205"/>
      <c r="M18" s="205"/>
      <c r="N18" s="205"/>
      <c r="O18" s="205"/>
      <c r="P18" s="114"/>
      <c r="Q18" s="114"/>
    </row>
    <row r="21" spans="1:20">
      <c r="B21" s="234"/>
      <c r="C21" s="251"/>
      <c r="D21" s="205"/>
      <c r="E21" s="205"/>
      <c r="F21" s="205"/>
      <c r="G21" s="205"/>
      <c r="H21" s="205"/>
      <c r="I21" s="205"/>
      <c r="J21" s="205"/>
      <c r="K21" s="205"/>
      <c r="L21" s="205"/>
      <c r="M21" s="205"/>
      <c r="N21" s="205"/>
      <c r="O21" s="762"/>
      <c r="P21" s="762"/>
    </row>
    <row r="22" spans="1:20" s="204" customFormat="1" ht="25">
      <c r="A22" s="244"/>
      <c r="B22" s="252"/>
      <c r="C22" s="366" t="s">
        <v>202</v>
      </c>
      <c r="D22" s="367"/>
      <c r="E22" s="367"/>
      <c r="F22" s="367"/>
      <c r="G22" s="367"/>
      <c r="H22" s="367"/>
      <c r="I22" s="367"/>
      <c r="J22" s="367"/>
      <c r="K22" s="367"/>
      <c r="L22" s="367"/>
      <c r="M22" s="367"/>
      <c r="N22" s="367"/>
      <c r="O22" s="368"/>
      <c r="P22" s="234"/>
      <c r="Q22" s="244"/>
      <c r="T22" s="316"/>
    </row>
    <row r="23" spans="1:20" ht="33.5" customHeight="1">
      <c r="B23" s="234"/>
      <c r="C23" s="369"/>
      <c r="D23" s="370" t="s">
        <v>17</v>
      </c>
      <c r="E23" s="370" t="s">
        <v>18</v>
      </c>
      <c r="F23" s="370" t="s">
        <v>19</v>
      </c>
      <c r="G23" s="370" t="s">
        <v>20</v>
      </c>
      <c r="H23" s="370" t="s">
        <v>21</v>
      </c>
      <c r="I23" s="370" t="s">
        <v>22</v>
      </c>
      <c r="J23" s="370" t="s">
        <v>23</v>
      </c>
      <c r="K23" s="370" t="s">
        <v>24</v>
      </c>
      <c r="L23" s="370" t="s">
        <v>25</v>
      </c>
      <c r="M23" s="370" t="s">
        <v>26</v>
      </c>
      <c r="N23" s="370" t="s">
        <v>27</v>
      </c>
      <c r="O23" s="370" t="s">
        <v>28</v>
      </c>
      <c r="P23" s="362"/>
    </row>
    <row r="24" spans="1:20" ht="16">
      <c r="B24" s="234"/>
      <c r="C24" s="114" t="s">
        <v>182</v>
      </c>
      <c r="D24" s="443">
        <f>'LTM P&amp;L'!D39</f>
        <v>617163.96999999695</v>
      </c>
      <c r="E24" s="443">
        <f>'LTM P&amp;L'!E34-'LTM P&amp;L'!D34</f>
        <v>571735.95200000145</v>
      </c>
      <c r="F24" s="443">
        <f>'LTM P&amp;L'!F34-'LTM P&amp;L'!E34</f>
        <v>-1415704.1539999973</v>
      </c>
      <c r="G24" s="443">
        <f>'LTM P&amp;L'!G34-'LTM P&amp;L'!F34</f>
        <v>481350.9459999986</v>
      </c>
      <c r="H24" s="443">
        <f>'LTM P&amp;L'!H34-'LTM P&amp;L'!G34</f>
        <v>-337106.40000000037</v>
      </c>
      <c r="I24" s="443">
        <f>'LTM P&amp;L'!I34-'LTM P&amp;L'!H34</f>
        <v>2280700.2600000016</v>
      </c>
      <c r="J24" s="443">
        <f>'LTM P&amp;L'!J34-'LTM P&amp;L'!I34</f>
        <v>-1439953.5719999988</v>
      </c>
      <c r="K24" s="443">
        <f>'LTM P&amp;L'!K34-'LTM P&amp;L'!J34</f>
        <v>-1275123.8640000019</v>
      </c>
      <c r="L24" s="443">
        <f>'LTM P&amp;L'!L34-'LTM P&amp;L'!K34</f>
        <v>1312676.1440000003</v>
      </c>
      <c r="M24" s="443">
        <f>'LTM P&amp;L'!M34-'LTM P&amp;L'!L34</f>
        <v>-458094.61000000034</v>
      </c>
      <c r="N24" s="443">
        <f>'LTM P&amp;L'!N34-'LTM P&amp;L'!M34</f>
        <v>-239159.82400000282</v>
      </c>
      <c r="O24" s="443">
        <f>'LTM P&amp;L'!O34-'LTM P&amp;L'!N34</f>
        <v>298110.8820000086</v>
      </c>
      <c r="P24" s="114"/>
    </row>
    <row r="25" spans="1:20" ht="16">
      <c r="B25" s="234"/>
      <c r="C25" s="437" t="s">
        <v>302</v>
      </c>
      <c r="D25" s="441">
        <f>-'LTM Balance Sheet'!D27</f>
        <v>-15745707</v>
      </c>
      <c r="E25" s="442">
        <f>-(('LTM Balance Sheet'!E27-'LTM Balance Sheet'!E44)-('LTM Balance Sheet'!D27-'LTM Balance Sheet'!D44))</f>
        <v>3620366</v>
      </c>
      <c r="F25" s="442">
        <f>-(('LTM Balance Sheet'!F27-'LTM Balance Sheet'!F44)-('LTM Balance Sheet'!E27-'LTM Balance Sheet'!E44))</f>
        <v>5137447</v>
      </c>
      <c r="G25" s="442">
        <f>-(('LTM Balance Sheet'!G27-'LTM Balance Sheet'!G44)-('LTM Balance Sheet'!F27-'LTM Balance Sheet'!F44))</f>
        <v>16230510</v>
      </c>
      <c r="H25" s="442">
        <f>-(('LTM Balance Sheet'!H27-'LTM Balance Sheet'!H44)-('LTM Balance Sheet'!G27-'LTM Balance Sheet'!G44))</f>
        <v>-11042077</v>
      </c>
      <c r="I25" s="442">
        <f>-(('LTM Balance Sheet'!I27-'LTM Balance Sheet'!I44)-('LTM Balance Sheet'!H27-'LTM Balance Sheet'!H44))</f>
        <v>-3034124</v>
      </c>
      <c r="J25" s="442">
        <f>-(('LTM Balance Sheet'!J27-'LTM Balance Sheet'!J44)-('LTM Balance Sheet'!I27-'LTM Balance Sheet'!I44))</f>
        <v>5613721</v>
      </c>
      <c r="K25" s="442">
        <f>-(('LTM Balance Sheet'!K27-'LTM Balance Sheet'!K44)-('LTM Balance Sheet'!J27-'LTM Balance Sheet'!J44))</f>
        <v>-1231318</v>
      </c>
      <c r="L25" s="442">
        <f>-(('LTM Balance Sheet'!L27-'LTM Balance Sheet'!L44)-('LTM Balance Sheet'!K27-'LTM Balance Sheet'!K44))</f>
        <v>555838</v>
      </c>
      <c r="M25" s="442">
        <f>-(('LTM Balance Sheet'!M27-'LTM Balance Sheet'!M44)-('LTM Balance Sheet'!L27-'LTM Balance Sheet'!L44))</f>
        <v>5860555</v>
      </c>
      <c r="N25" s="442">
        <f>-(('LTM Balance Sheet'!N27-'LTM Balance Sheet'!N44)-('LTM Balance Sheet'!M27-'LTM Balance Sheet'!M44))</f>
        <v>-8263506</v>
      </c>
      <c r="O25" s="442">
        <f>-(('LTM Balance Sheet'!O27-'LTM Balance Sheet'!O44)-('LTM Balance Sheet'!N27-'LTM Balance Sheet'!N44))</f>
        <v>4791829</v>
      </c>
      <c r="P25" s="114"/>
      <c r="S25" s="316"/>
    </row>
    <row r="26" spans="1:20" ht="16">
      <c r="B26" s="234"/>
      <c r="C26" s="437" t="s">
        <v>301</v>
      </c>
      <c r="D26" s="441">
        <f>-'LTM Balance Sheet'!D26</f>
        <v>-1217348.9700000007</v>
      </c>
      <c r="E26" s="441">
        <f>-(('LTM Balance Sheet'!E26-'LTM Balance Sheet'!E45)-('LTM Balance Sheet'!D26-'LTM Balance Sheet'!D45))</f>
        <v>1469265.9500000002</v>
      </c>
      <c r="F26" s="441">
        <f>-(('LTM Balance Sheet'!F26-'LTM Balance Sheet'!F45)-('LTM Balance Sheet'!E26-'LTM Balance Sheet'!E45))</f>
        <v>-1974013.7500000014</v>
      </c>
      <c r="G26" s="441">
        <f>-(('LTM Balance Sheet'!G26-'LTM Balance Sheet'!G45)-('LTM Balance Sheet'!F26-'LTM Balance Sheet'!F45))</f>
        <v>1483106.7800000017</v>
      </c>
      <c r="H26" s="441">
        <f>-(('LTM Balance Sheet'!H26-'LTM Balance Sheet'!H45)-('LTM Balance Sheet'!G26-'LTM Balance Sheet'!G45))</f>
        <v>-121888.74000000022</v>
      </c>
      <c r="I26" s="441">
        <f>-(('LTM Balance Sheet'!I26-'LTM Balance Sheet'!I45)-('LTM Balance Sheet'!H26-'LTM Balance Sheet'!H45))</f>
        <v>-983265.87000000011</v>
      </c>
      <c r="J26" s="441">
        <f>-(('LTM Balance Sheet'!J26-'LTM Balance Sheet'!J45)-('LTM Balance Sheet'!I26-'LTM Balance Sheet'!I45))</f>
        <v>887680.3600000022</v>
      </c>
      <c r="K26" s="441">
        <f>-(('LTM Balance Sheet'!K26-'LTM Balance Sheet'!K45)-('LTM Balance Sheet'!J26-'LTM Balance Sheet'!J45))</f>
        <v>396605.97999999858</v>
      </c>
      <c r="L26" s="441">
        <f>-(('LTM Balance Sheet'!L26-'LTM Balance Sheet'!L45)-('LTM Balance Sheet'!K26-'LTM Balance Sheet'!K45))</f>
        <v>-644262.3200000003</v>
      </c>
      <c r="M26" s="441">
        <f>-(('LTM Balance Sheet'!M26-'LTM Balance Sheet'!M45)-('LTM Balance Sheet'!L26-'LTM Balance Sheet'!L45))</f>
        <v>171295.6400000006</v>
      </c>
      <c r="N26" s="441">
        <f>-(('LTM Balance Sheet'!N26-'LTM Balance Sheet'!N45)-('LTM Balance Sheet'!M26-'LTM Balance Sheet'!M45))</f>
        <v>718838.80000000075</v>
      </c>
      <c r="O26" s="441">
        <f>-(('LTM Balance Sheet'!O26-'LTM Balance Sheet'!O45)-('LTM Balance Sheet'!N26-'LTM Balance Sheet'!N45))</f>
        <v>-958125.84000000078</v>
      </c>
      <c r="P26" s="114"/>
      <c r="S26" s="316"/>
    </row>
    <row r="27" spans="1:20" ht="16">
      <c r="B27" s="234"/>
      <c r="C27" s="437" t="s">
        <v>303</v>
      </c>
      <c r="D27" s="441">
        <f>'LTM Balance Sheet'!D33</f>
        <v>21833695</v>
      </c>
      <c r="E27" s="441">
        <f>(('LTM Balance Sheet'!E33+'LTM Balance Sheet'!E43)-('LTM Balance Sheet'!D33+'LTM Balance Sheet'!D43))</f>
        <v>-14021190</v>
      </c>
      <c r="F27" s="441">
        <f>(('LTM Balance Sheet'!F33+'LTM Balance Sheet'!F43)-('LTM Balance Sheet'!E33+'LTM Balance Sheet'!E43))</f>
        <v>-6726200</v>
      </c>
      <c r="G27" s="441">
        <f>(('LTM Balance Sheet'!G33+'LTM Balance Sheet'!G43)-('LTM Balance Sheet'!F33+'LTM Balance Sheet'!F43))</f>
        <v>203695</v>
      </c>
      <c r="H27" s="441">
        <f>(('LTM Balance Sheet'!H33+'LTM Balance Sheet'!H43)-('LTM Balance Sheet'!G33+'LTM Balance Sheet'!G43))</f>
        <v>-2761505</v>
      </c>
      <c r="I27" s="441">
        <f>(('LTM Balance Sheet'!I33+'LTM Balance Sheet'!I43)-('LTM Balance Sheet'!H33+'LTM Balance Sheet'!H43))</f>
        <v>-450495</v>
      </c>
      <c r="J27" s="441">
        <f>(('LTM Balance Sheet'!J33+'LTM Balance Sheet'!J43)-('LTM Balance Sheet'!I33+'LTM Balance Sheet'!I43))</f>
        <v>4012000</v>
      </c>
      <c r="K27" s="441">
        <f>(('LTM Balance Sheet'!K33+'LTM Balance Sheet'!K43)-('LTM Balance Sheet'!J33+'LTM Balance Sheet'!J43))</f>
        <v>473505</v>
      </c>
      <c r="L27" s="441">
        <f>(('LTM Balance Sheet'!L33+'LTM Balance Sheet'!L43)-('LTM Balance Sheet'!K33+'LTM Balance Sheet'!K43))</f>
        <v>-7346125</v>
      </c>
      <c r="M27" s="441">
        <f>(('LTM Balance Sheet'!M33+'LTM Balance Sheet'!M43)-('LTM Balance Sheet'!L33+'LTM Balance Sheet'!L43))</f>
        <v>5926315</v>
      </c>
      <c r="N27" s="441">
        <f>(('LTM Balance Sheet'!N33+'LTM Balance Sheet'!N43)-('LTM Balance Sheet'!M33+'LTM Balance Sheet'!M43))</f>
        <v>-618695</v>
      </c>
      <c r="O27" s="441">
        <f>(('LTM Balance Sheet'!O33+'LTM Balance Sheet'!O43)-('LTM Balance Sheet'!N33+'LTM Balance Sheet'!N43))</f>
        <v>-1743810</v>
      </c>
      <c r="P27" s="114"/>
      <c r="S27" s="316"/>
    </row>
    <row r="28" spans="1:20">
      <c r="B28" s="114"/>
      <c r="C28" s="114"/>
      <c r="D28" s="364"/>
      <c r="E28" s="364"/>
      <c r="F28" s="364"/>
      <c r="G28" s="364"/>
      <c r="H28" s="364"/>
      <c r="I28" s="364"/>
      <c r="J28" s="364"/>
      <c r="K28" s="364"/>
      <c r="L28" s="364"/>
      <c r="M28" s="364"/>
      <c r="N28" s="364"/>
      <c r="O28" s="364"/>
      <c r="P28" s="114"/>
      <c r="S28" s="316"/>
    </row>
    <row r="29" spans="1:20" ht="18">
      <c r="B29" s="114"/>
      <c r="C29" s="319" t="s">
        <v>211</v>
      </c>
      <c r="D29" s="319">
        <f>SUM(D24:D27)</f>
        <v>5487802.9999999963</v>
      </c>
      <c r="E29" s="319">
        <f>SUM(E24:E27)</f>
        <v>-8359822.0979999984</v>
      </c>
      <c r="F29" s="319">
        <f t="shared" ref="F29:L29" si="0">SUM(F24:F27)</f>
        <v>-4978470.9039999992</v>
      </c>
      <c r="G29" s="319">
        <f t="shared" si="0"/>
        <v>18398662.726</v>
      </c>
      <c r="H29" s="319">
        <f t="shared" si="0"/>
        <v>-14262577.140000001</v>
      </c>
      <c r="I29" s="319">
        <f t="shared" si="0"/>
        <v>-2187184.6099999985</v>
      </c>
      <c r="J29" s="319">
        <f t="shared" si="0"/>
        <v>9073447.7880000025</v>
      </c>
      <c r="K29" s="319">
        <f t="shared" si="0"/>
        <v>-1636330.8840000033</v>
      </c>
      <c r="L29" s="319">
        <f t="shared" si="0"/>
        <v>-6121873.176</v>
      </c>
      <c r="M29" s="319">
        <f>SUM(M24:M27)</f>
        <v>11500071.030000001</v>
      </c>
      <c r="N29" s="319">
        <f>SUM(N24:N27)</f>
        <v>-8402522.0240000021</v>
      </c>
      <c r="O29" s="319">
        <f t="shared" ref="O29:P29" si="1">SUM(O24:O27)</f>
        <v>2388004.0420000078</v>
      </c>
      <c r="P29" s="114">
        <f t="shared" si="1"/>
        <v>0</v>
      </c>
      <c r="S29" s="316"/>
    </row>
    <row r="30" spans="1:20" ht="18">
      <c r="B30" s="234"/>
      <c r="C30" s="317"/>
      <c r="D30" s="205"/>
      <c r="E30" s="205"/>
      <c r="F30" s="205"/>
      <c r="G30" s="205"/>
      <c r="H30" s="205"/>
      <c r="I30" s="205"/>
      <c r="J30" s="205"/>
      <c r="K30" s="205"/>
      <c r="L30" s="205"/>
      <c r="M30" s="205"/>
      <c r="N30" s="205"/>
      <c r="O30" s="205"/>
      <c r="P30" s="114"/>
      <c r="S30" s="316"/>
    </row>
    <row r="31" spans="1:20" ht="22">
      <c r="B31" s="252"/>
      <c r="C31" s="438"/>
      <c r="D31" s="365"/>
      <c r="E31" s="365"/>
      <c r="F31" s="365"/>
      <c r="G31" s="365"/>
      <c r="H31" s="365"/>
      <c r="I31" s="365"/>
      <c r="J31" s="365"/>
      <c r="K31" s="365"/>
      <c r="L31" s="365"/>
      <c r="M31" s="365"/>
      <c r="N31" s="365"/>
      <c r="O31" s="365"/>
      <c r="P31" s="364">
        <f>SUMIFS('Jounal entries final'!$H:$H,'Jounal entries final'!$E:$E,$C30,'Jounal entries final'!$B:$B,P$17,'Jounal entries final'!$C:$C,$Q$17)</f>
        <v>0</v>
      </c>
      <c r="S31" s="316"/>
    </row>
    <row r="32" spans="1:20">
      <c r="B32" s="234"/>
      <c r="C32" s="438" t="s">
        <v>305</v>
      </c>
      <c r="D32" s="364">
        <v>1000</v>
      </c>
      <c r="E32" s="364">
        <f>'LTM P&amp;L'!E36-'LTM P&amp;L'!D36</f>
        <v>7043</v>
      </c>
      <c r="F32" s="364">
        <f>'LTM P&amp;L'!F36-'LTM P&amp;L'!E36</f>
        <v>-18243</v>
      </c>
      <c r="G32" s="364">
        <f>'LTM P&amp;L'!G36-'LTM P&amp;L'!F36</f>
        <v>3045</v>
      </c>
      <c r="H32" s="364">
        <f>'LTM P&amp;L'!H36-'LTM P&amp;L'!G36</f>
        <v>-12808</v>
      </c>
      <c r="I32" s="364">
        <f>'LTM P&amp;L'!I36-'LTM P&amp;L'!H36</f>
        <v>10824</v>
      </c>
      <c r="J32" s="364">
        <f>'LTM P&amp;L'!J36-'LTM P&amp;L'!I36</f>
        <v>5545</v>
      </c>
      <c r="K32" s="364">
        <f>'LTM P&amp;L'!K36-'LTM P&amp;L'!J36</f>
        <v>-3889</v>
      </c>
      <c r="L32" s="364">
        <f>'LTM P&amp;L'!L36-'LTM P&amp;L'!K36</f>
        <v>18642</v>
      </c>
      <c r="M32" s="364">
        <f>'LTM P&amp;L'!M36-'LTM P&amp;L'!L36</f>
        <v>-27091</v>
      </c>
      <c r="N32" s="364">
        <f>'LTM P&amp;L'!N36-'LTM P&amp;L'!M36</f>
        <v>19959</v>
      </c>
      <c r="O32" s="364">
        <f>'LTM P&amp;L'!O36-'LTM P&amp;L'!N36</f>
        <v>-23654</v>
      </c>
      <c r="P32" s="364">
        <f>SUMIFS('Jounal entries final'!$H:$H,'Jounal entries final'!$E:$E,$C31,'Jounal entries final'!$B:$B,P$17,'Jounal entries final'!$C:$C,$Q$17)</f>
        <v>0</v>
      </c>
      <c r="S32" s="316"/>
    </row>
    <row r="33" spans="1:19">
      <c r="B33" s="234"/>
      <c r="C33" s="438" t="s">
        <v>304</v>
      </c>
      <c r="D33" s="364">
        <v>2000</v>
      </c>
      <c r="E33" s="364">
        <f>'LTM P&amp;L'!E37-'LTM P&amp;L'!D37</f>
        <v>-17008</v>
      </c>
      <c r="F33" s="364">
        <f>'LTM P&amp;L'!F37-'LTM P&amp;L'!E37</f>
        <v>28</v>
      </c>
      <c r="G33" s="364">
        <f>'LTM P&amp;L'!G37-'LTM P&amp;L'!F37</f>
        <v>-1840</v>
      </c>
      <c r="H33" s="364">
        <f>'LTM P&amp;L'!H37-'LTM P&amp;L'!G37</f>
        <v>24233</v>
      </c>
      <c r="I33" s="364">
        <f>'LTM P&amp;L'!I37-'LTM P&amp;L'!H37</f>
        <v>-5443</v>
      </c>
      <c r="J33" s="364">
        <f>'LTM P&amp;L'!J37-'LTM P&amp;L'!I37</f>
        <v>-14527</v>
      </c>
      <c r="K33" s="364">
        <f>'LTM P&amp;L'!K37-'LTM P&amp;L'!J37</f>
        <v>-8802</v>
      </c>
      <c r="L33" s="364">
        <f>'LTM P&amp;L'!L37-'LTM P&amp;L'!K37</f>
        <v>22626</v>
      </c>
      <c r="M33" s="364">
        <f>'LTM P&amp;L'!M37-'LTM P&amp;L'!L37</f>
        <v>-7036</v>
      </c>
      <c r="N33" s="364">
        <f>'LTM P&amp;L'!N37-'LTM P&amp;L'!M37</f>
        <v>16142</v>
      </c>
      <c r="O33" s="364">
        <f>'LTM P&amp;L'!O37-'LTM P&amp;L'!N37</f>
        <v>-27798</v>
      </c>
      <c r="P33" s="364">
        <f>-SUMIFS('Jounal entries final'!$H:$H,'Jounal entries final'!$E:$E,$C32,'Jounal entries final'!$B:$B,P$17,'Jounal entries final'!$C:$C,$Q$17)</f>
        <v>0</v>
      </c>
      <c r="S33" s="316"/>
    </row>
    <row r="34" spans="1:19" ht="18">
      <c r="B34" s="234"/>
      <c r="C34" s="440"/>
      <c r="D34" s="378"/>
      <c r="E34" s="378"/>
      <c r="F34" s="364"/>
      <c r="G34" s="364"/>
      <c r="H34" s="364"/>
      <c r="I34" s="364"/>
      <c r="J34" s="364"/>
      <c r="K34" s="364"/>
      <c r="L34" s="364"/>
      <c r="M34" s="364"/>
      <c r="N34" s="364"/>
      <c r="O34" s="364"/>
      <c r="P34" s="364">
        <f>-SUMIFS('Jounal entries final'!$H:$H,'Jounal entries final'!$E:$E,$C33,'Jounal entries final'!$B:$B,P$17,'Jounal entries final'!$C:$C,$Q$17)</f>
        <v>0</v>
      </c>
    </row>
    <row r="35" spans="1:19" ht="18">
      <c r="B35" s="234"/>
      <c r="C35" s="439" t="s">
        <v>306</v>
      </c>
      <c r="D35" s="319">
        <f>D32-D33</f>
        <v>-1000</v>
      </c>
      <c r="E35" s="319">
        <f>E32-E33</f>
        <v>24051</v>
      </c>
      <c r="F35" s="319">
        <f t="shared" ref="F35:O35" si="2">F32-F33</f>
        <v>-18271</v>
      </c>
      <c r="G35" s="319">
        <f t="shared" si="2"/>
        <v>4885</v>
      </c>
      <c r="H35" s="319">
        <f t="shared" si="2"/>
        <v>-37041</v>
      </c>
      <c r="I35" s="319">
        <f t="shared" si="2"/>
        <v>16267</v>
      </c>
      <c r="J35" s="319">
        <f t="shared" si="2"/>
        <v>20072</v>
      </c>
      <c r="K35" s="319">
        <f t="shared" si="2"/>
        <v>4913</v>
      </c>
      <c r="L35" s="319">
        <f t="shared" si="2"/>
        <v>-3984</v>
      </c>
      <c r="M35" s="319">
        <f t="shared" si="2"/>
        <v>-20055</v>
      </c>
      <c r="N35" s="319">
        <f t="shared" si="2"/>
        <v>3817</v>
      </c>
      <c r="O35" s="319">
        <f t="shared" si="2"/>
        <v>4144</v>
      </c>
      <c r="P35" s="234"/>
    </row>
    <row r="36" spans="1:19" ht="19">
      <c r="B36" s="234"/>
      <c r="C36" s="114"/>
      <c r="D36" s="346"/>
      <c r="E36" s="338"/>
      <c r="F36" s="338"/>
      <c r="G36" s="339"/>
      <c r="H36" s="338"/>
      <c r="I36" s="205"/>
      <c r="J36" s="205"/>
      <c r="K36" s="336"/>
      <c r="L36" s="349"/>
      <c r="M36" s="205"/>
      <c r="N36" s="350"/>
      <c r="O36" s="350"/>
      <c r="P36" s="234"/>
      <c r="S36" s="316"/>
    </row>
    <row r="37" spans="1:19">
      <c r="B37" s="114"/>
      <c r="C37" s="438" t="s">
        <v>312</v>
      </c>
      <c r="D37" s="378"/>
      <c r="E37" s="378">
        <v>8334919</v>
      </c>
      <c r="F37" s="364"/>
      <c r="G37" s="364"/>
      <c r="H37" s="364"/>
      <c r="I37" s="364"/>
      <c r="J37" s="364"/>
      <c r="K37" s="364"/>
      <c r="L37" s="364"/>
      <c r="M37" s="364"/>
      <c r="N37" s="364"/>
      <c r="O37" s="364"/>
      <c r="P37" s="234"/>
      <c r="S37" s="316"/>
    </row>
    <row r="38" spans="1:19" s="316" customFormat="1">
      <c r="A38" s="236"/>
      <c r="B38" s="114"/>
      <c r="C38" s="437" t="s">
        <v>307</v>
      </c>
      <c r="D38" s="378"/>
      <c r="E38" s="378"/>
      <c r="F38" s="364"/>
      <c r="G38" s="364"/>
      <c r="H38" s="364"/>
      <c r="I38" s="364"/>
      <c r="J38" s="364"/>
      <c r="K38" s="364"/>
      <c r="L38" s="364"/>
      <c r="M38" s="364"/>
      <c r="N38" s="364"/>
      <c r="O38" s="364"/>
      <c r="P38" s="234"/>
      <c r="Q38" s="236"/>
      <c r="R38" s="114"/>
    </row>
    <row r="39" spans="1:19" s="316" customFormat="1" ht="18">
      <c r="A39" s="236"/>
      <c r="B39" s="234"/>
      <c r="C39" s="440"/>
      <c r="D39" s="364"/>
      <c r="E39" s="364"/>
      <c r="F39" s="364"/>
      <c r="G39" s="364"/>
      <c r="H39" s="364"/>
      <c r="I39" s="364"/>
      <c r="J39" s="364"/>
      <c r="K39" s="364"/>
      <c r="L39" s="364"/>
      <c r="M39" s="364"/>
      <c r="N39" s="364"/>
      <c r="O39" s="364"/>
      <c r="P39" s="234"/>
      <c r="Q39" s="236"/>
      <c r="R39" s="114"/>
      <c r="S39" s="114"/>
    </row>
    <row r="40" spans="1:19" s="316" customFormat="1" ht="22">
      <c r="A40" s="236"/>
      <c r="B40" s="252"/>
      <c r="C40" s="439" t="s">
        <v>308</v>
      </c>
      <c r="D40" s="319">
        <f>D37-D38+D39</f>
        <v>0</v>
      </c>
      <c r="E40" s="319">
        <f>+E39+E37-E38</f>
        <v>8334919</v>
      </c>
      <c r="F40" s="319">
        <f t="shared" ref="F40:O40" si="3">+F39+F37-F38</f>
        <v>0</v>
      </c>
      <c r="G40" s="319">
        <f t="shared" si="3"/>
        <v>0</v>
      </c>
      <c r="H40" s="319">
        <f t="shared" si="3"/>
        <v>0</v>
      </c>
      <c r="I40" s="319">
        <f t="shared" si="3"/>
        <v>0</v>
      </c>
      <c r="J40" s="319">
        <f t="shared" si="3"/>
        <v>0</v>
      </c>
      <c r="K40" s="319">
        <f t="shared" si="3"/>
        <v>0</v>
      </c>
      <c r="L40" s="319">
        <f t="shared" si="3"/>
        <v>0</v>
      </c>
      <c r="M40" s="319">
        <f t="shared" si="3"/>
        <v>0</v>
      </c>
      <c r="N40" s="319">
        <f t="shared" si="3"/>
        <v>0</v>
      </c>
      <c r="O40" s="319">
        <f t="shared" si="3"/>
        <v>0</v>
      </c>
      <c r="P40" s="234"/>
      <c r="Q40" s="236"/>
      <c r="R40" s="114"/>
      <c r="S40" s="114"/>
    </row>
    <row r="41" spans="1:19" s="316" customFormat="1">
      <c r="A41" s="236"/>
      <c r="B41" s="114"/>
      <c r="C41" s="437"/>
      <c r="D41" s="378"/>
      <c r="E41" s="378"/>
      <c r="F41" s="364"/>
      <c r="G41" s="364"/>
      <c r="H41" s="364"/>
      <c r="I41" s="364"/>
      <c r="J41" s="364"/>
      <c r="K41" s="364"/>
      <c r="L41" s="364"/>
      <c r="M41" s="364"/>
      <c r="N41" s="364"/>
      <c r="O41" s="364"/>
      <c r="P41" s="234"/>
      <c r="Q41" s="236"/>
      <c r="R41" s="114"/>
    </row>
    <row r="42" spans="1:19" s="316" customFormat="1" ht="22">
      <c r="A42" s="236"/>
      <c r="B42" s="252"/>
      <c r="C42" s="439" t="s">
        <v>309</v>
      </c>
      <c r="D42" s="319">
        <f>D29+D35+D40</f>
        <v>5486802.9999999963</v>
      </c>
      <c r="E42" s="319">
        <f>E29+E35+E40</f>
        <v>-852.09799999836832</v>
      </c>
      <c r="F42" s="319">
        <f t="shared" ref="F42:O42" si="4">F29+F35+F40</f>
        <v>-4996741.9039999992</v>
      </c>
      <c r="G42" s="319">
        <f t="shared" si="4"/>
        <v>18403547.726</v>
      </c>
      <c r="H42" s="319">
        <f t="shared" si="4"/>
        <v>-14299618.140000001</v>
      </c>
      <c r="I42" s="319">
        <f t="shared" si="4"/>
        <v>-2170917.6099999985</v>
      </c>
      <c r="J42" s="319">
        <f t="shared" si="4"/>
        <v>9093519.7880000025</v>
      </c>
      <c r="K42" s="319">
        <f t="shared" si="4"/>
        <v>-1631417.8840000033</v>
      </c>
      <c r="L42" s="319">
        <f t="shared" si="4"/>
        <v>-6125857.176</v>
      </c>
      <c r="M42" s="319">
        <f t="shared" si="4"/>
        <v>11480016.030000001</v>
      </c>
      <c r="N42" s="319">
        <f t="shared" si="4"/>
        <v>-8398705.0240000021</v>
      </c>
      <c r="O42" s="319">
        <f t="shared" si="4"/>
        <v>2392148.0420000078</v>
      </c>
      <c r="P42" s="234"/>
      <c r="Q42" s="236"/>
      <c r="R42" s="114"/>
      <c r="S42" s="114"/>
    </row>
    <row r="43" spans="1:19" s="316" customFormat="1" ht="22">
      <c r="A43" s="236"/>
      <c r="B43" s="252"/>
      <c r="C43" s="439" t="s">
        <v>310</v>
      </c>
      <c r="D43" s="319">
        <v>-1878919</v>
      </c>
      <c r="E43" s="319">
        <f>'LTM Balance Sheet'!D25-'LTM Balance Sheet'!D46</f>
        <v>3607884</v>
      </c>
      <c r="F43" s="319">
        <f>'LTM Balance Sheet'!E25-'LTM Balance Sheet'!E46</f>
        <v>3607031.9019999998</v>
      </c>
      <c r="G43" s="319">
        <f>'LTM Balance Sheet'!F25-'LTM Balance Sheet'!F46</f>
        <v>-1389710.0019999994</v>
      </c>
      <c r="H43" s="319">
        <f>'LTM Balance Sheet'!G25-'LTM Balance Sheet'!G46</f>
        <v>17013837.723999999</v>
      </c>
      <c r="I43" s="319">
        <f>'LTM Balance Sheet'!H25-'LTM Balance Sheet'!H46</f>
        <v>2714219.5839999989</v>
      </c>
      <c r="J43" s="319">
        <f>'LTM Balance Sheet'!I25-'LTM Balance Sheet'!I46</f>
        <v>543301.97399999946</v>
      </c>
      <c r="K43" s="319">
        <f>'LTM Balance Sheet'!J25-'LTM Balance Sheet'!J46</f>
        <v>9636821.762000002</v>
      </c>
      <c r="L43" s="319">
        <f>'LTM Balance Sheet'!K25-'LTM Balance Sheet'!K46</f>
        <v>8005403.8779999986</v>
      </c>
      <c r="M43" s="319">
        <f>'LTM Balance Sheet'!L25-'LTM Balance Sheet'!L46</f>
        <v>1879546.7019999996</v>
      </c>
      <c r="N43" s="319">
        <f>'LTM Balance Sheet'!M25-'LTM Balance Sheet'!M46</f>
        <v>13359562.732000001</v>
      </c>
      <c r="O43" s="319">
        <f>'LTM Balance Sheet'!N25-'LTM Balance Sheet'!N46</f>
        <v>4960857.7079999968</v>
      </c>
      <c r="P43" s="234"/>
      <c r="Q43" s="236"/>
      <c r="R43" s="114"/>
      <c r="S43" s="114"/>
    </row>
    <row r="44" spans="1:19" s="316" customFormat="1" ht="22">
      <c r="A44" s="236"/>
      <c r="B44" s="252"/>
      <c r="C44" s="439" t="s">
        <v>311</v>
      </c>
      <c r="D44" s="319">
        <f t="shared" ref="D44:L44" si="5">D42+D43</f>
        <v>3607883.9999999963</v>
      </c>
      <c r="E44" s="319">
        <f t="shared" si="5"/>
        <v>3607031.9020000016</v>
      </c>
      <c r="F44" s="319">
        <f t="shared" si="5"/>
        <v>-1389710.0019999994</v>
      </c>
      <c r="G44" s="319">
        <f t="shared" si="5"/>
        <v>17013837.723999999</v>
      </c>
      <c r="H44" s="319">
        <f t="shared" si="5"/>
        <v>2714219.5839999989</v>
      </c>
      <c r="I44" s="319">
        <f t="shared" si="5"/>
        <v>543301.97400000039</v>
      </c>
      <c r="J44" s="319">
        <f t="shared" si="5"/>
        <v>9636821.762000002</v>
      </c>
      <c r="K44" s="319">
        <f t="shared" si="5"/>
        <v>8005403.8779999986</v>
      </c>
      <c r="L44" s="319">
        <f t="shared" si="5"/>
        <v>1879546.7019999987</v>
      </c>
      <c r="M44" s="319">
        <f>M42+M43</f>
        <v>13359562.732000001</v>
      </c>
      <c r="N44" s="319">
        <f t="shared" ref="N44:P44" si="6">N42+N43</f>
        <v>4960857.7079999987</v>
      </c>
      <c r="O44" s="319">
        <f t="shared" si="6"/>
        <v>7353005.7500000047</v>
      </c>
      <c r="P44" s="319">
        <f t="shared" si="6"/>
        <v>0</v>
      </c>
      <c r="Q44" s="236"/>
      <c r="R44" s="114"/>
      <c r="S44" s="114"/>
    </row>
    <row r="45" spans="1:19" s="316" customFormat="1">
      <c r="A45" s="236"/>
      <c r="B45" s="293"/>
      <c r="C45" s="372"/>
      <c r="D45" s="373">
        <f>'LTM Balance Sheet'!D25-'LTM Balance Sheet'!D46</f>
        <v>3607884</v>
      </c>
      <c r="E45" s="373">
        <f>'LTM Balance Sheet'!E25-'LTM Balance Sheet'!E46</f>
        <v>3607031.9019999998</v>
      </c>
      <c r="F45" s="373">
        <f>'LTM Balance Sheet'!F25-'LTM Balance Sheet'!F46</f>
        <v>-1389710.0019999994</v>
      </c>
      <c r="G45" s="373">
        <f>'LTM Balance Sheet'!G25-'LTM Balance Sheet'!G46</f>
        <v>17013837.723999999</v>
      </c>
      <c r="H45" s="373">
        <f>'LTM Balance Sheet'!H25-'LTM Balance Sheet'!H46</f>
        <v>2714219.5839999989</v>
      </c>
      <c r="I45" s="373">
        <f>'LTM Balance Sheet'!I25-'LTM Balance Sheet'!I46</f>
        <v>543301.97399999946</v>
      </c>
      <c r="J45" s="373">
        <f>'LTM Balance Sheet'!J25-'LTM Balance Sheet'!J46</f>
        <v>9636821.762000002</v>
      </c>
      <c r="K45" s="373">
        <f>'LTM Balance Sheet'!K25-'LTM Balance Sheet'!K46</f>
        <v>8005403.8779999986</v>
      </c>
      <c r="L45" s="373">
        <f>'LTM Balance Sheet'!L25-'LTM Balance Sheet'!L46</f>
        <v>1879546.7019999996</v>
      </c>
      <c r="M45" s="373">
        <f>'LTM Balance Sheet'!M25-'LTM Balance Sheet'!M46</f>
        <v>13359562.732000001</v>
      </c>
      <c r="N45" s="373">
        <f>'LTM Balance Sheet'!N25-'LTM Balance Sheet'!N46</f>
        <v>4960857.7079999968</v>
      </c>
      <c r="O45" s="373">
        <f>'LTM Balance Sheet'!O25-'LTM Balance Sheet'!O46</f>
        <v>7353005.75</v>
      </c>
      <c r="P45" s="293"/>
      <c r="Q45" s="236"/>
      <c r="R45" s="114"/>
      <c r="S45" s="114"/>
    </row>
    <row r="46" spans="1:19" s="448" customFormat="1">
      <c r="A46" s="444"/>
      <c r="B46" s="444"/>
      <c r="C46" s="445" t="s">
        <v>196</v>
      </c>
      <c r="D46" s="446">
        <f>D44-D45</f>
        <v>-3.7252902984619141E-9</v>
      </c>
      <c r="E46" s="446">
        <f t="shared" ref="E46:L46" si="7">E44-E45</f>
        <v>0</v>
      </c>
      <c r="F46" s="446">
        <f t="shared" si="7"/>
        <v>0</v>
      </c>
      <c r="G46" s="446">
        <f t="shared" si="7"/>
        <v>0</v>
      </c>
      <c r="H46" s="446">
        <f t="shared" si="7"/>
        <v>0</v>
      </c>
      <c r="I46" s="446">
        <f t="shared" si="7"/>
        <v>9.3132257461547852E-10</v>
      </c>
      <c r="J46" s="446">
        <f t="shared" si="7"/>
        <v>0</v>
      </c>
      <c r="K46" s="446">
        <f t="shared" si="7"/>
        <v>0</v>
      </c>
      <c r="L46" s="446">
        <f t="shared" si="7"/>
        <v>0</v>
      </c>
      <c r="M46" s="446">
        <f>M44-M45</f>
        <v>0</v>
      </c>
      <c r="N46" s="446">
        <f t="shared" ref="N46:O46" si="8">N44-N45</f>
        <v>0</v>
      </c>
      <c r="O46" s="446">
        <f t="shared" si="8"/>
        <v>0</v>
      </c>
      <c r="P46" s="444"/>
      <c r="Q46" s="444"/>
      <c r="R46" s="447"/>
      <c r="S46" s="447"/>
    </row>
    <row r="47" spans="1:19" s="316" customFormat="1">
      <c r="A47" s="236"/>
      <c r="B47" s="293"/>
      <c r="C47" s="372"/>
      <c r="D47" s="373"/>
      <c r="E47" s="373"/>
      <c r="F47" s="373"/>
      <c r="G47" s="373"/>
      <c r="H47" s="373"/>
      <c r="I47" s="373"/>
      <c r="J47" s="373"/>
      <c r="K47" s="373"/>
      <c r="L47" s="373"/>
      <c r="M47" s="373"/>
      <c r="N47" s="373"/>
      <c r="O47" s="373"/>
      <c r="P47" s="293"/>
      <c r="Q47" s="236"/>
      <c r="R47" s="114"/>
      <c r="S47" s="114"/>
    </row>
    <row r="48" spans="1:19" s="316" customFormat="1">
      <c r="A48" s="236"/>
      <c r="B48" s="293"/>
      <c r="C48" s="372"/>
      <c r="D48" s="373"/>
      <c r="E48" s="373"/>
      <c r="F48" s="373"/>
      <c r="G48" s="373"/>
      <c r="H48" s="373"/>
      <c r="I48" s="373"/>
      <c r="J48" s="373"/>
      <c r="K48" s="373"/>
      <c r="L48" s="373"/>
      <c r="M48" s="373"/>
      <c r="N48" s="373"/>
      <c r="O48" s="373"/>
      <c r="P48" s="293"/>
      <c r="Q48" s="236"/>
      <c r="R48" s="114"/>
      <c r="S48" s="114"/>
    </row>
    <row r="49" spans="1:19" s="316" customFormat="1">
      <c r="A49" s="236"/>
      <c r="B49" s="236"/>
      <c r="C49" s="374"/>
      <c r="D49" s="375"/>
      <c r="E49" s="375"/>
      <c r="F49" s="375"/>
      <c r="G49" s="375"/>
      <c r="H49" s="375"/>
      <c r="I49" s="375"/>
      <c r="J49" s="375"/>
      <c r="K49" s="375"/>
      <c r="L49" s="375"/>
      <c r="M49" s="375"/>
      <c r="N49" s="375"/>
      <c r="O49" s="375"/>
      <c r="P49" s="236"/>
      <c r="Q49" s="236"/>
      <c r="R49" s="114"/>
      <c r="S49" s="114"/>
    </row>
    <row r="50" spans="1:19">
      <c r="C50" s="374"/>
      <c r="D50" s="375"/>
      <c r="E50" s="375"/>
      <c r="F50" s="375"/>
      <c r="G50" s="375"/>
      <c r="H50" s="375"/>
      <c r="I50" s="375"/>
      <c r="J50" s="375"/>
      <c r="K50" s="375"/>
      <c r="L50" s="375"/>
      <c r="M50" s="375"/>
      <c r="N50" s="375"/>
      <c r="O50" s="375"/>
    </row>
    <row r="51" spans="1:19" ht="18" customHeight="1">
      <c r="B51" s="293"/>
      <c r="C51" s="376" t="s">
        <v>196</v>
      </c>
      <c r="D51" s="377">
        <f>D29-D35-D40</f>
        <v>5488802.9999999963</v>
      </c>
      <c r="E51" s="377">
        <f t="shared" ref="E51:O51" si="9">E29-E35-E40-SUM(E45:E48)</f>
        <v>-20325823.999999996</v>
      </c>
      <c r="F51" s="377">
        <f t="shared" si="9"/>
        <v>-3570489.9019999998</v>
      </c>
      <c r="G51" s="377">
        <f t="shared" si="9"/>
        <v>1379940.0020000003</v>
      </c>
      <c r="H51" s="377">
        <f t="shared" si="9"/>
        <v>-16939755.723999999</v>
      </c>
      <c r="I51" s="377">
        <f t="shared" si="9"/>
        <v>-2746753.5839999989</v>
      </c>
      <c r="J51" s="377">
        <f t="shared" si="9"/>
        <v>-583445.97399999946</v>
      </c>
      <c r="K51" s="377">
        <f t="shared" si="9"/>
        <v>-9646647.762000002</v>
      </c>
      <c r="L51" s="377">
        <f t="shared" si="9"/>
        <v>-7997435.8779999996</v>
      </c>
      <c r="M51" s="377">
        <f t="shared" si="9"/>
        <v>-1839436.7019999996</v>
      </c>
      <c r="N51" s="377">
        <f t="shared" si="9"/>
        <v>-13367196.731999999</v>
      </c>
      <c r="O51" s="377">
        <f t="shared" si="9"/>
        <v>-4969145.7079999922</v>
      </c>
      <c r="P51" s="299"/>
    </row>
    <row r="52" spans="1:19" ht="22">
      <c r="B52" s="295"/>
      <c r="C52" s="737"/>
      <c r="D52" s="737"/>
      <c r="E52" s="737"/>
      <c r="F52" s="355"/>
      <c r="G52" s="355"/>
      <c r="H52" s="355"/>
      <c r="J52" s="340"/>
      <c r="K52" s="798"/>
      <c r="L52" s="798"/>
      <c r="M52" s="798"/>
      <c r="N52" s="355"/>
      <c r="O52" s="355"/>
      <c r="P52" s="293"/>
    </row>
    <row r="53" spans="1:19" ht="34">
      <c r="B53" s="293"/>
      <c r="C53" s="290"/>
      <c r="D53" s="359"/>
      <c r="E53" s="301"/>
      <c r="F53" s="355"/>
      <c r="G53" s="302"/>
      <c r="H53" s="355"/>
      <c r="J53" s="355"/>
      <c r="K53" s="781"/>
      <c r="L53" s="782"/>
      <c r="M53" s="782"/>
      <c r="N53" s="782"/>
      <c r="O53" s="782"/>
      <c r="P53" s="293"/>
    </row>
    <row r="54" spans="1:19" ht="13.25" customHeight="1">
      <c r="B54" s="293"/>
      <c r="C54" s="288"/>
      <c r="D54" s="341"/>
      <c r="E54" s="341"/>
      <c r="F54" s="355"/>
      <c r="G54" s="302"/>
      <c r="H54" s="355"/>
      <c r="J54" s="355"/>
      <c r="K54" s="781"/>
      <c r="L54" s="782"/>
      <c r="M54" s="782"/>
      <c r="N54" s="782"/>
      <c r="O54" s="782"/>
      <c r="P54" s="293"/>
    </row>
    <row r="55" spans="1:19" ht="18">
      <c r="B55" s="293"/>
      <c r="C55" s="249"/>
      <c r="D55" s="360"/>
      <c r="E55" s="360"/>
      <c r="F55" s="300"/>
      <c r="G55" s="361"/>
      <c r="H55" s="355"/>
      <c r="J55" s="355"/>
      <c r="K55" s="782"/>
      <c r="L55" s="782"/>
      <c r="M55" s="782"/>
      <c r="N55" s="782"/>
      <c r="O55" s="782"/>
      <c r="P55" s="293"/>
    </row>
    <row r="56" spans="1:19" ht="18">
      <c r="B56" s="293"/>
      <c r="C56" s="249"/>
      <c r="D56" s="360"/>
      <c r="E56" s="360"/>
      <c r="F56" s="300"/>
      <c r="G56" s="361"/>
      <c r="H56" s="355"/>
      <c r="J56" s="355"/>
      <c r="K56" s="782"/>
      <c r="L56" s="782"/>
      <c r="M56" s="782"/>
      <c r="N56" s="782"/>
      <c r="O56" s="782"/>
      <c r="P56" s="293"/>
    </row>
    <row r="57" spans="1:19" ht="19">
      <c r="B57" s="293"/>
      <c r="C57" s="249"/>
      <c r="D57" s="360"/>
      <c r="E57" s="360"/>
      <c r="F57" s="300"/>
      <c r="G57" s="361"/>
      <c r="H57" s="355"/>
      <c r="J57" s="355"/>
      <c r="K57" s="300"/>
      <c r="L57" s="799"/>
      <c r="M57" s="799"/>
      <c r="N57" s="800"/>
      <c r="O57" s="800"/>
      <c r="P57" s="293"/>
    </row>
    <row r="58" spans="1:19" ht="19">
      <c r="B58" s="293"/>
      <c r="C58" s="246"/>
      <c r="D58" s="357"/>
      <c r="E58" s="356"/>
      <c r="F58" s="355"/>
      <c r="G58" s="355"/>
      <c r="H58" s="355"/>
      <c r="J58" s="355"/>
      <c r="K58" s="300"/>
      <c r="L58" s="357"/>
      <c r="M58" s="356"/>
      <c r="N58" s="355"/>
      <c r="O58" s="355"/>
      <c r="P58" s="293"/>
    </row>
  </sheetData>
  <mergeCells count="6">
    <mergeCell ref="O21:P21"/>
    <mergeCell ref="C52:E52"/>
    <mergeCell ref="K52:M52"/>
    <mergeCell ref="K53:O56"/>
    <mergeCell ref="L57:M57"/>
    <mergeCell ref="N57:O57"/>
  </mergeCells>
  <conditionalFormatting sqref="F53:G54">
    <cfRule type="iconSet" priority="5">
      <iconSet iconSet="3Arrows">
        <cfvo type="percent" val="0"/>
        <cfvo type="num" val="0"/>
        <cfvo type="num" val="9.9999999999999995E-8" gte="0"/>
      </iconSet>
    </cfRule>
  </conditionalFormatting>
  <conditionalFormatting sqref="G57">
    <cfRule type="iconSet" priority="2">
      <iconSet iconSet="3Flags">
        <cfvo type="percent" val="0"/>
        <cfvo type="num" val="0"/>
        <cfvo type="num" val="1.0000000000000001E-17" gte="0"/>
      </iconSet>
    </cfRule>
  </conditionalFormatting>
  <conditionalFormatting sqref="N36:O36">
    <cfRule type="iconSet" priority="6">
      <iconSet iconSet="3Arrows">
        <cfvo type="percent" val="0"/>
        <cfvo type="num" val="0"/>
        <cfvo type="num" val="1E-25" gte="0"/>
      </iconSet>
    </cfRule>
  </conditionalFormatting>
  <conditionalFormatting sqref="N57:O57">
    <cfRule type="iconSet" priority="4">
      <iconSet iconSet="3Arrows">
        <cfvo type="percent" val="0"/>
        <cfvo type="num" val="0"/>
        <cfvo type="num" val="1E-25" gte="0"/>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3" id="{6180FAD5-6052-4EF3-9B38-AA25BD1B86F1}">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G55:G56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3DCDE-FA22-44A1-B787-79A83CAA50B2}">
  <sheetPr codeName="Sheet35">
    <tabColor theme="4" tint="0.79998168889431442"/>
  </sheetPr>
  <dimension ref="A1:T56"/>
  <sheetViews>
    <sheetView showGridLines="0" zoomScale="80" zoomScaleNormal="80" workbookViewId="0">
      <selection sqref="A1:XFD16"/>
    </sheetView>
  </sheetViews>
  <sheetFormatPr baseColWidth="10" defaultColWidth="8.83203125" defaultRowHeight="15"/>
  <cols>
    <col min="1" max="1" width="2.83203125" style="236" customWidth="1"/>
    <col min="2" max="2" width="2.1640625" style="236" customWidth="1"/>
    <col min="3" max="3" width="44.83203125" style="243" bestFit="1" customWidth="1"/>
    <col min="4" max="4" width="12.1640625" style="344" bestFit="1" customWidth="1"/>
    <col min="5" max="15" width="13.83203125" style="344" bestFit="1" customWidth="1"/>
    <col min="16" max="16" width="1.5" style="236" customWidth="1"/>
    <col min="17" max="17" width="8.83203125" style="236"/>
    <col min="18" max="18" width="8.83203125" style="114"/>
    <col min="19" max="19" width="9.5" style="114" bestFit="1" customWidth="1"/>
    <col min="20" max="20" width="11.6640625" style="316" bestFit="1" customWidth="1"/>
    <col min="21" max="16384" width="8.83203125" style="114"/>
  </cols>
  <sheetData>
    <row r="1" spans="2:14" s="114" customFormat="1">
      <c r="B1" s="118"/>
    </row>
    <row r="2" spans="2:14" s="114" customFormat="1">
      <c r="B2" s="118"/>
    </row>
    <row r="3" spans="2:14" s="114" customFormat="1">
      <c r="B3" s="118"/>
    </row>
    <row r="4" spans="2:14" s="114" customFormat="1">
      <c r="B4" s="118"/>
    </row>
    <row r="5" spans="2:14" s="114" customFormat="1">
      <c r="B5" s="118"/>
    </row>
    <row r="6" spans="2:14" s="114" customFormat="1">
      <c r="B6" s="118"/>
    </row>
    <row r="7" spans="2:14" s="114" customFormat="1">
      <c r="B7" s="118"/>
    </row>
    <row r="8" spans="2:14" s="114" customFormat="1">
      <c r="B8" s="118"/>
    </row>
    <row r="9" spans="2:14" s="114" customFormat="1">
      <c r="B9" s="118"/>
    </row>
    <row r="10" spans="2:14" s="114" customFormat="1">
      <c r="B10" s="118"/>
    </row>
    <row r="11" spans="2:14" s="114" customFormat="1">
      <c r="B11" s="118"/>
    </row>
    <row r="12" spans="2:14" s="114" customFormat="1">
      <c r="B12" s="118"/>
    </row>
    <row r="13" spans="2:14" s="114" customFormat="1">
      <c r="B13" s="118"/>
    </row>
    <row r="14" spans="2:14" s="114" customFormat="1">
      <c r="B14" s="118"/>
    </row>
    <row r="15" spans="2:14" s="114" customFormat="1" ht="19">
      <c r="B15" s="118"/>
      <c r="C15" s="147"/>
      <c r="D15" s="147"/>
      <c r="E15" s="147"/>
      <c r="K15" s="280"/>
      <c r="L15" s="280"/>
      <c r="M15" s="280"/>
      <c r="N15" s="280"/>
    </row>
    <row r="16" spans="2:14" s="114" customFormat="1" ht="19">
      <c r="B16" s="118"/>
      <c r="C16" s="147"/>
      <c r="D16" s="147"/>
      <c r="E16" s="147"/>
      <c r="K16" s="280"/>
      <c r="L16" s="280"/>
      <c r="M16" s="280"/>
      <c r="N16" s="280"/>
    </row>
    <row r="17" spans="1:20" ht="16" thickBot="1">
      <c r="A17" s="114"/>
      <c r="B17" s="114"/>
      <c r="C17" s="114"/>
      <c r="D17" s="205"/>
      <c r="E17" s="205"/>
      <c r="F17" s="205"/>
      <c r="G17" s="205"/>
      <c r="H17" s="205"/>
      <c r="I17" s="205"/>
      <c r="J17" s="343"/>
      <c r="K17" s="205"/>
      <c r="L17" s="205"/>
      <c r="M17" s="205"/>
      <c r="N17" s="205"/>
      <c r="O17" s="205"/>
      <c r="P17" s="114"/>
      <c r="Q17" s="114"/>
    </row>
    <row r="18" spans="1:20" s="287" customFormat="1" ht="26.5" customHeight="1" thickBot="1">
      <c r="C18" s="281" t="s">
        <v>174</v>
      </c>
      <c r="D18" s="285">
        <v>1</v>
      </c>
      <c r="E18" s="285">
        <v>2</v>
      </c>
      <c r="F18" s="285">
        <v>3</v>
      </c>
      <c r="G18" s="285">
        <v>4</v>
      </c>
      <c r="H18" s="285">
        <v>5</v>
      </c>
      <c r="I18" s="285">
        <v>6</v>
      </c>
      <c r="J18" s="285">
        <v>7</v>
      </c>
      <c r="K18" s="285">
        <v>8</v>
      </c>
      <c r="L18" s="285">
        <v>9</v>
      </c>
      <c r="M18" s="285">
        <v>10</v>
      </c>
      <c r="N18" s="285">
        <v>11</v>
      </c>
      <c r="O18" s="285">
        <v>12</v>
      </c>
      <c r="Q18" s="285">
        <v>2022</v>
      </c>
      <c r="T18" s="316"/>
    </row>
    <row r="19" spans="1:20">
      <c r="A19" s="114"/>
      <c r="B19" s="114"/>
      <c r="C19" s="118"/>
      <c r="D19" s="205"/>
      <c r="E19" s="205"/>
      <c r="F19" s="205"/>
      <c r="G19" s="205"/>
      <c r="H19" s="205"/>
      <c r="I19" s="205"/>
      <c r="J19" s="205"/>
      <c r="K19" s="205"/>
      <c r="L19" s="205"/>
      <c r="M19" s="205"/>
      <c r="N19" s="205"/>
      <c r="O19" s="205"/>
      <c r="P19" s="114"/>
      <c r="Q19" s="114"/>
    </row>
    <row r="22" spans="1:20">
      <c r="B22" s="234"/>
      <c r="C22" s="251"/>
      <c r="D22" s="205"/>
      <c r="E22" s="205"/>
      <c r="F22" s="205"/>
      <c r="G22" s="205"/>
      <c r="H22" s="205"/>
      <c r="I22" s="205"/>
      <c r="J22" s="205"/>
      <c r="K22" s="205"/>
      <c r="L22" s="205"/>
      <c r="M22" s="205"/>
      <c r="N22" s="205"/>
      <c r="O22" s="762"/>
      <c r="P22" s="762"/>
    </row>
    <row r="23" spans="1:20" s="204" customFormat="1" ht="25">
      <c r="A23" s="244"/>
      <c r="B23" s="252"/>
      <c r="C23" s="366" t="s">
        <v>176</v>
      </c>
      <c r="D23" s="367"/>
      <c r="E23" s="367"/>
      <c r="F23" s="367"/>
      <c r="G23" s="367"/>
      <c r="H23" s="367"/>
      <c r="I23" s="367"/>
      <c r="J23" s="367"/>
      <c r="K23" s="367"/>
      <c r="L23" s="367"/>
      <c r="M23" s="367"/>
      <c r="N23" s="367"/>
      <c r="O23" s="368"/>
      <c r="P23" s="234"/>
      <c r="Q23" s="244"/>
      <c r="T23" s="316"/>
    </row>
    <row r="24" spans="1:20" ht="33.5" customHeight="1">
      <c r="B24" s="234"/>
      <c r="C24" s="369"/>
      <c r="D24" s="370" t="s">
        <v>17</v>
      </c>
      <c r="E24" s="370" t="s">
        <v>18</v>
      </c>
      <c r="F24" s="370" t="s">
        <v>19</v>
      </c>
      <c r="G24" s="370" t="s">
        <v>20</v>
      </c>
      <c r="H24" s="370" t="s">
        <v>21</v>
      </c>
      <c r="I24" s="370" t="s">
        <v>22</v>
      </c>
      <c r="J24" s="370" t="s">
        <v>23</v>
      </c>
      <c r="K24" s="370" t="s">
        <v>24</v>
      </c>
      <c r="L24" s="370" t="s">
        <v>25</v>
      </c>
      <c r="M24" s="370" t="s">
        <v>26</v>
      </c>
      <c r="N24" s="370" t="s">
        <v>27</v>
      </c>
      <c r="O24" s="370" t="s">
        <v>28</v>
      </c>
      <c r="P24" s="362"/>
    </row>
    <row r="25" spans="1:20">
      <c r="B25" s="234"/>
      <c r="C25" s="114" t="s">
        <v>150</v>
      </c>
      <c r="D25" s="364">
        <f>SUMIFS('Jounal entries final'!$H:$H,'Jounal entries final'!$E:$E,$C25,'Jounal entries final'!$B:$B,D$18,'Jounal entries final'!$C:$C,$Q$18)</f>
        <v>3607884</v>
      </c>
      <c r="E25" s="378">
        <f>SUMIFS('Jounal entries final'!$H:$H,'Jounal entries final'!$E:$E,$C25,'Jounal entries final'!$B:$B,E$18,'Jounal entries final'!$C:$C,$Q$18)</f>
        <v>7214915.9019999998</v>
      </c>
      <c r="F25" s="364">
        <f>SUMIFS('Jounal entries final'!$H:$H,'Jounal entries final'!$E:$E,$C25,'Jounal entries final'!$B:$B,F$18,'Jounal entries final'!$C:$C,$Q$18)</f>
        <v>5825205.9000000004</v>
      </c>
      <c r="G25" s="364">
        <f>SUMIFS('Jounal entries final'!$H:$H,'Jounal entries final'!$E:$E,$C25,'Jounal entries final'!$B:$B,G$18,'Jounal entries final'!$C:$C,$Q$18)</f>
        <v>22839043.623999998</v>
      </c>
      <c r="H25" s="364">
        <f>SUMIFS('Jounal entries final'!$H:$H,'Jounal entries final'!$E:$E,$C25,'Jounal entries final'!$B:$B,H$18,'Jounal entries final'!$C:$C,$Q$18)</f>
        <v>25553263.207999997</v>
      </c>
      <c r="I25" s="364">
        <f>SUMIFS('Jounal entries final'!$H:$H,'Jounal entries final'!$E:$E,$C25,'Jounal entries final'!$B:$B,I$18,'Jounal entries final'!$C:$C,$Q$18)</f>
        <v>26096565.181999996</v>
      </c>
      <c r="J25" s="364">
        <f>SUMIFS('Jounal entries final'!$H:$H,'Jounal entries final'!$E:$E,$C25,'Jounal entries final'!$B:$B,J$18,'Jounal entries final'!$C:$C,$Q$18)</f>
        <v>35733386.943999998</v>
      </c>
      <c r="K25" s="364">
        <f>SUMIFS('Jounal entries final'!$H:$H,'Jounal entries final'!$E:$E,$C25,'Jounal entries final'!$B:$B,K$18,'Jounal entries final'!$C:$C,$Q$18)</f>
        <v>43738790.821999997</v>
      </c>
      <c r="L25" s="364">
        <f>SUMIFS('Jounal entries final'!$H:$H,'Jounal entries final'!$E:$E,$C25,'Jounal entries final'!$B:$B,L$18,'Jounal entries final'!$C:$C,$Q$18)</f>
        <v>45618337.523999996</v>
      </c>
      <c r="M25" s="364">
        <f>SUMIFS('Jounal entries final'!$H:$H,'Jounal entries final'!$E:$E,$C25,'Jounal entries final'!$B:$B,M$18,'Jounal entries final'!$C:$C,$Q$18)</f>
        <v>58977900.255999997</v>
      </c>
      <c r="N25" s="364">
        <f>SUMIFS('Jounal entries final'!$H:$H,'Jounal entries final'!$E:$E,$C25,'Jounal entries final'!$B:$B,N$18,'Jounal entries final'!$C:$C,$Q$18)</f>
        <v>63938757.963999994</v>
      </c>
      <c r="O25" s="364">
        <f>SUMIFS('Jounal entries final'!$H:$H,'Jounal entries final'!$E:$E,$C25,'Jounal entries final'!$B:$B,O$18,'Jounal entries final'!$C:$C,$Q$18)</f>
        <v>71291763.714000002</v>
      </c>
      <c r="P25" s="114"/>
    </row>
    <row r="26" spans="1:20">
      <c r="B26" s="234"/>
      <c r="C26" s="114" t="s">
        <v>67</v>
      </c>
      <c r="D26" s="364">
        <f>SUMIFS('Jounal entries final'!$H:$H,'Jounal entries final'!$E:$E,$C26,'Jounal entries final'!$B:$B,D$18,'Jounal entries final'!$C:$C,$Q$18)</f>
        <v>1217348.9700000007</v>
      </c>
      <c r="E26" s="364">
        <f>SUMIFS('Jounal entries final'!$H:$H,'Jounal entries final'!$E:$E,$C26,'Jounal entries final'!$B:$B,E$18,'Jounal entries final'!$C:$C,$Q$18)</f>
        <v>965431.99000000011</v>
      </c>
      <c r="F26" s="364">
        <f>SUMIFS('Jounal entries final'!$H:$H,'Jounal entries final'!$E:$E,$C26,'Jounal entries final'!$B:$B,F$18,'Jounal entries final'!$C:$C,$Q$18)</f>
        <v>2687528.7600000016</v>
      </c>
      <c r="G26" s="364">
        <f>SUMIFS('Jounal entries final'!$H:$H,'Jounal entries final'!$E:$E,$C26,'Jounal entries final'!$B:$B,G$18,'Jounal entries final'!$C:$C,$Q$18)</f>
        <v>2926518.75</v>
      </c>
      <c r="H26" s="364">
        <f>SUMIFS('Jounal entries final'!$H:$H,'Jounal entries final'!$E:$E,$C26,'Jounal entries final'!$B:$B,H$18,'Jounal entries final'!$C:$C,$Q$18)</f>
        <v>3287397.4800000004</v>
      </c>
      <c r="I26" s="364">
        <f>SUMIFS('Jounal entries final'!$H:$H,'Jounal entries final'!$E:$E,$C26,'Jounal entries final'!$B:$B,I$18,'Jounal entries final'!$C:$C,$Q$18)</f>
        <v>4631542.08</v>
      </c>
      <c r="J26" s="364">
        <f>SUMIFS('Jounal entries final'!$H:$H,'Jounal entries final'!$E:$E,$C26,'Jounal entries final'!$B:$B,J$18,'Jounal entries final'!$C:$C,$Q$18)</f>
        <v>5088006.3199999984</v>
      </c>
      <c r="K26" s="364">
        <f>SUMIFS('Jounal entries final'!$H:$H,'Jounal entries final'!$E:$E,$C26,'Jounal entries final'!$B:$B,K$18,'Jounal entries final'!$C:$C,$Q$18)</f>
        <v>5147864.5799999982</v>
      </c>
      <c r="L26" s="364">
        <f>SUMIFS('Jounal entries final'!$H:$H,'Jounal entries final'!$E:$E,$C26,'Jounal entries final'!$B:$B,L$18,'Jounal entries final'!$C:$C,$Q$18)</f>
        <v>5851985.1599999992</v>
      </c>
      <c r="M26" s="364">
        <f>SUMIFS('Jounal entries final'!$H:$H,'Jounal entries final'!$E:$E,$C26,'Jounal entries final'!$B:$B,M$18,'Jounal entries final'!$C:$C,$Q$18)</f>
        <v>6384810.0999999987</v>
      </c>
      <c r="N26" s="364">
        <f>SUMIFS('Jounal entries final'!$H:$H,'Jounal entries final'!$E:$E,$C26,'Jounal entries final'!$B:$B,N$18,'Jounal entries final'!$C:$C,$Q$18)</f>
        <v>6198796.2399999984</v>
      </c>
      <c r="O26" s="364">
        <f>SUMIFS('Jounal entries final'!$H:$H,'Jounal entries final'!$E:$E,$C26,'Jounal entries final'!$B:$B,O$18,'Jounal entries final'!$C:$C,$Q$18)</f>
        <v>6970908.2199999988</v>
      </c>
      <c r="P26" s="114"/>
      <c r="S26" s="316"/>
    </row>
    <row r="27" spans="1:20">
      <c r="B27" s="234"/>
      <c r="C27" s="114" t="s">
        <v>97</v>
      </c>
      <c r="D27" s="364">
        <f>SUMIFS('Jounal entries final'!$H:$H,'Jounal entries final'!$E:$E,$C27,'Jounal entries final'!$B:$B,D$18,'Jounal entries final'!$C:$C,$Q$18)</f>
        <v>15745707</v>
      </c>
      <c r="E27" s="364">
        <f>SUMIFS('Jounal entries final'!$H:$H,'Jounal entries final'!$E:$E,$C27,'Jounal entries final'!$B:$B,E$18,'Jounal entries final'!$C:$C,$Q$18)</f>
        <v>27871048</v>
      </c>
      <c r="F27" s="364">
        <f>SUMIFS('Jounal entries final'!$H:$H,'Jounal entries final'!$E:$E,$C27,'Jounal entries final'!$B:$B,F$18,'Jounal entries final'!$C:$C,$Q$18)</f>
        <v>34858942</v>
      </c>
      <c r="G27" s="364">
        <f>SUMIFS('Jounal entries final'!$H:$H,'Jounal entries final'!$E:$E,$C27,'Jounal entries final'!$B:$B,G$18,'Jounal entries final'!$C:$C,$Q$18)</f>
        <v>25616326</v>
      </c>
      <c r="H27" s="364">
        <f>SUMIFS('Jounal entries final'!$H:$H,'Jounal entries final'!$E:$E,$C27,'Jounal entries final'!$B:$B,H$18,'Jounal entries final'!$C:$C,$Q$18)</f>
        <v>27415787</v>
      </c>
      <c r="I27" s="364">
        <f>SUMIFS('Jounal entries final'!$H:$H,'Jounal entries final'!$E:$E,$C27,'Jounal entries final'!$B:$B,I$18,'Jounal entries final'!$C:$C,$Q$18)</f>
        <v>32249372</v>
      </c>
      <c r="J27" s="364">
        <f>SUMIFS('Jounal entries final'!$H:$H,'Jounal entries final'!$E:$E,$C27,'Jounal entries final'!$B:$B,J$18,'Jounal entries final'!$C:$C,$Q$18)</f>
        <v>31469236</v>
      </c>
      <c r="K27" s="364">
        <f>SUMIFS('Jounal entries final'!$H:$H,'Jounal entries final'!$E:$E,$C27,'Jounal entries final'!$B:$B,K$18,'Jounal entries final'!$C:$C,$Q$18)</f>
        <v>31920418</v>
      </c>
      <c r="L27" s="364">
        <f>SUMIFS('Jounal entries final'!$H:$H,'Jounal entries final'!$E:$E,$C27,'Jounal entries final'!$B:$B,L$18,'Jounal entries final'!$C:$C,$Q$18)</f>
        <v>31815762</v>
      </c>
      <c r="M27" s="364">
        <f>SUMIFS('Jounal entries final'!$H:$H,'Jounal entries final'!$E:$E,$C27,'Jounal entries final'!$B:$B,M$18,'Jounal entries final'!$C:$C,$Q$18)</f>
        <v>25850551</v>
      </c>
      <c r="N27" s="364">
        <f>SUMIFS('Jounal entries final'!$H:$H,'Jounal entries final'!$E:$E,$C27,'Jounal entries final'!$B:$B,N$18,'Jounal entries final'!$C:$C,$Q$18)</f>
        <v>28148846</v>
      </c>
      <c r="O27" s="364">
        <f>SUMIFS('Jounal entries final'!$H:$H,'Jounal entries final'!$E:$E,$C27,'Jounal entries final'!$B:$B,O$18,'Jounal entries final'!$C:$C,$Q$18)</f>
        <v>25655312</v>
      </c>
      <c r="P27" s="114"/>
      <c r="S27" s="316"/>
    </row>
    <row r="28" spans="1:20">
      <c r="B28" s="234"/>
      <c r="C28" s="114" t="s">
        <v>189</v>
      </c>
      <c r="D28" s="364">
        <f>SUMIFS('Jounal entries final'!$H:$H,'Jounal entries final'!$E:$E,$C28,'Jounal entries final'!$B:$B,D$18,'Jounal entries final'!$C:$C,$Q$18)</f>
        <v>45000000</v>
      </c>
      <c r="E28" s="364">
        <f>SUMIFS('Jounal entries final'!$H:$H,'Jounal entries final'!$E:$E,$C28,'Jounal entries final'!$B:$B,E$18,'Jounal entries final'!$C:$C,$Q$18)</f>
        <v>45000000</v>
      </c>
      <c r="F28" s="364">
        <f>SUMIFS('Jounal entries final'!$H:$H,'Jounal entries final'!$E:$E,$C28,'Jounal entries final'!$B:$B,F$18,'Jounal entries final'!$C:$C,$Q$18)</f>
        <v>45000000</v>
      </c>
      <c r="G28" s="364">
        <f>SUMIFS('Jounal entries final'!$H:$H,'Jounal entries final'!$E:$E,$C28,'Jounal entries final'!$B:$B,G$18,'Jounal entries final'!$C:$C,$Q$18)</f>
        <v>45000000</v>
      </c>
      <c r="H28" s="364">
        <f>SUMIFS('Jounal entries final'!$H:$H,'Jounal entries final'!$E:$E,$C28,'Jounal entries final'!$B:$B,H$18,'Jounal entries final'!$C:$C,$Q$18)</f>
        <v>45000000</v>
      </c>
      <c r="I28" s="364">
        <f>SUMIFS('Jounal entries final'!$H:$H,'Jounal entries final'!$E:$E,$C28,'Jounal entries final'!$B:$B,I$18,'Jounal entries final'!$C:$C,$Q$18)</f>
        <v>45000000</v>
      </c>
      <c r="J28" s="364">
        <f>SUMIFS('Jounal entries final'!$H:$H,'Jounal entries final'!$E:$E,$C28,'Jounal entries final'!$B:$B,J$18,'Jounal entries final'!$C:$C,$Q$18)</f>
        <v>45000000</v>
      </c>
      <c r="K28" s="364">
        <f>SUMIFS('Jounal entries final'!$H:$H,'Jounal entries final'!$E:$E,$C28,'Jounal entries final'!$B:$B,K$18,'Jounal entries final'!$C:$C,$Q$18)</f>
        <v>45000000</v>
      </c>
      <c r="L28" s="364">
        <f>SUMIFS('Jounal entries final'!$H:$H,'Jounal entries final'!$E:$E,$C28,'Jounal entries final'!$B:$B,L$18,'Jounal entries final'!$C:$C,$Q$18)</f>
        <v>45000000</v>
      </c>
      <c r="M28" s="364">
        <f>SUMIFS('Jounal entries final'!$H:$H,'Jounal entries final'!$E:$E,$C28,'Jounal entries final'!$B:$B,M$18,'Jounal entries final'!$C:$C,$Q$18)</f>
        <v>45000000</v>
      </c>
      <c r="N28" s="364">
        <f>SUMIFS('Jounal entries final'!$H:$H,'Jounal entries final'!$E:$E,$C28,'Jounal entries final'!$B:$B,N$18,'Jounal entries final'!$C:$C,$Q$18)</f>
        <v>45000000</v>
      </c>
      <c r="O28" s="364">
        <f>SUMIFS('Jounal entries final'!$H:$H,'Jounal entries final'!$E:$E,$C28,'Jounal entries final'!$B:$B,O$18,'Jounal entries final'!$C:$C,$Q$18)</f>
        <v>45000000</v>
      </c>
      <c r="P28" s="114"/>
      <c r="S28" s="316"/>
    </row>
    <row r="29" spans="1:20">
      <c r="B29" s="114"/>
      <c r="C29" s="114" t="s">
        <v>190</v>
      </c>
      <c r="D29" s="364">
        <f>SUMIFS('Jounal entries final'!$H:$H,'Jounal entries final'!$E:$E,$C29,'Jounal entries final'!$B:$B,D$18,'Jounal entries final'!$C:$C,$Q$18)</f>
        <v>9045000</v>
      </c>
      <c r="E29" s="364">
        <f>SUMIFS('Jounal entries final'!$H:$H,'Jounal entries final'!$E:$E,$C29,'Jounal entries final'!$B:$B,E$18,'Jounal entries final'!$C:$C,$Q$18)</f>
        <v>9045000</v>
      </c>
      <c r="F29" s="364">
        <f>SUMIFS('Jounal entries final'!$H:$H,'Jounal entries final'!$E:$E,$C29,'Jounal entries final'!$B:$B,F$18,'Jounal entries final'!$C:$C,$Q$18)</f>
        <v>9045000</v>
      </c>
      <c r="G29" s="364">
        <f>SUMIFS('Jounal entries final'!$H:$H,'Jounal entries final'!$E:$E,$C29,'Jounal entries final'!$B:$B,G$18,'Jounal entries final'!$C:$C,$Q$18)</f>
        <v>9045000</v>
      </c>
      <c r="H29" s="364">
        <f>SUMIFS('Jounal entries final'!$H:$H,'Jounal entries final'!$E:$E,$C29,'Jounal entries final'!$B:$B,H$18,'Jounal entries final'!$C:$C,$Q$18)</f>
        <v>9045000</v>
      </c>
      <c r="I29" s="364">
        <f>SUMIFS('Jounal entries final'!$H:$H,'Jounal entries final'!$E:$E,$C29,'Jounal entries final'!$B:$B,I$18,'Jounal entries final'!$C:$C,$Q$18)</f>
        <v>9045000</v>
      </c>
      <c r="J29" s="364">
        <f>SUMIFS('Jounal entries final'!$H:$H,'Jounal entries final'!$E:$E,$C29,'Jounal entries final'!$B:$B,J$18,'Jounal entries final'!$C:$C,$Q$18)</f>
        <v>9045000</v>
      </c>
      <c r="K29" s="364">
        <f>SUMIFS('Jounal entries final'!$H:$H,'Jounal entries final'!$E:$E,$C29,'Jounal entries final'!$B:$B,K$18,'Jounal entries final'!$C:$C,$Q$18)</f>
        <v>9045000</v>
      </c>
      <c r="L29" s="364">
        <f>SUMIFS('Jounal entries final'!$H:$H,'Jounal entries final'!$E:$E,$C29,'Jounal entries final'!$B:$B,L$18,'Jounal entries final'!$C:$C,$Q$18)</f>
        <v>9045000</v>
      </c>
      <c r="M29" s="364">
        <f>SUMIFS('Jounal entries final'!$H:$H,'Jounal entries final'!$E:$E,$C29,'Jounal entries final'!$B:$B,M$18,'Jounal entries final'!$C:$C,$Q$18)</f>
        <v>9045000</v>
      </c>
      <c r="N29" s="364">
        <f>SUMIFS('Jounal entries final'!$H:$H,'Jounal entries final'!$E:$E,$C29,'Jounal entries final'!$B:$B,N$18,'Jounal entries final'!$C:$C,$Q$18)</f>
        <v>9045000</v>
      </c>
      <c r="O29" s="364">
        <f>SUMIFS('Jounal entries final'!$H:$H,'Jounal entries final'!$E:$E,$C29,'Jounal entries final'!$B:$B,O$18,'Jounal entries final'!$C:$C,$Q$18)</f>
        <v>9045000</v>
      </c>
      <c r="P29" s="114"/>
      <c r="S29" s="316"/>
    </row>
    <row r="30" spans="1:20" ht="18">
      <c r="B30" s="114"/>
      <c r="C30" s="319" t="s">
        <v>194</v>
      </c>
      <c r="D30" s="363">
        <f>SUM(D25:D29)</f>
        <v>74615939.969999999</v>
      </c>
      <c r="E30" s="363">
        <f t="shared" ref="E30" si="0">SUM(E25:E29)</f>
        <v>90096395.89199999</v>
      </c>
      <c r="F30" s="363">
        <f t="shared" ref="F30" si="1">SUM(F25:F29)</f>
        <v>97416676.659999996</v>
      </c>
      <c r="G30" s="363">
        <f t="shared" ref="G30" si="2">SUM(G25:G29)</f>
        <v>105426888.374</v>
      </c>
      <c r="H30" s="363">
        <f t="shared" ref="H30" si="3">SUM(H25:H29)</f>
        <v>110301447.68799999</v>
      </c>
      <c r="I30" s="363">
        <f t="shared" ref="I30" si="4">SUM(I25:I29)</f>
        <v>117022479.26199999</v>
      </c>
      <c r="J30" s="363">
        <f t="shared" ref="J30" si="5">SUM(J25:J29)</f>
        <v>126335629.264</v>
      </c>
      <c r="K30" s="363">
        <f t="shared" ref="K30" si="6">SUM(K25:K29)</f>
        <v>134852073.40200001</v>
      </c>
      <c r="L30" s="363">
        <f t="shared" ref="L30" si="7">SUM(L25:L29)</f>
        <v>137331084.68399999</v>
      </c>
      <c r="M30" s="363">
        <f t="shared" ref="M30" si="8">SUM(M25:M29)</f>
        <v>145258261.35600001</v>
      </c>
      <c r="N30" s="363">
        <f t="shared" ref="N30" si="9">SUM(N25:N29)</f>
        <v>152331400.204</v>
      </c>
      <c r="O30" s="363">
        <f t="shared" ref="O30" si="10">SUM(O25:O29)</f>
        <v>157962983.93400002</v>
      </c>
      <c r="P30" s="114"/>
      <c r="S30" s="316"/>
    </row>
    <row r="31" spans="1:20" ht="16">
      <c r="B31" s="234"/>
      <c r="C31" s="118"/>
      <c r="D31" s="365"/>
      <c r="E31" s="365"/>
      <c r="F31" s="365"/>
      <c r="G31" s="365"/>
      <c r="H31" s="365"/>
      <c r="I31" s="365"/>
      <c r="J31" s="365"/>
      <c r="K31" s="365"/>
      <c r="L31" s="365"/>
      <c r="M31" s="365"/>
      <c r="N31" s="365"/>
      <c r="O31" s="365"/>
      <c r="P31" s="364">
        <f>SUMIFS('Jounal entries final'!$H:$H,'Jounal entries final'!$E:$E,$C31,'Jounal entries final'!$B:$B,P$18,'Jounal entries final'!$C:$C,$Q$18)</f>
        <v>0</v>
      </c>
      <c r="S31" s="316"/>
    </row>
    <row r="32" spans="1:20" ht="22">
      <c r="B32" s="252"/>
      <c r="C32" s="114"/>
      <c r="D32" s="364"/>
      <c r="E32" s="364"/>
      <c r="F32" s="364"/>
      <c r="G32" s="364"/>
      <c r="H32" s="364"/>
      <c r="I32" s="364"/>
      <c r="J32" s="364"/>
      <c r="K32" s="364"/>
      <c r="L32" s="364"/>
      <c r="M32" s="364"/>
      <c r="N32" s="364"/>
      <c r="O32" s="364"/>
      <c r="P32" s="364">
        <f>SUMIFS('Jounal entries final'!$H:$H,'Jounal entries final'!$E:$E,$C32,'Jounal entries final'!$B:$B,P$18,'Jounal entries final'!$C:$C,$Q$18)</f>
        <v>0</v>
      </c>
      <c r="S32" s="316"/>
    </row>
    <row r="33" spans="2:19">
      <c r="B33" s="234"/>
      <c r="C33" s="114" t="s">
        <v>68</v>
      </c>
      <c r="D33" s="364">
        <f>-SUMIFS('Jounal entries final'!$H:$H,'Jounal entries final'!$E:$E,$C33,'Jounal entries final'!$B:$B,D$18,'Jounal entries final'!$C:$C,$Q$18)</f>
        <v>21833695</v>
      </c>
      <c r="E33" s="364">
        <f>-SUMIFS('Jounal entries final'!$H:$H,'Jounal entries final'!$E:$E,$C33,'Jounal entries final'!$B:$B,E$18,'Jounal entries final'!$C:$C,$Q$18)</f>
        <v>29646200</v>
      </c>
      <c r="F33" s="364">
        <f>-SUMIFS('Jounal entries final'!$H:$H,'Jounal entries final'!$E:$E,$C33,'Jounal entries final'!$B:$B,F$18,'Jounal entries final'!$C:$C,$Q$18)</f>
        <v>31818810</v>
      </c>
      <c r="G33" s="364">
        <f>-SUMIFS('Jounal entries final'!$H:$H,'Jounal entries final'!$E:$E,$C33,'Jounal entries final'!$B:$B,G$18,'Jounal entries final'!$C:$C,$Q$18)</f>
        <v>33312505</v>
      </c>
      <c r="H33" s="364">
        <f>-SUMIFS('Jounal entries final'!$H:$H,'Jounal entries final'!$E:$E,$C33,'Jounal entries final'!$B:$B,H$18,'Jounal entries final'!$C:$C,$Q$18)</f>
        <v>29079495</v>
      </c>
      <c r="I33" s="364">
        <f>-SUMIFS('Jounal entries final'!$H:$H,'Jounal entries final'!$E:$E,$C33,'Jounal entries final'!$B:$B,I$18,'Jounal entries final'!$C:$C,$Q$18)</f>
        <v>26707000</v>
      </c>
      <c r="J33" s="364">
        <f>-SUMIFS('Jounal entries final'!$H:$H,'Jounal entries final'!$E:$E,$C33,'Jounal entries final'!$B:$B,J$18,'Jounal entries final'!$C:$C,$Q$18)</f>
        <v>32809000</v>
      </c>
      <c r="K33" s="364">
        <f>-SUMIFS('Jounal entries final'!$H:$H,'Jounal entries final'!$E:$E,$C33,'Jounal entries final'!$B:$B,K$18,'Jounal entries final'!$C:$C,$Q$18)</f>
        <v>35846010</v>
      </c>
      <c r="L33" s="364">
        <f>-SUMIFS('Jounal entries final'!$H:$H,'Jounal entries final'!$E:$E,$C33,'Jounal entries final'!$B:$B,L$18,'Jounal entries final'!$C:$C,$Q$18)</f>
        <v>23717265</v>
      </c>
      <c r="M33" s="364">
        <f>-SUMIFS('Jounal entries final'!$H:$H,'Jounal entries final'!$E:$E,$C33,'Jounal entries final'!$B:$B,M$18,'Jounal entries final'!$C:$C,$Q$18)</f>
        <v>30787275</v>
      </c>
      <c r="N33" s="364">
        <f>-SUMIFS('Jounal entries final'!$H:$H,'Jounal entries final'!$E:$E,$C33,'Jounal entries final'!$B:$B,N$18,'Jounal entries final'!$C:$C,$Q$18)</f>
        <v>30693580</v>
      </c>
      <c r="O33" s="364">
        <f>-SUMIFS('Jounal entries final'!$H:$H,'Jounal entries final'!$E:$E,$C33,'Jounal entries final'!$B:$B,O$18,'Jounal entries final'!$C:$C,$Q$18)</f>
        <v>27730960</v>
      </c>
      <c r="P33" s="364">
        <f>-SUMIFS('Jounal entries final'!$H:$H,'Jounal entries final'!$E:$E,$C33,'Jounal entries final'!$B:$B,P$18,'Jounal entries final'!$C:$C,$Q$18)</f>
        <v>0</v>
      </c>
      <c r="S33" s="316"/>
    </row>
    <row r="34" spans="2:19">
      <c r="B34" s="234"/>
      <c r="C34" s="114" t="s">
        <v>192</v>
      </c>
      <c r="D34" s="378">
        <f>-SUMIFS('Jounal entries final'!$H:$H,'Jounal entries final'!$E:$E,$C34,'Jounal entries final'!$B:$B,D$18,'Jounal entries final'!$C:$C,$Q$18)</f>
        <v>10500000</v>
      </c>
      <c r="E34" s="378">
        <f>-SUMIFS('Jounal entries final'!$H:$H,'Jounal entries final'!$E:$E,$C34,'Jounal entries final'!$B:$B,E$18,'Jounal entries final'!$C:$C,$Q$18)</f>
        <v>10500000</v>
      </c>
      <c r="F34" s="364">
        <f>-SUMIFS('Jounal entries final'!$H:$H,'Jounal entries final'!$E:$E,$C34,'Jounal entries final'!$B:$B,F$18,'Jounal entries final'!$C:$C,$Q$18)</f>
        <v>10500000</v>
      </c>
      <c r="G34" s="364">
        <f>-SUMIFS('Jounal entries final'!$H:$H,'Jounal entries final'!$E:$E,$C34,'Jounal entries final'!$B:$B,G$18,'Jounal entries final'!$C:$C,$Q$18)</f>
        <v>10500000</v>
      </c>
      <c r="H34" s="364">
        <f>-SUMIFS('Jounal entries final'!$H:$H,'Jounal entries final'!$E:$E,$C34,'Jounal entries final'!$B:$B,H$18,'Jounal entries final'!$C:$C,$Q$18)</f>
        <v>10500000</v>
      </c>
      <c r="I34" s="364">
        <f>-SUMIFS('Jounal entries final'!$H:$H,'Jounal entries final'!$E:$E,$C34,'Jounal entries final'!$B:$B,I$18,'Jounal entries final'!$C:$C,$Q$18)</f>
        <v>10500000</v>
      </c>
      <c r="J34" s="364">
        <f>-SUMIFS('Jounal entries final'!$H:$H,'Jounal entries final'!$E:$E,$C34,'Jounal entries final'!$B:$B,J$18,'Jounal entries final'!$C:$C,$Q$18)</f>
        <v>10500000</v>
      </c>
      <c r="K34" s="364">
        <f>-SUMIFS('Jounal entries final'!$H:$H,'Jounal entries final'!$E:$E,$C34,'Jounal entries final'!$B:$B,K$18,'Jounal entries final'!$C:$C,$Q$18)</f>
        <v>10500000</v>
      </c>
      <c r="L34" s="364">
        <f>-SUMIFS('Jounal entries final'!$H:$H,'Jounal entries final'!$E:$E,$C34,'Jounal entries final'!$B:$B,L$18,'Jounal entries final'!$C:$C,$Q$18)</f>
        <v>10500000</v>
      </c>
      <c r="M34" s="364">
        <f>-SUMIFS('Jounal entries final'!$H:$H,'Jounal entries final'!$E:$E,$C34,'Jounal entries final'!$B:$B,M$18,'Jounal entries final'!$C:$C,$Q$18)</f>
        <v>10500000</v>
      </c>
      <c r="N34" s="364">
        <f>-SUMIFS('Jounal entries final'!$H:$H,'Jounal entries final'!$E:$E,$C34,'Jounal entries final'!$B:$B,N$18,'Jounal entries final'!$C:$C,$Q$18)</f>
        <v>10500000</v>
      </c>
      <c r="O34" s="364">
        <f>-SUMIFS('Jounal entries final'!$H:$H,'Jounal entries final'!$E:$E,$C34,'Jounal entries final'!$B:$B,O$18,'Jounal entries final'!$C:$C,$Q$18)</f>
        <v>10500000</v>
      </c>
      <c r="P34" s="364">
        <f>-SUMIFS('Jounal entries final'!$H:$H,'Jounal entries final'!$E:$E,$C34,'Jounal entries final'!$B:$B,P$18,'Jounal entries final'!$C:$C,$Q$18)</f>
        <v>0</v>
      </c>
      <c r="S34" s="316"/>
    </row>
    <row r="35" spans="2:19" ht="18">
      <c r="B35" s="234"/>
      <c r="C35" s="319" t="s">
        <v>184</v>
      </c>
      <c r="D35" s="363">
        <f>SUM(D33:D34)</f>
        <v>32333695</v>
      </c>
      <c r="E35" s="363">
        <f>SUM(E33:E34)</f>
        <v>40146200</v>
      </c>
      <c r="F35" s="363">
        <f t="shared" ref="F35:O35" si="11">SUM(F33:F34)</f>
        <v>42318810</v>
      </c>
      <c r="G35" s="363">
        <f t="shared" si="11"/>
        <v>43812505</v>
      </c>
      <c r="H35" s="363">
        <f t="shared" si="11"/>
        <v>39579495</v>
      </c>
      <c r="I35" s="363">
        <f t="shared" si="11"/>
        <v>37207000</v>
      </c>
      <c r="J35" s="363">
        <f t="shared" si="11"/>
        <v>43309000</v>
      </c>
      <c r="K35" s="363">
        <f t="shared" si="11"/>
        <v>46346010</v>
      </c>
      <c r="L35" s="363">
        <f t="shared" si="11"/>
        <v>34217265</v>
      </c>
      <c r="M35" s="363">
        <f t="shared" si="11"/>
        <v>41287275</v>
      </c>
      <c r="N35" s="363">
        <f t="shared" si="11"/>
        <v>41193580</v>
      </c>
      <c r="O35" s="363">
        <f t="shared" si="11"/>
        <v>38230960</v>
      </c>
      <c r="P35" s="234"/>
    </row>
    <row r="36" spans="2:19" ht="19">
      <c r="B36" s="234"/>
      <c r="C36" s="118"/>
      <c r="D36" s="346"/>
      <c r="E36" s="338"/>
      <c r="F36" s="338"/>
      <c r="G36" s="339"/>
      <c r="H36" s="338"/>
      <c r="I36" s="205"/>
      <c r="J36" s="345"/>
      <c r="K36" s="336"/>
      <c r="L36" s="349"/>
      <c r="M36" s="349"/>
      <c r="N36" s="350"/>
      <c r="O36" s="350"/>
      <c r="P36" s="234"/>
    </row>
    <row r="37" spans="2:19">
      <c r="B37" s="234"/>
      <c r="C37" s="114" t="s">
        <v>156</v>
      </c>
      <c r="D37" s="378">
        <f>-SUMIFS('Jounal entries final'!$H:$H,'Jounal entries final'!$E:$E,$C37,'Jounal entries final'!$B:$B,D$18,'Jounal entries final'!$C:$C,$Q$18)</f>
        <v>50000000</v>
      </c>
      <c r="E37" s="378">
        <f>-SUMIFS('Jounal entries final'!$H:$H,'Jounal entries final'!$E:$E,$C37,'Jounal entries final'!$B:$B,E$18,'Jounal entries final'!$C:$C,$Q$18)</f>
        <v>50000000</v>
      </c>
      <c r="F37" s="364">
        <f>-SUMIFS('Jounal entries final'!$H:$H,'Jounal entries final'!$E:$E,$C37,'Jounal entries final'!$B:$B,F$18,'Jounal entries final'!$C:$C,$Q$18)</f>
        <v>50000000</v>
      </c>
      <c r="G37" s="364">
        <f>-SUMIFS('Jounal entries final'!$H:$H,'Jounal entries final'!$E:$E,$C37,'Jounal entries final'!$B:$B,G$18,'Jounal entries final'!$C:$C,$Q$18)</f>
        <v>50000000</v>
      </c>
      <c r="H37" s="364">
        <f>-SUMIFS('Jounal entries final'!$H:$H,'Jounal entries final'!$E:$E,$C37,'Jounal entries final'!$B:$B,H$18,'Jounal entries final'!$C:$C,$Q$18)</f>
        <v>50000000</v>
      </c>
      <c r="I37" s="364">
        <f>-SUMIFS('Jounal entries final'!$H:$H,'Jounal entries final'!$E:$E,$C37,'Jounal entries final'!$B:$B,I$18,'Jounal entries final'!$C:$C,$Q$18)</f>
        <v>50000000</v>
      </c>
      <c r="J37" s="364">
        <f>-SUMIFS('Jounal entries final'!$H:$H,'Jounal entries final'!$E:$E,$C37,'Jounal entries final'!$B:$B,J$18,'Jounal entries final'!$C:$C,$Q$18)</f>
        <v>50000000</v>
      </c>
      <c r="K37" s="364">
        <f>-SUMIFS('Jounal entries final'!$H:$H,'Jounal entries final'!$E:$E,$C37,'Jounal entries final'!$B:$B,K$18,'Jounal entries final'!$C:$C,$Q$18)</f>
        <v>50000000</v>
      </c>
      <c r="L37" s="364">
        <f>-SUMIFS('Jounal entries final'!$H:$H,'Jounal entries final'!$E:$E,$C37,'Jounal entries final'!$B:$B,L$18,'Jounal entries final'!$C:$C,$Q$18)</f>
        <v>50000000</v>
      </c>
      <c r="M37" s="364">
        <f>-SUMIFS('Jounal entries final'!$H:$H,'Jounal entries final'!$E:$E,$C37,'Jounal entries final'!$B:$B,M$18,'Jounal entries final'!$C:$C,$Q$18)</f>
        <v>50000000</v>
      </c>
      <c r="N37" s="364">
        <f>-SUMIFS('Jounal entries final'!$H:$H,'Jounal entries final'!$E:$E,$C37,'Jounal entries final'!$B:$B,N$18,'Jounal entries final'!$C:$C,$Q$18)</f>
        <v>50000000</v>
      </c>
      <c r="O37" s="364">
        <f>-SUMIFS('Jounal entries final'!$H:$H,'Jounal entries final'!$E:$E,$C37,'Jounal entries final'!$B:$B,O$18,'Jounal entries final'!$C:$C,$Q$18)</f>
        <v>50000000</v>
      </c>
      <c r="P37" s="234"/>
      <c r="S37" s="316"/>
    </row>
    <row r="38" spans="2:19">
      <c r="B38" s="114"/>
      <c r="C38" s="114" t="s">
        <v>185</v>
      </c>
      <c r="D38" s="378">
        <f>SUMIFS('Jounal entries final'!$H:$H,'Jounal entries final'!$E:$E,$C38,'Jounal entries final'!$B:$B,D$18,'Jounal entries final'!$C:$C,$Q$18)</f>
        <v>8334919</v>
      </c>
      <c r="E38" s="378">
        <f>-SUMIFS('Jounal entries final'!$H:$H,'Jounal entries final'!$E:$E,$C38,'Jounal entries final'!$B:$B,E$18,'Jounal entries final'!$C:$C,$Q$18)</f>
        <v>0</v>
      </c>
      <c r="F38" s="364">
        <f>-SUMIFS('Jounal entries final'!$H:$H,'Jounal entries final'!$E:$E,$C38,'Jounal entries final'!$B:$B,F$18,'Jounal entries final'!$C:$C,$Q$18)</f>
        <v>0</v>
      </c>
      <c r="G38" s="364">
        <f>-SUMIFS('Jounal entries final'!$H:$H,'Jounal entries final'!$E:$E,$C38,'Jounal entries final'!$B:$B,G$18,'Jounal entries final'!$C:$C,$Q$18)</f>
        <v>0</v>
      </c>
      <c r="H38" s="364">
        <f>-SUMIFS('Jounal entries final'!$H:$H,'Jounal entries final'!$E:$E,$C38,'Jounal entries final'!$B:$B,H$18,'Jounal entries final'!$C:$C,$Q$18)</f>
        <v>0</v>
      </c>
      <c r="I38" s="364">
        <f>-SUMIFS('Jounal entries final'!$H:$H,'Jounal entries final'!$E:$E,$C38,'Jounal entries final'!$B:$B,I$18,'Jounal entries final'!$C:$C,$Q$18)</f>
        <v>0</v>
      </c>
      <c r="J38" s="364">
        <f>-SUMIFS('Jounal entries final'!$H:$H,'Jounal entries final'!$E:$E,$C38,'Jounal entries final'!$B:$B,J$18,'Jounal entries final'!$C:$C,$Q$18)</f>
        <v>0</v>
      </c>
      <c r="K38" s="364">
        <f>-SUMIFS('Jounal entries final'!$H:$H,'Jounal entries final'!$E:$E,$C38,'Jounal entries final'!$B:$B,K$18,'Jounal entries final'!$C:$C,$Q$18)</f>
        <v>0</v>
      </c>
      <c r="L38" s="364">
        <f>-SUMIFS('Jounal entries final'!$H:$H,'Jounal entries final'!$E:$E,$C38,'Jounal entries final'!$B:$B,L$18,'Jounal entries final'!$C:$C,$Q$18)</f>
        <v>0</v>
      </c>
      <c r="M38" s="364">
        <f>-SUMIFS('Jounal entries final'!$H:$H,'Jounal entries final'!$E:$E,$C38,'Jounal entries final'!$B:$B,M$18,'Jounal entries final'!$C:$C,$Q$18)</f>
        <v>0</v>
      </c>
      <c r="N38" s="364">
        <f>-SUMIFS('Jounal entries final'!$H:$H,'Jounal entries final'!$E:$E,$C38,'Jounal entries final'!$B:$B,N$18,'Jounal entries final'!$C:$C,$Q$18)</f>
        <v>0</v>
      </c>
      <c r="O38" s="364">
        <f>-SUMIFS('Jounal entries final'!$H:$H,'Jounal entries final'!$E:$E,$C38,'Jounal entries final'!$B:$B,O$18,'Jounal entries final'!$C:$C,$Q$18)</f>
        <v>0</v>
      </c>
      <c r="P38" s="234"/>
      <c r="S38" s="316"/>
    </row>
    <row r="39" spans="2:19">
      <c r="B39" s="114"/>
      <c r="C39" s="114" t="s">
        <v>222</v>
      </c>
      <c r="D39" s="364">
        <f>'LTM P&amp;L'!D39</f>
        <v>617163.96999999695</v>
      </c>
      <c r="E39" s="364">
        <f>'LTM P&amp;L'!E39</f>
        <v>1212950.9219999984</v>
      </c>
      <c r="F39" s="364">
        <f>'LTM P&amp;L'!F39</f>
        <v>-221024.23199999891</v>
      </c>
      <c r="G39" s="364">
        <f>'LTM P&amp;L'!G39</f>
        <v>265211.71399999969</v>
      </c>
      <c r="H39" s="364">
        <f>'LTM P&amp;L'!H39</f>
        <v>-108935.68600000069</v>
      </c>
      <c r="I39" s="364">
        <f>'LTM P&amp;L'!I39</f>
        <v>2188031.574000001</v>
      </c>
      <c r="J39" s="364">
        <f>'LTM P&amp;L'!J39</f>
        <v>768150.00200000219</v>
      </c>
      <c r="K39" s="364">
        <f>'LTM P&amp;L'!K39</f>
        <v>-502060.86199999973</v>
      </c>
      <c r="L39" s="364">
        <f>'LTM P&amp;L'!L39</f>
        <v>806631.28200000059</v>
      </c>
      <c r="M39" s="364">
        <f>'LTM P&amp;L'!M39</f>
        <v>328481.67200000025</v>
      </c>
      <c r="N39" s="364">
        <f>'LTM P&amp;L'!N39</f>
        <v>93138.847999997437</v>
      </c>
      <c r="O39" s="364">
        <f>'LTM P&amp;L'!O39</f>
        <v>395393.73000000603</v>
      </c>
      <c r="P39" s="234"/>
      <c r="S39" s="316"/>
    </row>
    <row r="40" spans="2:19" ht="18">
      <c r="B40" s="234"/>
      <c r="C40" s="319" t="s">
        <v>195</v>
      </c>
      <c r="D40" s="363">
        <f>D37-D38+D39</f>
        <v>42282244.969999999</v>
      </c>
      <c r="E40" s="363">
        <f>+E39+E37-E38</f>
        <v>51212950.921999998</v>
      </c>
      <c r="F40" s="363">
        <f t="shared" ref="F40:O40" si="12">+F39+F37-F38</f>
        <v>49778975.767999999</v>
      </c>
      <c r="G40" s="363">
        <f t="shared" si="12"/>
        <v>50265211.714000002</v>
      </c>
      <c r="H40" s="363">
        <f t="shared" si="12"/>
        <v>49891064.313999996</v>
      </c>
      <c r="I40" s="363">
        <f t="shared" si="12"/>
        <v>52188031.574000001</v>
      </c>
      <c r="J40" s="363">
        <f t="shared" si="12"/>
        <v>50768150.002000004</v>
      </c>
      <c r="K40" s="363">
        <f t="shared" si="12"/>
        <v>49497939.137999997</v>
      </c>
      <c r="L40" s="363">
        <f t="shared" si="12"/>
        <v>50806631.281999998</v>
      </c>
      <c r="M40" s="363">
        <f t="shared" si="12"/>
        <v>50328481.671999998</v>
      </c>
      <c r="N40" s="363">
        <f t="shared" si="12"/>
        <v>50093138.847999997</v>
      </c>
      <c r="O40" s="363">
        <f t="shared" si="12"/>
        <v>50395393.730000004</v>
      </c>
      <c r="P40" s="234"/>
    </row>
    <row r="41" spans="2:19" ht="22">
      <c r="B41" s="252"/>
      <c r="C41" s="306"/>
      <c r="D41" s="336"/>
      <c r="E41" s="336"/>
      <c r="F41" s="352"/>
      <c r="G41" s="352"/>
      <c r="H41" s="352"/>
      <c r="I41" s="205"/>
      <c r="J41" s="345"/>
      <c r="K41" s="336"/>
      <c r="L41" s="351"/>
      <c r="M41" s="352"/>
      <c r="N41" s="345"/>
      <c r="O41" s="345"/>
      <c r="P41" s="234"/>
    </row>
    <row r="42" spans="2:19" ht="34">
      <c r="B42" s="293"/>
      <c r="C42" s="289"/>
      <c r="D42" s="301"/>
      <c r="E42" s="301"/>
      <c r="F42" s="355"/>
      <c r="G42" s="302"/>
      <c r="H42" s="355"/>
      <c r="J42" s="355"/>
      <c r="K42" s="311"/>
      <c r="L42" s="312"/>
      <c r="M42" s="312"/>
      <c r="N42" s="312"/>
      <c r="O42" s="312"/>
      <c r="P42" s="293"/>
    </row>
    <row r="43" spans="2:19">
      <c r="B43" s="293"/>
      <c r="C43" s="372" t="s">
        <v>229</v>
      </c>
      <c r="D43" s="373">
        <f>SUMIFS('Jounal entries final'!$H:$H,'Jounal entries final'!$E:$E,$C43,'Jounal entries final'!$B:$B,D$18,'Jounal entries final'!$C:$C,$Q$18)</f>
        <v>0</v>
      </c>
      <c r="E43" s="373">
        <f>-SUMIFS('Jounal entries final'!$H:$H,'Jounal entries final'!$E:$E,$C43,'Jounal entries final'!$B:$B,E$18,'Jounal entries final'!$C:$C,$Q$18)</f>
        <v>-21833695</v>
      </c>
      <c r="F43" s="373">
        <f>-SUMIFS('Jounal entries final'!$H:$H,'Jounal entries final'!$E:$E,$C43,'Jounal entries final'!$B:$B,F$18,'Jounal entries final'!$C:$C,$Q$18)</f>
        <v>-30732505</v>
      </c>
      <c r="G43" s="373">
        <f>-SUMIFS('Jounal entries final'!$H:$H,'Jounal entries final'!$E:$E,$C43,'Jounal entries final'!$B:$B,G$18,'Jounal entries final'!$C:$C,$Q$18)</f>
        <v>-32022505</v>
      </c>
      <c r="H43" s="373">
        <f>-SUMIFS('Jounal entries final'!$H:$H,'Jounal entries final'!$E:$E,$C43,'Jounal entries final'!$B:$B,H$18,'Jounal entries final'!$C:$C,$Q$18)</f>
        <v>-30551000</v>
      </c>
      <c r="I43" s="373">
        <f>-SUMIFS('Jounal entries final'!$H:$H,'Jounal entries final'!$E:$E,$C43,'Jounal entries final'!$B:$B,I$18,'Jounal entries final'!$C:$C,$Q$18)</f>
        <v>-28629000</v>
      </c>
      <c r="J43" s="373">
        <f>-SUMIFS('Jounal entries final'!$H:$H,'Jounal entries final'!$E:$E,$C43,'Jounal entries final'!$B:$B,J$18,'Jounal entries final'!$C:$C,$Q$18)</f>
        <v>-30719000</v>
      </c>
      <c r="K43" s="373">
        <f>-SUMIFS('Jounal entries final'!$H:$H,'Jounal entries final'!$E:$E,$C43,'Jounal entries final'!$B:$B,K$18,'Jounal entries final'!$C:$C,$Q$18)</f>
        <v>-33282505</v>
      </c>
      <c r="L43" s="373">
        <f>-SUMIFS('Jounal entries final'!$H:$H,'Jounal entries final'!$E:$E,$C43,'Jounal entries final'!$B:$B,L$18,'Jounal entries final'!$C:$C,$Q$18)</f>
        <v>-28499885</v>
      </c>
      <c r="M43" s="373">
        <f>-SUMIFS('Jounal entries final'!$H:$H,'Jounal entries final'!$E:$E,$C43,'Jounal entries final'!$B:$B,M$18,'Jounal entries final'!$C:$C,$Q$18)</f>
        <v>-29643580</v>
      </c>
      <c r="N43" s="373">
        <f>-SUMIFS('Jounal entries final'!$H:$H,'Jounal entries final'!$E:$E,$C43,'Jounal entries final'!$B:$B,N$18,'Jounal entries final'!$C:$C,$Q$18)</f>
        <v>-30168580</v>
      </c>
      <c r="O43" s="373">
        <f>-SUMIFS('Jounal entries final'!$H:$H,'Jounal entries final'!$E:$E,$C43,'Jounal entries final'!$B:$B,O$18,'Jounal entries final'!$C:$C,$Q$18)</f>
        <v>-28949770</v>
      </c>
      <c r="P43" s="293"/>
    </row>
    <row r="44" spans="2:19">
      <c r="B44" s="293"/>
      <c r="C44" s="372" t="s">
        <v>230</v>
      </c>
      <c r="D44" s="373">
        <f>SUMIFS('Jounal entries final'!$H:$H,'Jounal entries final'!$E:$E,$C44,'Jounal entries final'!$B:$B,D$18,'Jounal entries final'!$C:$C,$Q$18)</f>
        <v>0</v>
      </c>
      <c r="E44" s="373">
        <f>-SUMIFS('Jounal entries final'!$H:$H,'Jounal entries final'!$E:$E,$C44,'Jounal entries final'!$B:$B,E$18,'Jounal entries final'!$C:$C,$Q$18)</f>
        <v>15745707</v>
      </c>
      <c r="F44" s="373">
        <f>-SUMIFS('Jounal entries final'!$H:$H,'Jounal entries final'!$E:$E,$C44,'Jounal entries final'!$B:$B,F$18,'Jounal entries final'!$C:$C,$Q$18)</f>
        <v>27871048</v>
      </c>
      <c r="G44" s="373">
        <f>-SUMIFS('Jounal entries final'!$H:$H,'Jounal entries final'!$E:$E,$C44,'Jounal entries final'!$B:$B,G$18,'Jounal entries final'!$C:$C,$Q$18)</f>
        <v>34858942</v>
      </c>
      <c r="H44" s="373">
        <f>-SUMIFS('Jounal entries final'!$H:$H,'Jounal entries final'!$E:$E,$C44,'Jounal entries final'!$B:$B,H$18,'Jounal entries final'!$C:$C,$Q$18)</f>
        <v>25616326</v>
      </c>
      <c r="I44" s="373">
        <f>-SUMIFS('Jounal entries final'!$H:$H,'Jounal entries final'!$E:$E,$C44,'Jounal entries final'!$B:$B,I$18,'Jounal entries final'!$C:$C,$Q$18)</f>
        <v>27415787</v>
      </c>
      <c r="J44" s="373">
        <f>-SUMIFS('Jounal entries final'!$H:$H,'Jounal entries final'!$E:$E,$C44,'Jounal entries final'!$B:$B,J$18,'Jounal entries final'!$C:$C,$Q$18)</f>
        <v>32249372</v>
      </c>
      <c r="K44" s="373">
        <f>-SUMIFS('Jounal entries final'!$H:$H,'Jounal entries final'!$E:$E,$C44,'Jounal entries final'!$B:$B,K$18,'Jounal entries final'!$C:$C,$Q$18)</f>
        <v>31469236</v>
      </c>
      <c r="L44" s="373">
        <f>-SUMIFS('Jounal entries final'!$H:$H,'Jounal entries final'!$E:$E,$C44,'Jounal entries final'!$B:$B,L$18,'Jounal entries final'!$C:$C,$Q$18)</f>
        <v>31920418</v>
      </c>
      <c r="M44" s="373">
        <f>-SUMIFS('Jounal entries final'!$H:$H,'Jounal entries final'!$E:$E,$C44,'Jounal entries final'!$B:$B,M$18,'Jounal entries final'!$C:$C,$Q$18)</f>
        <v>31815762</v>
      </c>
      <c r="N44" s="373">
        <f>-SUMIFS('Jounal entries final'!$H:$H,'Jounal entries final'!$E:$E,$C44,'Jounal entries final'!$B:$B,N$18,'Jounal entries final'!$C:$C,$Q$18)</f>
        <v>25850551</v>
      </c>
      <c r="O44" s="373">
        <f>-SUMIFS('Jounal entries final'!$H:$H,'Jounal entries final'!$E:$E,$C44,'Jounal entries final'!$B:$B,O$18,'Jounal entries final'!$C:$C,$Q$18)</f>
        <v>28148846</v>
      </c>
      <c r="P44" s="293"/>
    </row>
    <row r="45" spans="2:19">
      <c r="B45" s="293"/>
      <c r="C45" s="372" t="s">
        <v>236</v>
      </c>
      <c r="D45" s="373">
        <f>SUMIFS('Jounal entries final'!$H:$H,'Jounal entries final'!$E:$E,$C45,'Jounal entries final'!$B:$B,D$18,'Jounal entries final'!$C:$C,$Q$18)</f>
        <v>0</v>
      </c>
      <c r="E45" s="373">
        <f>-SUMIFS('Jounal entries final'!$H:$H,'Jounal entries final'!$E:$E,$C45,'Jounal entries final'!$B:$B,E$18,'Jounal entries final'!$C:$C,$Q$18)</f>
        <v>1217348.9699999997</v>
      </c>
      <c r="F45" s="373">
        <f>-SUMIFS('Jounal entries final'!$H:$H,'Jounal entries final'!$E:$E,$C45,'Jounal entries final'!$B:$B,F$18,'Jounal entries final'!$C:$C,$Q$18)</f>
        <v>965431.98999999987</v>
      </c>
      <c r="G45" s="373">
        <f>-SUMIFS('Jounal entries final'!$H:$H,'Jounal entries final'!$E:$E,$C45,'Jounal entries final'!$B:$B,G$18,'Jounal entries final'!$C:$C,$Q$18)</f>
        <v>2687528.76</v>
      </c>
      <c r="H45" s="373">
        <f>-SUMIFS('Jounal entries final'!$H:$H,'Jounal entries final'!$E:$E,$C45,'Jounal entries final'!$B:$B,H$18,'Jounal entries final'!$C:$C,$Q$18)</f>
        <v>2926518.75</v>
      </c>
      <c r="I45" s="373">
        <f>-SUMIFS('Jounal entries final'!$H:$H,'Jounal entries final'!$E:$E,$C45,'Jounal entries final'!$B:$B,I$18,'Jounal entries final'!$C:$C,$Q$18)</f>
        <v>3287397.4799999995</v>
      </c>
      <c r="J45" s="373">
        <f>-SUMIFS('Jounal entries final'!$H:$H,'Jounal entries final'!$E:$E,$C45,'Jounal entries final'!$B:$B,J$18,'Jounal entries final'!$C:$C,$Q$18)</f>
        <v>4631542.08</v>
      </c>
      <c r="K45" s="373">
        <f>-SUMIFS('Jounal entries final'!$H:$H,'Jounal entries final'!$E:$E,$C45,'Jounal entries final'!$B:$B,K$18,'Jounal entries final'!$C:$C,$Q$18)</f>
        <v>5088006.3199999984</v>
      </c>
      <c r="L45" s="373">
        <f>-SUMIFS('Jounal entries final'!$H:$H,'Jounal entries final'!$E:$E,$C45,'Jounal entries final'!$B:$B,L$18,'Jounal entries final'!$C:$C,$Q$18)</f>
        <v>5147864.5799999991</v>
      </c>
      <c r="M45" s="373">
        <f>-SUMIFS('Jounal entries final'!$H:$H,'Jounal entries final'!$E:$E,$C45,'Jounal entries final'!$B:$B,M$18,'Jounal entries final'!$C:$C,$Q$18)</f>
        <v>5851985.1599999992</v>
      </c>
      <c r="N45" s="373">
        <f>-SUMIFS('Jounal entries final'!$H:$H,'Jounal entries final'!$E:$E,$C45,'Jounal entries final'!$B:$B,N$18,'Jounal entries final'!$C:$C,$Q$18)</f>
        <v>6384810.0999999996</v>
      </c>
      <c r="O45" s="373">
        <f>-SUMIFS('Jounal entries final'!$H:$H,'Jounal entries final'!$E:$E,$C45,'Jounal entries final'!$B:$B,O$18,'Jounal entries final'!$C:$C,$Q$18)</f>
        <v>6198796.2399999993</v>
      </c>
      <c r="P45" s="293"/>
    </row>
    <row r="46" spans="2:19">
      <c r="B46" s="293"/>
      <c r="C46" s="372" t="s">
        <v>263</v>
      </c>
      <c r="D46" s="373">
        <f>SUMIFS('Jounal entries final'!$H:$H,'Jounal entries final'!$E:$E,$C46,'Jounal entries final'!$B:$B,D$18,'Jounal entries final'!$C:$C,$Q$18)</f>
        <v>0</v>
      </c>
      <c r="E46" s="373">
        <f>-SUMIFS('Jounal entries final'!$H:$H,'Jounal entries final'!$E:$E,$C46,'Jounal entries final'!$B:$B,E$18,'Jounal entries final'!$C:$C,$Q$18)</f>
        <v>3607884</v>
      </c>
      <c r="F46" s="373">
        <f>-SUMIFS('Jounal entries final'!$H:$H,'Jounal entries final'!$E:$E,$C46,'Jounal entries final'!$B:$B,F$18,'Jounal entries final'!$C:$C,$Q$18)</f>
        <v>7214915.9019999998</v>
      </c>
      <c r="G46" s="373">
        <f>-SUMIFS('Jounal entries final'!$H:$H,'Jounal entries final'!$E:$E,$C46,'Jounal entries final'!$B:$B,G$18,'Jounal entries final'!$C:$C,$Q$18)</f>
        <v>5825205.8999999994</v>
      </c>
      <c r="H46" s="373">
        <f>-SUMIFS('Jounal entries final'!$H:$H,'Jounal entries final'!$E:$E,$C46,'Jounal entries final'!$B:$B,H$18,'Jounal entries final'!$C:$C,$Q$18)</f>
        <v>22839043.623999998</v>
      </c>
      <c r="I46" s="373">
        <f>-SUMIFS('Jounal entries final'!$H:$H,'Jounal entries final'!$E:$E,$C46,'Jounal entries final'!$B:$B,I$18,'Jounal entries final'!$C:$C,$Q$18)</f>
        <v>25553263.207999997</v>
      </c>
      <c r="J46" s="373">
        <f>-SUMIFS('Jounal entries final'!$H:$H,'Jounal entries final'!$E:$E,$C46,'Jounal entries final'!$B:$B,J$18,'Jounal entries final'!$C:$C,$Q$18)</f>
        <v>26096565.181999996</v>
      </c>
      <c r="K46" s="373">
        <f>-SUMIFS('Jounal entries final'!$H:$H,'Jounal entries final'!$E:$E,$C46,'Jounal entries final'!$B:$B,K$18,'Jounal entries final'!$C:$C,$Q$18)</f>
        <v>35733386.943999998</v>
      </c>
      <c r="L46" s="373">
        <f>-SUMIFS('Jounal entries final'!$H:$H,'Jounal entries final'!$E:$E,$C46,'Jounal entries final'!$B:$B,L$18,'Jounal entries final'!$C:$C,$Q$18)</f>
        <v>43738790.821999997</v>
      </c>
      <c r="M46" s="373">
        <f>-SUMIFS('Jounal entries final'!$H:$H,'Jounal entries final'!$E:$E,$C46,'Jounal entries final'!$B:$B,M$18,'Jounal entries final'!$C:$C,$Q$18)</f>
        <v>45618337.523999996</v>
      </c>
      <c r="N46" s="373">
        <f>-SUMIFS('Jounal entries final'!$H:$H,'Jounal entries final'!$E:$E,$C46,'Jounal entries final'!$B:$B,N$18,'Jounal entries final'!$C:$C,$Q$18)</f>
        <v>58977900.255999997</v>
      </c>
      <c r="O46" s="373">
        <f>-SUMIFS('Jounal entries final'!$H:$H,'Jounal entries final'!$E:$E,$C46,'Jounal entries final'!$B:$B,O$18,'Jounal entries final'!$C:$C,$Q$18)</f>
        <v>63938757.964000002</v>
      </c>
      <c r="P46" s="293"/>
    </row>
    <row r="47" spans="2:19">
      <c r="C47" s="374"/>
      <c r="D47" s="375"/>
      <c r="E47" s="375"/>
      <c r="F47" s="375"/>
      <c r="G47" s="375"/>
      <c r="H47" s="375"/>
      <c r="I47" s="375"/>
      <c r="J47" s="375"/>
      <c r="K47" s="375"/>
      <c r="L47" s="375"/>
      <c r="M47" s="375"/>
      <c r="N47" s="375"/>
      <c r="O47" s="375"/>
    </row>
    <row r="48" spans="2:19">
      <c r="C48" s="374"/>
      <c r="D48" s="375"/>
      <c r="E48" s="375"/>
      <c r="F48" s="375"/>
      <c r="G48" s="375"/>
      <c r="H48" s="375"/>
      <c r="I48" s="375"/>
      <c r="J48" s="375"/>
      <c r="K48" s="375"/>
      <c r="L48" s="375"/>
      <c r="M48" s="375"/>
      <c r="N48" s="375"/>
      <c r="O48" s="375"/>
    </row>
    <row r="49" spans="2:16" ht="18" customHeight="1">
      <c r="B49" s="293"/>
      <c r="C49" s="376" t="s">
        <v>196</v>
      </c>
      <c r="D49" s="377">
        <f>D30-D35-D40</f>
        <v>0</v>
      </c>
      <c r="E49" s="377">
        <f>E30-E35-E40-SUM(E43:E46)</f>
        <v>-8.3819031715393066E-9</v>
      </c>
      <c r="F49" s="377">
        <f t="shared" ref="F49:O49" si="13">F30-F35-F40-SUM(F43:F46)</f>
        <v>0</v>
      </c>
      <c r="G49" s="377">
        <f t="shared" si="13"/>
        <v>0</v>
      </c>
      <c r="H49" s="377">
        <f t="shared" si="13"/>
        <v>0</v>
      </c>
      <c r="I49" s="377">
        <f t="shared" si="13"/>
        <v>0</v>
      </c>
      <c r="J49" s="377">
        <f t="shared" si="13"/>
        <v>0</v>
      </c>
      <c r="K49" s="377">
        <f t="shared" si="13"/>
        <v>0</v>
      </c>
      <c r="L49" s="377">
        <f t="shared" si="13"/>
        <v>0</v>
      </c>
      <c r="M49" s="377">
        <f t="shared" si="13"/>
        <v>0</v>
      </c>
      <c r="N49" s="377">
        <f t="shared" si="13"/>
        <v>0</v>
      </c>
      <c r="O49" s="377">
        <f t="shared" si="13"/>
        <v>0</v>
      </c>
      <c r="P49" s="299"/>
    </row>
    <row r="50" spans="2:16" ht="22">
      <c r="B50" s="295"/>
      <c r="C50" s="737"/>
      <c r="D50" s="737"/>
      <c r="E50" s="737"/>
      <c r="F50" s="355"/>
      <c r="G50" s="355"/>
      <c r="H50" s="355"/>
      <c r="J50" s="340"/>
      <c r="K50" s="798"/>
      <c r="L50" s="798"/>
      <c r="M50" s="798"/>
      <c r="N50" s="355"/>
      <c r="O50" s="355"/>
      <c r="P50" s="293"/>
    </row>
    <row r="51" spans="2:16" ht="34">
      <c r="B51" s="293"/>
      <c r="C51" s="290"/>
      <c r="D51" s="359"/>
      <c r="E51" s="301"/>
      <c r="F51" s="355"/>
      <c r="G51" s="302"/>
      <c r="H51" s="355"/>
      <c r="J51" s="355"/>
      <c r="K51" s="781"/>
      <c r="L51" s="782"/>
      <c r="M51" s="782"/>
      <c r="N51" s="782"/>
      <c r="O51" s="782"/>
      <c r="P51" s="293"/>
    </row>
    <row r="52" spans="2:16" ht="13.25" customHeight="1">
      <c r="B52" s="293"/>
      <c r="C52" s="288"/>
      <c r="D52" s="341"/>
      <c r="E52" s="341"/>
      <c r="F52" s="355"/>
      <c r="G52" s="302"/>
      <c r="H52" s="355"/>
      <c r="J52" s="355"/>
      <c r="K52" s="781"/>
      <c r="L52" s="782"/>
      <c r="M52" s="782"/>
      <c r="N52" s="782"/>
      <c r="O52" s="782"/>
      <c r="P52" s="293"/>
    </row>
    <row r="53" spans="2:16" ht="18">
      <c r="B53" s="293"/>
      <c r="C53" s="249"/>
      <c r="D53" s="360"/>
      <c r="E53" s="360"/>
      <c r="F53" s="300"/>
      <c r="G53" s="361"/>
      <c r="H53" s="355"/>
      <c r="J53" s="355"/>
      <c r="K53" s="782"/>
      <c r="L53" s="782"/>
      <c r="M53" s="782"/>
      <c r="N53" s="782"/>
      <c r="O53" s="782"/>
      <c r="P53" s="293"/>
    </row>
    <row r="54" spans="2:16" ht="18">
      <c r="B54" s="293"/>
      <c r="C54" s="249"/>
      <c r="D54" s="360"/>
      <c r="E54" s="360"/>
      <c r="F54" s="300"/>
      <c r="G54" s="361"/>
      <c r="H54" s="355"/>
      <c r="J54" s="355"/>
      <c r="K54" s="782"/>
      <c r="L54" s="782"/>
      <c r="M54" s="782"/>
      <c r="N54" s="782"/>
      <c r="O54" s="782"/>
      <c r="P54" s="293"/>
    </row>
    <row r="55" spans="2:16" ht="19">
      <c r="B55" s="293"/>
      <c r="C55" s="249"/>
      <c r="D55" s="360"/>
      <c r="E55" s="360"/>
      <c r="F55" s="300"/>
      <c r="G55" s="361"/>
      <c r="H55" s="355"/>
      <c r="J55" s="355"/>
      <c r="K55" s="300"/>
      <c r="L55" s="799"/>
      <c r="M55" s="799"/>
      <c r="N55" s="800"/>
      <c r="O55" s="800"/>
      <c r="P55" s="293"/>
    </row>
    <row r="56" spans="2:16" ht="19">
      <c r="B56" s="293"/>
      <c r="C56" s="246"/>
      <c r="D56" s="357"/>
      <c r="E56" s="356"/>
      <c r="F56" s="355"/>
      <c r="G56" s="355"/>
      <c r="H56" s="355"/>
      <c r="J56" s="355"/>
      <c r="K56" s="300"/>
      <c r="L56" s="357"/>
      <c r="M56" s="356"/>
      <c r="N56" s="355"/>
      <c r="O56" s="355"/>
      <c r="P56" s="293"/>
    </row>
  </sheetData>
  <mergeCells count="6">
    <mergeCell ref="O22:P22"/>
    <mergeCell ref="C50:E50"/>
    <mergeCell ref="K50:M50"/>
    <mergeCell ref="K51:O54"/>
    <mergeCell ref="L55:M55"/>
    <mergeCell ref="N55:O55"/>
  </mergeCells>
  <conditionalFormatting sqref="F42:G42">
    <cfRule type="iconSet" priority="3">
      <iconSet iconSet="3Arrows">
        <cfvo type="percent" val="0"/>
        <cfvo type="num" val="0"/>
        <cfvo type="num" val="9.9999999999999995E-8" gte="0"/>
      </iconSet>
    </cfRule>
  </conditionalFormatting>
  <conditionalFormatting sqref="F51:G52">
    <cfRule type="iconSet" priority="7">
      <iconSet iconSet="3Arrows">
        <cfvo type="percent" val="0"/>
        <cfvo type="num" val="0"/>
        <cfvo type="num" val="9.9999999999999995E-8" gte="0"/>
      </iconSet>
    </cfRule>
  </conditionalFormatting>
  <conditionalFormatting sqref="G55">
    <cfRule type="iconSet" priority="4">
      <iconSet iconSet="3Flags">
        <cfvo type="percent" val="0"/>
        <cfvo type="num" val="0"/>
        <cfvo type="num" val="1.0000000000000001E-17" gte="0"/>
      </iconSet>
    </cfRule>
  </conditionalFormatting>
  <conditionalFormatting sqref="N36:O36">
    <cfRule type="iconSet" priority="8">
      <iconSet iconSet="3Arrows">
        <cfvo type="percent" val="0"/>
        <cfvo type="num" val="0"/>
        <cfvo type="num" val="1E-25" gte="0"/>
      </iconSet>
    </cfRule>
  </conditionalFormatting>
  <conditionalFormatting sqref="N55:O55">
    <cfRule type="iconSet" priority="6">
      <iconSet iconSet="3Arrows">
        <cfvo type="percent" val="0"/>
        <cfvo type="num" val="0"/>
        <cfvo type="num" val="1E-25" gte="0"/>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5" id="{44336011-BF4C-467A-A699-8B21260D39A4}">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G53:G54</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0F1F5-FD38-49A6-BB02-F09EACFB77D8}">
  <sheetPr codeName="Sheet19">
    <tabColor theme="4" tint="0.79998168889431442"/>
  </sheetPr>
  <dimension ref="A1:V55"/>
  <sheetViews>
    <sheetView showGridLines="0" topLeftCell="C1" zoomScale="80" zoomScaleNormal="80" workbookViewId="0">
      <selection activeCell="C1" sqref="A1:XFD16"/>
    </sheetView>
  </sheetViews>
  <sheetFormatPr baseColWidth="10" defaultColWidth="8.83203125" defaultRowHeight="15"/>
  <cols>
    <col min="1" max="1" width="33.1640625" style="7" hidden="1" customWidth="1"/>
    <col min="2" max="2" width="2.83203125" style="7" hidden="1" customWidth="1"/>
    <col min="3" max="3" width="2.83203125" style="236" customWidth="1"/>
    <col min="4" max="4" width="2.1640625" style="236" customWidth="1"/>
    <col min="5" max="5" width="44.83203125" style="243" bestFit="1" customWidth="1"/>
    <col min="6" max="6" width="12.1640625" style="344" bestFit="1" customWidth="1"/>
    <col min="7" max="17" width="13.83203125" style="344" bestFit="1" customWidth="1"/>
    <col min="18" max="18" width="1.5" style="236" customWidth="1"/>
    <col min="19" max="19" width="8.83203125" style="236"/>
    <col min="20" max="20" width="8.83203125" style="114"/>
    <col min="21" max="21" width="9.5" style="114" bestFit="1" customWidth="1"/>
    <col min="22" max="22" width="11.6640625" style="316" bestFit="1" customWidth="1"/>
    <col min="23" max="16384" width="8.83203125" style="114"/>
  </cols>
  <sheetData>
    <row r="1" spans="1:22">
      <c r="A1" s="118"/>
      <c r="B1" s="114"/>
      <c r="C1" s="114"/>
      <c r="D1" s="114"/>
      <c r="E1" s="114"/>
      <c r="F1" s="114"/>
      <c r="G1" s="114"/>
      <c r="H1" s="114"/>
      <c r="I1" s="114"/>
      <c r="J1" s="114"/>
      <c r="K1" s="114"/>
      <c r="L1" s="114"/>
      <c r="M1" s="114"/>
      <c r="N1" s="114"/>
      <c r="O1" s="114"/>
      <c r="P1" s="114"/>
      <c r="Q1" s="114"/>
      <c r="R1" s="114"/>
      <c r="S1" s="114"/>
      <c r="V1" s="114"/>
    </row>
    <row r="2" spans="1:22">
      <c r="A2" s="118"/>
      <c r="B2" s="114"/>
      <c r="C2" s="114"/>
      <c r="D2" s="114"/>
      <c r="E2" s="114"/>
      <c r="F2" s="114"/>
      <c r="G2" s="114"/>
      <c r="H2" s="114"/>
      <c r="I2" s="114"/>
      <c r="J2" s="114"/>
      <c r="K2" s="114"/>
      <c r="L2" s="114"/>
      <c r="M2" s="114"/>
      <c r="N2" s="114"/>
      <c r="O2" s="114"/>
      <c r="P2" s="114"/>
      <c r="Q2" s="114"/>
      <c r="R2" s="114"/>
      <c r="S2" s="114"/>
      <c r="V2" s="114"/>
    </row>
    <row r="3" spans="1:22">
      <c r="A3" s="118"/>
      <c r="B3" s="114"/>
      <c r="C3" s="114"/>
      <c r="D3" s="114"/>
      <c r="E3" s="114"/>
      <c r="F3" s="114"/>
      <c r="G3" s="114"/>
      <c r="H3" s="114"/>
      <c r="I3" s="114"/>
      <c r="J3" s="114"/>
      <c r="K3" s="114"/>
      <c r="L3" s="114"/>
      <c r="M3" s="114"/>
      <c r="N3" s="114"/>
      <c r="O3" s="114"/>
      <c r="P3" s="114"/>
      <c r="Q3" s="114"/>
      <c r="R3" s="114"/>
      <c r="S3" s="114"/>
      <c r="V3" s="114"/>
    </row>
    <row r="4" spans="1:22">
      <c r="A4" s="118"/>
      <c r="B4" s="114"/>
      <c r="C4" s="114"/>
      <c r="D4" s="114"/>
      <c r="E4" s="114"/>
      <c r="F4" s="114"/>
      <c r="G4" s="114"/>
      <c r="H4" s="114"/>
      <c r="I4" s="114"/>
      <c r="J4" s="114"/>
      <c r="K4" s="114"/>
      <c r="L4" s="114"/>
      <c r="M4" s="114"/>
      <c r="N4" s="114"/>
      <c r="O4" s="114"/>
      <c r="P4" s="114"/>
      <c r="Q4" s="114"/>
      <c r="R4" s="114"/>
      <c r="S4" s="114"/>
      <c r="V4" s="114"/>
    </row>
    <row r="5" spans="1:22">
      <c r="A5" s="118"/>
      <c r="B5" s="114"/>
      <c r="C5" s="114"/>
      <c r="D5" s="114"/>
      <c r="E5" s="114"/>
      <c r="F5" s="114"/>
      <c r="G5" s="114"/>
      <c r="H5" s="114"/>
      <c r="I5" s="114"/>
      <c r="J5" s="114"/>
      <c r="K5" s="114"/>
      <c r="L5" s="114"/>
      <c r="M5" s="114"/>
      <c r="N5" s="114"/>
      <c r="O5" s="114"/>
      <c r="P5" s="114"/>
      <c r="Q5" s="114"/>
      <c r="R5" s="114"/>
      <c r="S5" s="114"/>
      <c r="V5" s="114"/>
    </row>
    <row r="6" spans="1:22">
      <c r="A6" s="118"/>
      <c r="B6" s="114"/>
      <c r="C6" s="114"/>
      <c r="D6" s="114"/>
      <c r="E6" s="114"/>
      <c r="F6" s="114"/>
      <c r="G6" s="114"/>
      <c r="H6" s="114"/>
      <c r="I6" s="114"/>
      <c r="J6" s="114"/>
      <c r="K6" s="114"/>
      <c r="L6" s="114"/>
      <c r="M6" s="114"/>
      <c r="N6" s="114"/>
      <c r="O6" s="114"/>
      <c r="P6" s="114"/>
      <c r="Q6" s="114"/>
      <c r="R6" s="114"/>
      <c r="S6" s="114"/>
      <c r="V6" s="114"/>
    </row>
    <row r="7" spans="1:22">
      <c r="A7" s="118"/>
      <c r="B7" s="114"/>
      <c r="C7" s="114"/>
      <c r="D7" s="114"/>
      <c r="E7" s="114"/>
      <c r="F7" s="114"/>
      <c r="G7" s="114"/>
      <c r="H7" s="114"/>
      <c r="I7" s="114"/>
      <c r="J7" s="114"/>
      <c r="K7" s="114"/>
      <c r="L7" s="114"/>
      <c r="M7" s="114"/>
      <c r="N7" s="114"/>
      <c r="O7" s="114"/>
      <c r="P7" s="114"/>
      <c r="Q7" s="114"/>
      <c r="R7" s="114"/>
      <c r="S7" s="114"/>
      <c r="V7" s="114"/>
    </row>
    <row r="8" spans="1:22">
      <c r="A8" s="118"/>
      <c r="B8" s="114"/>
      <c r="C8" s="114"/>
      <c r="D8" s="114"/>
      <c r="E8" s="114"/>
      <c r="F8" s="114"/>
      <c r="G8" s="114"/>
      <c r="H8" s="114"/>
      <c r="I8" s="114"/>
      <c r="J8" s="114"/>
      <c r="K8" s="114"/>
      <c r="L8" s="114"/>
      <c r="M8" s="114"/>
      <c r="N8" s="114"/>
      <c r="O8" s="114"/>
      <c r="P8" s="114"/>
      <c r="Q8" s="114"/>
      <c r="R8" s="114"/>
      <c r="S8" s="114"/>
      <c r="V8" s="114"/>
    </row>
    <row r="9" spans="1:22">
      <c r="A9" s="118"/>
      <c r="B9" s="114"/>
      <c r="C9" s="114"/>
      <c r="D9" s="114"/>
      <c r="E9" s="114"/>
      <c r="F9" s="114"/>
      <c r="G9" s="114"/>
      <c r="H9" s="114"/>
      <c r="I9" s="114"/>
      <c r="J9" s="114"/>
      <c r="K9" s="114"/>
      <c r="L9" s="114"/>
      <c r="M9" s="114"/>
      <c r="N9" s="114"/>
      <c r="O9" s="114"/>
      <c r="P9" s="114"/>
      <c r="Q9" s="114"/>
      <c r="R9" s="114"/>
      <c r="S9" s="114"/>
      <c r="V9" s="114"/>
    </row>
    <row r="10" spans="1:22">
      <c r="A10" s="118"/>
      <c r="B10" s="114"/>
      <c r="C10" s="114"/>
      <c r="D10" s="114"/>
      <c r="E10" s="114"/>
      <c r="F10" s="114"/>
      <c r="G10" s="114"/>
      <c r="H10" s="114"/>
      <c r="I10" s="114"/>
      <c r="J10" s="114"/>
      <c r="K10" s="114"/>
      <c r="L10" s="114"/>
      <c r="M10" s="114"/>
      <c r="N10" s="114"/>
      <c r="O10" s="114"/>
      <c r="P10" s="114"/>
      <c r="Q10" s="114"/>
      <c r="R10" s="114"/>
      <c r="S10" s="114"/>
      <c r="V10" s="114"/>
    </row>
    <row r="11" spans="1:22">
      <c r="A11" s="118"/>
      <c r="B11" s="114"/>
      <c r="C11" s="114"/>
      <c r="D11" s="114"/>
      <c r="E11" s="114"/>
      <c r="F11" s="114"/>
      <c r="G11" s="114"/>
      <c r="H11" s="114"/>
      <c r="I11" s="114"/>
      <c r="J11" s="114"/>
      <c r="K11" s="114"/>
      <c r="L11" s="114"/>
      <c r="M11" s="114"/>
      <c r="N11" s="114"/>
      <c r="O11" s="114"/>
      <c r="P11" s="114"/>
      <c r="Q11" s="114"/>
      <c r="R11" s="114"/>
      <c r="S11" s="114"/>
      <c r="V11" s="114"/>
    </row>
    <row r="12" spans="1:22">
      <c r="A12" s="118"/>
      <c r="B12" s="114"/>
      <c r="C12" s="114"/>
      <c r="D12" s="114"/>
      <c r="E12" s="114"/>
      <c r="F12" s="114"/>
      <c r="G12" s="114"/>
      <c r="H12" s="114"/>
      <c r="I12" s="114"/>
      <c r="J12" s="114"/>
      <c r="K12" s="114"/>
      <c r="L12" s="114"/>
      <c r="M12" s="114"/>
      <c r="N12" s="114"/>
      <c r="O12" s="114"/>
      <c r="P12" s="114"/>
      <c r="Q12" s="114"/>
      <c r="R12" s="114"/>
      <c r="S12" s="114"/>
      <c r="V12" s="114"/>
    </row>
    <row r="13" spans="1:22">
      <c r="A13" s="118"/>
      <c r="B13" s="114"/>
      <c r="C13" s="114"/>
      <c r="D13" s="114"/>
      <c r="E13" s="114"/>
      <c r="F13" s="114"/>
      <c r="G13" s="114"/>
      <c r="H13" s="114"/>
      <c r="I13" s="114"/>
      <c r="J13" s="114"/>
      <c r="K13" s="114"/>
      <c r="L13" s="114"/>
      <c r="M13" s="114"/>
      <c r="N13" s="114"/>
      <c r="O13" s="114"/>
      <c r="P13" s="114"/>
      <c r="Q13" s="114"/>
      <c r="R13" s="114"/>
      <c r="S13" s="114"/>
      <c r="V13" s="114"/>
    </row>
    <row r="14" spans="1:22">
      <c r="A14" s="118"/>
      <c r="B14" s="114"/>
      <c r="C14" s="114"/>
      <c r="D14" s="114"/>
      <c r="E14" s="114"/>
      <c r="F14" s="114"/>
      <c r="G14" s="114"/>
      <c r="H14" s="114"/>
      <c r="I14" s="114"/>
      <c r="J14" s="114"/>
      <c r="K14" s="114"/>
      <c r="L14" s="114"/>
      <c r="M14" s="114"/>
      <c r="N14" s="114"/>
      <c r="O14" s="114"/>
      <c r="P14" s="114"/>
      <c r="Q14" s="114"/>
      <c r="R14" s="114"/>
      <c r="S14" s="114"/>
      <c r="V14" s="114"/>
    </row>
    <row r="15" spans="1:22" ht="19">
      <c r="A15" s="118"/>
      <c r="B15" s="147"/>
      <c r="C15" s="147"/>
      <c r="D15" s="147"/>
      <c r="E15" s="114"/>
      <c r="F15" s="114"/>
      <c r="G15" s="114"/>
      <c r="H15" s="114"/>
      <c r="I15" s="114"/>
      <c r="J15" s="280"/>
      <c r="K15" s="280"/>
      <c r="L15" s="280"/>
      <c r="M15" s="280"/>
      <c r="N15" s="114"/>
      <c r="O15" s="114"/>
      <c r="P15" s="114"/>
      <c r="Q15" s="114"/>
      <c r="R15" s="114"/>
      <c r="S15" s="114"/>
      <c r="V15" s="114"/>
    </row>
    <row r="16" spans="1:22" ht="16" thickBot="1">
      <c r="C16" s="114"/>
      <c r="D16" s="114"/>
      <c r="E16" s="114"/>
      <c r="F16" s="205"/>
      <c r="G16" s="205"/>
      <c r="H16" s="205"/>
      <c r="I16" s="205"/>
      <c r="J16" s="205"/>
      <c r="K16" s="205"/>
      <c r="L16" s="343"/>
      <c r="M16" s="205"/>
      <c r="N16" s="205"/>
      <c r="O16" s="205"/>
      <c r="P16" s="205"/>
      <c r="Q16" s="205"/>
      <c r="R16" s="114"/>
      <c r="S16" s="114"/>
    </row>
    <row r="17" spans="1:22" s="287" customFormat="1" ht="26.5" customHeight="1" thickBot="1">
      <c r="A17" s="286"/>
      <c r="B17" s="286"/>
      <c r="E17" s="281" t="s">
        <v>174</v>
      </c>
      <c r="F17" s="285">
        <v>1</v>
      </c>
      <c r="G17" s="285">
        <v>2</v>
      </c>
      <c r="H17" s="285">
        <v>3</v>
      </c>
      <c r="I17" s="285">
        <v>4</v>
      </c>
      <c r="J17" s="285">
        <v>5</v>
      </c>
      <c r="K17" s="285">
        <v>6</v>
      </c>
      <c r="L17" s="285">
        <v>7</v>
      </c>
      <c r="M17" s="285">
        <v>8</v>
      </c>
      <c r="N17" s="285">
        <v>9</v>
      </c>
      <c r="O17" s="285">
        <v>10</v>
      </c>
      <c r="P17" s="285">
        <v>11</v>
      </c>
      <c r="Q17" s="285">
        <v>12</v>
      </c>
      <c r="S17" s="285">
        <v>2022</v>
      </c>
      <c r="V17" s="316"/>
    </row>
    <row r="18" spans="1:22">
      <c r="C18" s="114"/>
      <c r="D18" s="114"/>
      <c r="E18" s="118"/>
      <c r="F18" s="205"/>
      <c r="G18" s="205"/>
      <c r="H18" s="205"/>
      <c r="I18" s="205"/>
      <c r="J18" s="205"/>
      <c r="K18" s="205"/>
      <c r="L18" s="205"/>
      <c r="M18" s="205"/>
      <c r="N18" s="205"/>
      <c r="O18" s="205"/>
      <c r="P18" s="205"/>
      <c r="Q18" s="205"/>
      <c r="R18" s="114"/>
      <c r="S18" s="114"/>
    </row>
    <row r="20" spans="1:22" ht="19">
      <c r="A20" s="240"/>
    </row>
    <row r="21" spans="1:22" ht="19">
      <c r="A21" s="240"/>
      <c r="D21" s="234"/>
      <c r="E21" s="251"/>
      <c r="F21" s="205"/>
      <c r="G21" s="205"/>
      <c r="H21" s="205"/>
      <c r="I21" s="205"/>
      <c r="J21" s="205"/>
      <c r="K21" s="205"/>
      <c r="L21" s="205"/>
      <c r="M21" s="205"/>
      <c r="N21" s="205"/>
      <c r="O21" s="205"/>
      <c r="P21" s="205"/>
      <c r="Q21" s="762"/>
      <c r="R21" s="762"/>
    </row>
    <row r="22" spans="1:22" s="204" customFormat="1" ht="25">
      <c r="A22" s="241"/>
      <c r="B22" s="241"/>
      <c r="C22" s="244"/>
      <c r="D22" s="252"/>
      <c r="E22" s="366" t="s">
        <v>176</v>
      </c>
      <c r="F22" s="367"/>
      <c r="G22" s="367"/>
      <c r="H22" s="367"/>
      <c r="I22" s="367"/>
      <c r="J22" s="367"/>
      <c r="K22" s="367"/>
      <c r="L22" s="367"/>
      <c r="M22" s="367"/>
      <c r="N22" s="367"/>
      <c r="O22" s="367"/>
      <c r="P22" s="367"/>
      <c r="Q22" s="368"/>
      <c r="R22" s="234"/>
      <c r="S22" s="244"/>
      <c r="V22" s="316"/>
    </row>
    <row r="23" spans="1:22" ht="33.5" customHeight="1">
      <c r="A23" s="242"/>
      <c r="D23" s="234"/>
      <c r="E23" s="369"/>
      <c r="F23" s="370" t="s">
        <v>17</v>
      </c>
      <c r="G23" s="370" t="s">
        <v>18</v>
      </c>
      <c r="H23" s="370" t="s">
        <v>19</v>
      </c>
      <c r="I23" s="370" t="s">
        <v>20</v>
      </c>
      <c r="J23" s="370" t="s">
        <v>21</v>
      </c>
      <c r="K23" s="370" t="s">
        <v>22</v>
      </c>
      <c r="L23" s="370" t="s">
        <v>23</v>
      </c>
      <c r="M23" s="370" t="s">
        <v>24</v>
      </c>
      <c r="N23" s="370" t="s">
        <v>25</v>
      </c>
      <c r="O23" s="370" t="s">
        <v>26</v>
      </c>
      <c r="P23" s="370" t="s">
        <v>27</v>
      </c>
      <c r="Q23" s="370" t="s">
        <v>28</v>
      </c>
      <c r="R23" s="362"/>
    </row>
    <row r="24" spans="1:22" ht="19">
      <c r="A24" s="240"/>
      <c r="D24" s="234"/>
      <c r="E24" s="114" t="s">
        <v>150</v>
      </c>
      <c r="F24" s="364">
        <f>SUMIFS('Jounal entries final'!$H:$H,'Jounal entries final'!$E:$E,$E24,'Jounal entries final'!$B:$B,F$17,'Jounal entries final'!$C:$C,$S$17)</f>
        <v>3607884</v>
      </c>
      <c r="G24" s="378">
        <f>SUMIFS('Jounal entries final'!$H:$H,'Jounal entries final'!$E:$E,$E24,'Jounal entries final'!$B:$B,G$17,'Jounal entries final'!$C:$C,$S$17)</f>
        <v>7214915.9019999998</v>
      </c>
      <c r="H24" s="364">
        <f>SUMIFS('Jounal entries final'!$H:$H,'Jounal entries final'!$E:$E,$E24,'Jounal entries final'!$B:$B,H$17,'Jounal entries final'!$C:$C,$S$17)</f>
        <v>5825205.9000000004</v>
      </c>
      <c r="I24" s="364">
        <f>SUMIFS('Jounal entries final'!$H:$H,'Jounal entries final'!$E:$E,$E24,'Jounal entries final'!$B:$B,I$17,'Jounal entries final'!$C:$C,$S$17)</f>
        <v>22839043.623999998</v>
      </c>
      <c r="J24" s="364">
        <f>SUMIFS('Jounal entries final'!$H:$H,'Jounal entries final'!$E:$E,$E24,'Jounal entries final'!$B:$B,J$17,'Jounal entries final'!$C:$C,$S$17)</f>
        <v>25553263.207999997</v>
      </c>
      <c r="K24" s="364">
        <f>SUMIFS('Jounal entries final'!$H:$H,'Jounal entries final'!$E:$E,$E24,'Jounal entries final'!$B:$B,K$17,'Jounal entries final'!$C:$C,$S$17)</f>
        <v>26096565.181999996</v>
      </c>
      <c r="L24" s="364">
        <f>SUMIFS('Jounal entries final'!$H:$H,'Jounal entries final'!$E:$E,$E24,'Jounal entries final'!$B:$B,L$17,'Jounal entries final'!$C:$C,$S$17)</f>
        <v>35733386.943999998</v>
      </c>
      <c r="M24" s="364">
        <f>SUMIFS('Jounal entries final'!$H:$H,'Jounal entries final'!$E:$E,$E24,'Jounal entries final'!$B:$B,M$17,'Jounal entries final'!$C:$C,$S$17)</f>
        <v>43738790.821999997</v>
      </c>
      <c r="N24" s="364">
        <f>SUMIFS('Jounal entries final'!$H:$H,'Jounal entries final'!$E:$E,$E24,'Jounal entries final'!$B:$B,N$17,'Jounal entries final'!$C:$C,$S$17)</f>
        <v>45618337.523999996</v>
      </c>
      <c r="O24" s="364">
        <f>SUMIFS('Jounal entries final'!$H:$H,'Jounal entries final'!$E:$E,$E24,'Jounal entries final'!$B:$B,O$17,'Jounal entries final'!$C:$C,$S$17)</f>
        <v>58977900.255999997</v>
      </c>
      <c r="P24" s="364">
        <f>SUMIFS('Jounal entries final'!$H:$H,'Jounal entries final'!$E:$E,$E24,'Jounal entries final'!$B:$B,P$17,'Jounal entries final'!$C:$C,$S$17)</f>
        <v>63938757.963999994</v>
      </c>
      <c r="Q24" s="364">
        <f>SUMIFS('Jounal entries final'!$H:$H,'Jounal entries final'!$E:$E,$E24,'Jounal entries final'!$B:$B,Q$17,'Jounal entries final'!$C:$C,$S$17)</f>
        <v>71291763.714000002</v>
      </c>
      <c r="R24" s="114"/>
    </row>
    <row r="25" spans="1:22">
      <c r="D25" s="234"/>
      <c r="E25" s="114" t="s">
        <v>67</v>
      </c>
      <c r="F25" s="364">
        <f>SUMIFS('Jounal entries final'!$H:$H,'Jounal entries final'!$E:$E,$E25,'Jounal entries final'!$B:$B,F$17,'Jounal entries final'!$C:$C,$S$17)</f>
        <v>1217348.9700000007</v>
      </c>
      <c r="G25" s="364">
        <f>SUMIFS('Jounal entries final'!$H:$H,'Jounal entries final'!$E:$E,$E25,'Jounal entries final'!$B:$B,G$17,'Jounal entries final'!$C:$C,$S$17)</f>
        <v>965431.99000000011</v>
      </c>
      <c r="H25" s="364">
        <f>SUMIFS('Jounal entries final'!$H:$H,'Jounal entries final'!$E:$E,$E25,'Jounal entries final'!$B:$B,H$17,'Jounal entries final'!$C:$C,$S$17)</f>
        <v>2687528.7600000016</v>
      </c>
      <c r="I25" s="364">
        <f>SUMIFS('Jounal entries final'!$H:$H,'Jounal entries final'!$E:$E,$E25,'Jounal entries final'!$B:$B,I$17,'Jounal entries final'!$C:$C,$S$17)</f>
        <v>2926518.75</v>
      </c>
      <c r="J25" s="364">
        <f>SUMIFS('Jounal entries final'!$H:$H,'Jounal entries final'!$E:$E,$E25,'Jounal entries final'!$B:$B,J$17,'Jounal entries final'!$C:$C,$S$17)</f>
        <v>3287397.4800000004</v>
      </c>
      <c r="K25" s="364">
        <f>SUMIFS('Jounal entries final'!$H:$H,'Jounal entries final'!$E:$E,$E25,'Jounal entries final'!$B:$B,K$17,'Jounal entries final'!$C:$C,$S$17)</f>
        <v>4631542.08</v>
      </c>
      <c r="L25" s="364">
        <f>SUMIFS('Jounal entries final'!$H:$H,'Jounal entries final'!$E:$E,$E25,'Jounal entries final'!$B:$B,L$17,'Jounal entries final'!$C:$C,$S$17)</f>
        <v>5088006.3199999984</v>
      </c>
      <c r="M25" s="364">
        <f>SUMIFS('Jounal entries final'!$H:$H,'Jounal entries final'!$E:$E,$E25,'Jounal entries final'!$B:$B,M$17,'Jounal entries final'!$C:$C,$S$17)</f>
        <v>5147864.5799999982</v>
      </c>
      <c r="N25" s="364">
        <f>SUMIFS('Jounal entries final'!$H:$H,'Jounal entries final'!$E:$E,$E25,'Jounal entries final'!$B:$B,N$17,'Jounal entries final'!$C:$C,$S$17)</f>
        <v>5851985.1599999992</v>
      </c>
      <c r="O25" s="364">
        <f>SUMIFS('Jounal entries final'!$H:$H,'Jounal entries final'!$E:$E,$E25,'Jounal entries final'!$B:$B,O$17,'Jounal entries final'!$C:$C,$S$17)</f>
        <v>6384810.0999999987</v>
      </c>
      <c r="P25" s="364">
        <f>SUMIFS('Jounal entries final'!$H:$H,'Jounal entries final'!$E:$E,$E25,'Jounal entries final'!$B:$B,P$17,'Jounal entries final'!$C:$C,$S$17)</f>
        <v>6198796.2399999984</v>
      </c>
      <c r="Q25" s="364">
        <f>SUMIFS('Jounal entries final'!$H:$H,'Jounal entries final'!$E:$E,$E25,'Jounal entries final'!$B:$B,Q$17,'Jounal entries final'!$C:$C,$S$17)</f>
        <v>6970908.2199999988</v>
      </c>
      <c r="R25" s="114"/>
      <c r="U25" s="316"/>
    </row>
    <row r="26" spans="1:22" ht="19">
      <c r="A26" s="493"/>
      <c r="D26" s="234"/>
      <c r="E26" s="114" t="s">
        <v>97</v>
      </c>
      <c r="F26" s="364">
        <f>SUMIFS('Jounal entries final'!$H:$H,'Jounal entries final'!$E:$E,$E26,'Jounal entries final'!$B:$B,F$17,'Jounal entries final'!$C:$C,$S$17)</f>
        <v>15745707</v>
      </c>
      <c r="G26" s="364">
        <f>SUMIFS('Jounal entries final'!$H:$H,'Jounal entries final'!$E:$E,$E26,'Jounal entries final'!$B:$B,G$17,'Jounal entries final'!$C:$C,$S$17)</f>
        <v>27871048</v>
      </c>
      <c r="H26" s="364">
        <f>SUMIFS('Jounal entries final'!$H:$H,'Jounal entries final'!$E:$E,$E26,'Jounal entries final'!$B:$B,H$17,'Jounal entries final'!$C:$C,$S$17)</f>
        <v>34858942</v>
      </c>
      <c r="I26" s="364">
        <f>SUMIFS('Jounal entries final'!$H:$H,'Jounal entries final'!$E:$E,$E26,'Jounal entries final'!$B:$B,I$17,'Jounal entries final'!$C:$C,$S$17)</f>
        <v>25616326</v>
      </c>
      <c r="J26" s="364">
        <f>SUMIFS('Jounal entries final'!$H:$H,'Jounal entries final'!$E:$E,$E26,'Jounal entries final'!$B:$B,J$17,'Jounal entries final'!$C:$C,$S$17)</f>
        <v>27415787</v>
      </c>
      <c r="K26" s="364">
        <f>SUMIFS('Jounal entries final'!$H:$H,'Jounal entries final'!$E:$E,$E26,'Jounal entries final'!$B:$B,K$17,'Jounal entries final'!$C:$C,$S$17)</f>
        <v>32249372</v>
      </c>
      <c r="L26" s="364">
        <f>SUMIFS('Jounal entries final'!$H:$H,'Jounal entries final'!$E:$E,$E26,'Jounal entries final'!$B:$B,L$17,'Jounal entries final'!$C:$C,$S$17)</f>
        <v>31469236</v>
      </c>
      <c r="M26" s="364">
        <f>SUMIFS('Jounal entries final'!$H:$H,'Jounal entries final'!$E:$E,$E26,'Jounal entries final'!$B:$B,M$17,'Jounal entries final'!$C:$C,$S$17)</f>
        <v>31920418</v>
      </c>
      <c r="N26" s="364">
        <f>SUMIFS('Jounal entries final'!$H:$H,'Jounal entries final'!$E:$E,$E26,'Jounal entries final'!$B:$B,N$17,'Jounal entries final'!$C:$C,$S$17)</f>
        <v>31815762</v>
      </c>
      <c r="O26" s="364">
        <f>SUMIFS('Jounal entries final'!$H:$H,'Jounal entries final'!$E:$E,$E26,'Jounal entries final'!$B:$B,O$17,'Jounal entries final'!$C:$C,$S$17)</f>
        <v>25850551</v>
      </c>
      <c r="P26" s="364">
        <f>SUMIFS('Jounal entries final'!$H:$H,'Jounal entries final'!$E:$E,$E26,'Jounal entries final'!$B:$B,P$17,'Jounal entries final'!$C:$C,$S$17)</f>
        <v>28148846</v>
      </c>
      <c r="Q26" s="364">
        <f>SUMIFS('Jounal entries final'!$H:$H,'Jounal entries final'!$E:$E,$E26,'Jounal entries final'!$B:$B,Q$17,'Jounal entries final'!$C:$C,$S$17)</f>
        <v>25655312</v>
      </c>
      <c r="R26" s="114"/>
      <c r="U26" s="316"/>
    </row>
    <row r="27" spans="1:22">
      <c r="D27" s="234"/>
      <c r="E27" s="114" t="s">
        <v>189</v>
      </c>
      <c r="F27" s="364">
        <f>SUMIFS('Jounal entries final'!$H:$H,'Jounal entries final'!$E:$E,$E27,'Jounal entries final'!$B:$B,F$17,'Jounal entries final'!$C:$C,$S$17)</f>
        <v>45000000</v>
      </c>
      <c r="G27" s="364">
        <f>SUMIFS('Jounal entries final'!$H:$H,'Jounal entries final'!$E:$E,$E27,'Jounal entries final'!$B:$B,G$17,'Jounal entries final'!$C:$C,$S$17)</f>
        <v>45000000</v>
      </c>
      <c r="H27" s="364">
        <f>SUMIFS('Jounal entries final'!$H:$H,'Jounal entries final'!$E:$E,$E27,'Jounal entries final'!$B:$B,H$17,'Jounal entries final'!$C:$C,$S$17)</f>
        <v>45000000</v>
      </c>
      <c r="I27" s="364">
        <f>SUMIFS('Jounal entries final'!$H:$H,'Jounal entries final'!$E:$E,$E27,'Jounal entries final'!$B:$B,I$17,'Jounal entries final'!$C:$C,$S$17)</f>
        <v>45000000</v>
      </c>
      <c r="J27" s="364">
        <f>SUMIFS('Jounal entries final'!$H:$H,'Jounal entries final'!$E:$E,$E27,'Jounal entries final'!$B:$B,J$17,'Jounal entries final'!$C:$C,$S$17)</f>
        <v>45000000</v>
      </c>
      <c r="K27" s="364">
        <f>SUMIFS('Jounal entries final'!$H:$H,'Jounal entries final'!$E:$E,$E27,'Jounal entries final'!$B:$B,K$17,'Jounal entries final'!$C:$C,$S$17)</f>
        <v>45000000</v>
      </c>
      <c r="L27" s="364">
        <f>SUMIFS('Jounal entries final'!$H:$H,'Jounal entries final'!$E:$E,$E27,'Jounal entries final'!$B:$B,L$17,'Jounal entries final'!$C:$C,$S$17)</f>
        <v>45000000</v>
      </c>
      <c r="M27" s="364">
        <f>SUMIFS('Jounal entries final'!$H:$H,'Jounal entries final'!$E:$E,$E27,'Jounal entries final'!$B:$B,M$17,'Jounal entries final'!$C:$C,$S$17)</f>
        <v>45000000</v>
      </c>
      <c r="N27" s="364">
        <f>SUMIFS('Jounal entries final'!$H:$H,'Jounal entries final'!$E:$E,$E27,'Jounal entries final'!$B:$B,N$17,'Jounal entries final'!$C:$C,$S$17)</f>
        <v>45000000</v>
      </c>
      <c r="O27" s="364">
        <f>SUMIFS('Jounal entries final'!$H:$H,'Jounal entries final'!$E:$E,$E27,'Jounal entries final'!$B:$B,O$17,'Jounal entries final'!$C:$C,$S$17)</f>
        <v>45000000</v>
      </c>
      <c r="P27" s="364">
        <f>SUMIFS('Jounal entries final'!$H:$H,'Jounal entries final'!$E:$E,$E27,'Jounal entries final'!$B:$B,P$17,'Jounal entries final'!$C:$C,$S$17)</f>
        <v>45000000</v>
      </c>
      <c r="Q27" s="364">
        <f>SUMIFS('Jounal entries final'!$H:$H,'Jounal entries final'!$E:$E,$E27,'Jounal entries final'!$B:$B,Q$17,'Jounal entries final'!$C:$C,$S$17)</f>
        <v>45000000</v>
      </c>
      <c r="R27" s="114"/>
      <c r="U27" s="316"/>
    </row>
    <row r="28" spans="1:22" ht="19">
      <c r="A28" s="240"/>
      <c r="D28" s="114"/>
      <c r="E28" s="114" t="s">
        <v>190</v>
      </c>
      <c r="F28" s="364">
        <f>SUMIFS('Jounal entries final'!$H:$H,'Jounal entries final'!$E:$E,$E28,'Jounal entries final'!$B:$B,F$17,'Jounal entries final'!$C:$C,$S$17)</f>
        <v>9045000</v>
      </c>
      <c r="G28" s="364">
        <f>SUMIFS('Jounal entries final'!$H:$H,'Jounal entries final'!$E:$E,$E28,'Jounal entries final'!$B:$B,G$17,'Jounal entries final'!$C:$C,$S$17)</f>
        <v>9045000</v>
      </c>
      <c r="H28" s="364">
        <f>SUMIFS('Jounal entries final'!$H:$H,'Jounal entries final'!$E:$E,$E28,'Jounal entries final'!$B:$B,H$17,'Jounal entries final'!$C:$C,$S$17)</f>
        <v>9045000</v>
      </c>
      <c r="I28" s="364">
        <f>SUMIFS('Jounal entries final'!$H:$H,'Jounal entries final'!$E:$E,$E28,'Jounal entries final'!$B:$B,I$17,'Jounal entries final'!$C:$C,$S$17)</f>
        <v>9045000</v>
      </c>
      <c r="J28" s="364">
        <f>SUMIFS('Jounal entries final'!$H:$H,'Jounal entries final'!$E:$E,$E28,'Jounal entries final'!$B:$B,J$17,'Jounal entries final'!$C:$C,$S$17)</f>
        <v>9045000</v>
      </c>
      <c r="K28" s="364">
        <f>SUMIFS('Jounal entries final'!$H:$H,'Jounal entries final'!$E:$E,$E28,'Jounal entries final'!$B:$B,K$17,'Jounal entries final'!$C:$C,$S$17)</f>
        <v>9045000</v>
      </c>
      <c r="L28" s="364">
        <f>SUMIFS('Jounal entries final'!$H:$H,'Jounal entries final'!$E:$E,$E28,'Jounal entries final'!$B:$B,L$17,'Jounal entries final'!$C:$C,$S$17)</f>
        <v>9045000</v>
      </c>
      <c r="M28" s="364">
        <f>SUMIFS('Jounal entries final'!$H:$H,'Jounal entries final'!$E:$E,$E28,'Jounal entries final'!$B:$B,M$17,'Jounal entries final'!$C:$C,$S$17)</f>
        <v>9045000</v>
      </c>
      <c r="N28" s="364">
        <f>SUMIFS('Jounal entries final'!$H:$H,'Jounal entries final'!$E:$E,$E28,'Jounal entries final'!$B:$B,N$17,'Jounal entries final'!$C:$C,$S$17)</f>
        <v>9045000</v>
      </c>
      <c r="O28" s="364">
        <f>SUMIFS('Jounal entries final'!$H:$H,'Jounal entries final'!$E:$E,$E28,'Jounal entries final'!$B:$B,O$17,'Jounal entries final'!$C:$C,$S$17)</f>
        <v>9045000</v>
      </c>
      <c r="P28" s="364">
        <f>SUMIFS('Jounal entries final'!$H:$H,'Jounal entries final'!$E:$E,$E28,'Jounal entries final'!$B:$B,P$17,'Jounal entries final'!$C:$C,$S$17)</f>
        <v>9045000</v>
      </c>
      <c r="Q28" s="364">
        <f>SUMIFS('Jounal entries final'!$H:$H,'Jounal entries final'!$E:$E,$E28,'Jounal entries final'!$B:$B,Q$17,'Jounal entries final'!$C:$C,$S$17)</f>
        <v>9045000</v>
      </c>
      <c r="R28" s="114"/>
      <c r="U28" s="316"/>
    </row>
    <row r="29" spans="1:22" ht="18">
      <c r="D29" s="114"/>
      <c r="E29" s="319" t="s">
        <v>194</v>
      </c>
      <c r="F29" s="363">
        <f>SUM(F24:F28)</f>
        <v>74615939.969999999</v>
      </c>
      <c r="G29" s="363">
        <f t="shared" ref="G29:Q29" si="0">SUM(G24:G28)</f>
        <v>90096395.89199999</v>
      </c>
      <c r="H29" s="363">
        <f t="shared" si="0"/>
        <v>97416676.659999996</v>
      </c>
      <c r="I29" s="363">
        <f t="shared" si="0"/>
        <v>105426888.374</v>
      </c>
      <c r="J29" s="363">
        <f t="shared" si="0"/>
        <v>110301447.68799999</v>
      </c>
      <c r="K29" s="363">
        <f t="shared" si="0"/>
        <v>117022479.26199999</v>
      </c>
      <c r="L29" s="363">
        <f t="shared" si="0"/>
        <v>126335629.264</v>
      </c>
      <c r="M29" s="363">
        <f t="shared" si="0"/>
        <v>134852073.40200001</v>
      </c>
      <c r="N29" s="363">
        <f t="shared" si="0"/>
        <v>137331084.68399999</v>
      </c>
      <c r="O29" s="363">
        <f t="shared" si="0"/>
        <v>145258261.35600001</v>
      </c>
      <c r="P29" s="363">
        <f t="shared" si="0"/>
        <v>152331400.204</v>
      </c>
      <c r="Q29" s="363">
        <f t="shared" si="0"/>
        <v>157962983.93400002</v>
      </c>
      <c r="R29" s="114"/>
      <c r="U29" s="316"/>
    </row>
    <row r="30" spans="1:22" ht="19">
      <c r="A30" s="240"/>
      <c r="D30" s="234"/>
      <c r="E30" s="118"/>
      <c r="F30" s="365"/>
      <c r="G30" s="365"/>
      <c r="H30" s="365"/>
      <c r="I30" s="365"/>
      <c r="J30" s="365"/>
      <c r="K30" s="365"/>
      <c r="L30" s="365"/>
      <c r="M30" s="365"/>
      <c r="N30" s="365"/>
      <c r="O30" s="365"/>
      <c r="P30" s="365"/>
      <c r="Q30" s="365"/>
      <c r="R30" s="364">
        <f>SUMIFS('Jounal entries final'!$H:$H,'Jounal entries final'!$E:$E,$E30,'Jounal entries final'!$B:$B,R$17,'Jounal entries final'!$C:$C,$S$17)</f>
        <v>0</v>
      </c>
      <c r="U30" s="316"/>
    </row>
    <row r="31" spans="1:22" ht="22">
      <c r="D31" s="252"/>
      <c r="E31" s="114"/>
      <c r="F31" s="364"/>
      <c r="G31" s="364"/>
      <c r="H31" s="364"/>
      <c r="I31" s="364"/>
      <c r="J31" s="364"/>
      <c r="K31" s="364"/>
      <c r="L31" s="364"/>
      <c r="M31" s="364"/>
      <c r="N31" s="364"/>
      <c r="O31" s="364"/>
      <c r="P31" s="364"/>
      <c r="Q31" s="364"/>
      <c r="R31" s="364">
        <f>SUMIFS('Jounal entries final'!$H:$H,'Jounal entries final'!$E:$E,$E31,'Jounal entries final'!$B:$B,R$17,'Jounal entries final'!$C:$C,$S$17)</f>
        <v>0</v>
      </c>
      <c r="U31" s="316"/>
    </row>
    <row r="32" spans="1:22" ht="19">
      <c r="A32" s="240"/>
      <c r="D32" s="234"/>
      <c r="E32" s="114" t="s">
        <v>68</v>
      </c>
      <c r="F32" s="364">
        <f>-SUMIFS('Jounal entries final'!$H:$H,'Jounal entries final'!$E:$E,$E32,'Jounal entries final'!$B:$B,F$17,'Jounal entries final'!$C:$C,$S$17)</f>
        <v>21833695</v>
      </c>
      <c r="G32" s="364">
        <f>-SUMIFS('Jounal entries final'!$H:$H,'Jounal entries final'!$E:$E,$E32,'Jounal entries final'!$B:$B,G$17,'Jounal entries final'!$C:$C,$S$17)</f>
        <v>29646200</v>
      </c>
      <c r="H32" s="364">
        <f>-SUMIFS('Jounal entries final'!$H:$H,'Jounal entries final'!$E:$E,$E32,'Jounal entries final'!$B:$B,H$17,'Jounal entries final'!$C:$C,$S$17)</f>
        <v>31818810</v>
      </c>
      <c r="I32" s="364">
        <f>-SUMIFS('Jounal entries final'!$H:$H,'Jounal entries final'!$E:$E,$E32,'Jounal entries final'!$B:$B,I$17,'Jounal entries final'!$C:$C,$S$17)</f>
        <v>33312505</v>
      </c>
      <c r="J32" s="364">
        <f>-SUMIFS('Jounal entries final'!$H:$H,'Jounal entries final'!$E:$E,$E32,'Jounal entries final'!$B:$B,J$17,'Jounal entries final'!$C:$C,$S$17)</f>
        <v>29079495</v>
      </c>
      <c r="K32" s="364">
        <f>-SUMIFS('Jounal entries final'!$H:$H,'Jounal entries final'!$E:$E,$E32,'Jounal entries final'!$B:$B,K$17,'Jounal entries final'!$C:$C,$S$17)</f>
        <v>26707000</v>
      </c>
      <c r="L32" s="364">
        <f>-SUMIFS('Jounal entries final'!$H:$H,'Jounal entries final'!$E:$E,$E32,'Jounal entries final'!$B:$B,L$17,'Jounal entries final'!$C:$C,$S$17)</f>
        <v>32809000</v>
      </c>
      <c r="M32" s="364">
        <f>-SUMIFS('Jounal entries final'!$H:$H,'Jounal entries final'!$E:$E,$E32,'Jounal entries final'!$B:$B,M$17,'Jounal entries final'!$C:$C,$S$17)</f>
        <v>35846010</v>
      </c>
      <c r="N32" s="364">
        <f>-SUMIFS('Jounal entries final'!$H:$H,'Jounal entries final'!$E:$E,$E32,'Jounal entries final'!$B:$B,N$17,'Jounal entries final'!$C:$C,$S$17)</f>
        <v>23717265</v>
      </c>
      <c r="O32" s="364">
        <f>-SUMIFS('Jounal entries final'!$H:$H,'Jounal entries final'!$E:$E,$E32,'Jounal entries final'!$B:$B,O$17,'Jounal entries final'!$C:$C,$S$17)</f>
        <v>30787275</v>
      </c>
      <c r="P32" s="364">
        <f>-SUMIFS('Jounal entries final'!$H:$H,'Jounal entries final'!$E:$E,$E32,'Jounal entries final'!$B:$B,P$17,'Jounal entries final'!$C:$C,$S$17)</f>
        <v>30693580</v>
      </c>
      <c r="Q32" s="364">
        <f>-SUMIFS('Jounal entries final'!$H:$H,'Jounal entries final'!$E:$E,$E32,'Jounal entries final'!$B:$B,Q$17,'Jounal entries final'!$C:$C,$S$17)</f>
        <v>27730960</v>
      </c>
      <c r="R32" s="364">
        <f>-SUMIFS('Jounal entries final'!$H:$H,'Jounal entries final'!$E:$E,$E32,'Jounal entries final'!$B:$B,R$17,'Jounal entries final'!$C:$C,$S$17)</f>
        <v>0</v>
      </c>
      <c r="U32" s="316"/>
    </row>
    <row r="33" spans="1:21">
      <c r="D33" s="234"/>
      <c r="E33" s="114" t="s">
        <v>192</v>
      </c>
      <c r="F33" s="378">
        <f>-SUMIFS('Jounal entries final'!$H:$H,'Jounal entries final'!$E:$E,$E33,'Jounal entries final'!$B:$B,F$17,'Jounal entries final'!$C:$C,$S$17)</f>
        <v>10500000</v>
      </c>
      <c r="G33" s="378">
        <f>-SUMIFS('Jounal entries final'!$H:$H,'Jounal entries final'!$E:$E,$E33,'Jounal entries final'!$B:$B,G$17,'Jounal entries final'!$C:$C,$S$17)</f>
        <v>10500000</v>
      </c>
      <c r="H33" s="364">
        <f>-SUMIFS('Jounal entries final'!$H:$H,'Jounal entries final'!$E:$E,$E33,'Jounal entries final'!$B:$B,H$17,'Jounal entries final'!$C:$C,$S$17)</f>
        <v>10500000</v>
      </c>
      <c r="I33" s="364">
        <f>-SUMIFS('Jounal entries final'!$H:$H,'Jounal entries final'!$E:$E,$E33,'Jounal entries final'!$B:$B,I$17,'Jounal entries final'!$C:$C,$S$17)</f>
        <v>10500000</v>
      </c>
      <c r="J33" s="364">
        <f>-SUMIFS('Jounal entries final'!$H:$H,'Jounal entries final'!$E:$E,$E33,'Jounal entries final'!$B:$B,J$17,'Jounal entries final'!$C:$C,$S$17)</f>
        <v>10500000</v>
      </c>
      <c r="K33" s="364">
        <f>-SUMIFS('Jounal entries final'!$H:$H,'Jounal entries final'!$E:$E,$E33,'Jounal entries final'!$B:$B,K$17,'Jounal entries final'!$C:$C,$S$17)</f>
        <v>10500000</v>
      </c>
      <c r="L33" s="364">
        <f>-SUMIFS('Jounal entries final'!$H:$H,'Jounal entries final'!$E:$E,$E33,'Jounal entries final'!$B:$B,L$17,'Jounal entries final'!$C:$C,$S$17)</f>
        <v>10500000</v>
      </c>
      <c r="M33" s="364">
        <f>-SUMIFS('Jounal entries final'!$H:$H,'Jounal entries final'!$E:$E,$E33,'Jounal entries final'!$B:$B,M$17,'Jounal entries final'!$C:$C,$S$17)</f>
        <v>10500000</v>
      </c>
      <c r="N33" s="364">
        <f>-SUMIFS('Jounal entries final'!$H:$H,'Jounal entries final'!$E:$E,$E33,'Jounal entries final'!$B:$B,N$17,'Jounal entries final'!$C:$C,$S$17)</f>
        <v>10500000</v>
      </c>
      <c r="O33" s="364">
        <f>-SUMIFS('Jounal entries final'!$H:$H,'Jounal entries final'!$E:$E,$E33,'Jounal entries final'!$B:$B,O$17,'Jounal entries final'!$C:$C,$S$17)</f>
        <v>10500000</v>
      </c>
      <c r="P33" s="364">
        <f>-SUMIFS('Jounal entries final'!$H:$H,'Jounal entries final'!$E:$E,$E33,'Jounal entries final'!$B:$B,P$17,'Jounal entries final'!$C:$C,$S$17)</f>
        <v>10500000</v>
      </c>
      <c r="Q33" s="364">
        <f>-SUMIFS('Jounal entries final'!$H:$H,'Jounal entries final'!$E:$E,$E33,'Jounal entries final'!$B:$B,Q$17,'Jounal entries final'!$C:$C,$S$17)</f>
        <v>10500000</v>
      </c>
      <c r="R33" s="364">
        <f>-SUMIFS('Jounal entries final'!$H:$H,'Jounal entries final'!$E:$E,$E33,'Jounal entries final'!$B:$B,R$17,'Jounal entries final'!$C:$C,$S$17)</f>
        <v>0</v>
      </c>
      <c r="U33" s="316"/>
    </row>
    <row r="34" spans="1:21" ht="19">
      <c r="A34" s="240"/>
      <c r="D34" s="234"/>
      <c r="E34" s="319" t="s">
        <v>184</v>
      </c>
      <c r="F34" s="363">
        <f>SUM(F32:F33)</f>
        <v>32333695</v>
      </c>
      <c r="G34" s="363">
        <f>SUM(G32:G33)</f>
        <v>40146200</v>
      </c>
      <c r="H34" s="363">
        <f t="shared" ref="H34:Q34" si="1">SUM(H32:H33)</f>
        <v>42318810</v>
      </c>
      <c r="I34" s="363">
        <f t="shared" si="1"/>
        <v>43812505</v>
      </c>
      <c r="J34" s="363">
        <f t="shared" si="1"/>
        <v>39579495</v>
      </c>
      <c r="K34" s="363">
        <f t="shared" si="1"/>
        <v>37207000</v>
      </c>
      <c r="L34" s="363">
        <f t="shared" si="1"/>
        <v>43309000</v>
      </c>
      <c r="M34" s="363">
        <f t="shared" si="1"/>
        <v>46346010</v>
      </c>
      <c r="N34" s="363">
        <f t="shared" si="1"/>
        <v>34217265</v>
      </c>
      <c r="O34" s="363">
        <f t="shared" si="1"/>
        <v>41287275</v>
      </c>
      <c r="P34" s="363">
        <f t="shared" si="1"/>
        <v>41193580</v>
      </c>
      <c r="Q34" s="363">
        <f t="shared" si="1"/>
        <v>38230960</v>
      </c>
      <c r="R34" s="234"/>
    </row>
    <row r="35" spans="1:21" ht="19">
      <c r="D35" s="234"/>
      <c r="E35" s="118"/>
      <c r="F35" s="346"/>
      <c r="G35" s="338"/>
      <c r="H35" s="338"/>
      <c r="I35" s="339"/>
      <c r="J35" s="338"/>
      <c r="K35" s="205"/>
      <c r="L35" s="345"/>
      <c r="M35" s="336"/>
      <c r="N35" s="349"/>
      <c r="O35" s="349"/>
      <c r="P35" s="350"/>
      <c r="Q35" s="350"/>
      <c r="R35" s="234"/>
    </row>
    <row r="36" spans="1:21" ht="19">
      <c r="A36" s="240"/>
      <c r="D36" s="234"/>
      <c r="E36" s="114" t="s">
        <v>156</v>
      </c>
      <c r="F36" s="378">
        <f>-SUMIFS('Jounal entries final'!$H:$H,'Jounal entries final'!$E:$E,$E36,'Jounal entries final'!$B:$B,F$17,'Jounal entries final'!$C:$C,$S$17)</f>
        <v>50000000</v>
      </c>
      <c r="G36" s="378">
        <f>-SUMIFS('Jounal entries final'!$H:$H,'Jounal entries final'!$E:$E,$E36,'Jounal entries final'!$B:$B,G$17,'Jounal entries final'!$C:$C,$S$17)</f>
        <v>50000000</v>
      </c>
      <c r="H36" s="364">
        <f>-SUMIFS('Jounal entries final'!$H:$H,'Jounal entries final'!$E:$E,$E36,'Jounal entries final'!$B:$B,H$17,'Jounal entries final'!$C:$C,$S$17)</f>
        <v>50000000</v>
      </c>
      <c r="I36" s="364">
        <f>-SUMIFS('Jounal entries final'!$H:$H,'Jounal entries final'!$E:$E,$E36,'Jounal entries final'!$B:$B,I$17,'Jounal entries final'!$C:$C,$S$17)</f>
        <v>50000000</v>
      </c>
      <c r="J36" s="364">
        <f>-SUMIFS('Jounal entries final'!$H:$H,'Jounal entries final'!$E:$E,$E36,'Jounal entries final'!$B:$B,J$17,'Jounal entries final'!$C:$C,$S$17)</f>
        <v>50000000</v>
      </c>
      <c r="K36" s="364">
        <f>-SUMIFS('Jounal entries final'!$H:$H,'Jounal entries final'!$E:$E,$E36,'Jounal entries final'!$B:$B,K$17,'Jounal entries final'!$C:$C,$S$17)</f>
        <v>50000000</v>
      </c>
      <c r="L36" s="364">
        <f>-SUMIFS('Jounal entries final'!$H:$H,'Jounal entries final'!$E:$E,$E36,'Jounal entries final'!$B:$B,L$17,'Jounal entries final'!$C:$C,$S$17)</f>
        <v>50000000</v>
      </c>
      <c r="M36" s="364">
        <f>-SUMIFS('Jounal entries final'!$H:$H,'Jounal entries final'!$E:$E,$E36,'Jounal entries final'!$B:$B,M$17,'Jounal entries final'!$C:$C,$S$17)</f>
        <v>50000000</v>
      </c>
      <c r="N36" s="364">
        <f>-SUMIFS('Jounal entries final'!$H:$H,'Jounal entries final'!$E:$E,$E36,'Jounal entries final'!$B:$B,N$17,'Jounal entries final'!$C:$C,$S$17)</f>
        <v>50000000</v>
      </c>
      <c r="O36" s="364">
        <f>-SUMIFS('Jounal entries final'!$H:$H,'Jounal entries final'!$E:$E,$E36,'Jounal entries final'!$B:$B,O$17,'Jounal entries final'!$C:$C,$S$17)</f>
        <v>50000000</v>
      </c>
      <c r="P36" s="364">
        <f>-SUMIFS('Jounal entries final'!$H:$H,'Jounal entries final'!$E:$E,$E36,'Jounal entries final'!$B:$B,P$17,'Jounal entries final'!$C:$C,$S$17)</f>
        <v>50000000</v>
      </c>
      <c r="Q36" s="364">
        <f>-SUMIFS('Jounal entries final'!$H:$H,'Jounal entries final'!$E:$E,$E36,'Jounal entries final'!$B:$B,Q$17,'Jounal entries final'!$C:$C,$S$17)</f>
        <v>50000000</v>
      </c>
      <c r="R36" s="234"/>
      <c r="U36" s="316"/>
    </row>
    <row r="37" spans="1:21" ht="19">
      <c r="A37" s="240"/>
      <c r="D37" s="114"/>
      <c r="E37" s="114" t="s">
        <v>185</v>
      </c>
      <c r="F37" s="378">
        <f>SUMIFS('Jounal entries final'!$H:$H,'Jounal entries final'!$E:$E,$E37,'Jounal entries final'!$B:$B,F$17,'Jounal entries final'!$C:$C,$S$17)</f>
        <v>8334919</v>
      </c>
      <c r="G37" s="378">
        <f>-SUMIFS('Jounal entries final'!$H:$H,'Jounal entries final'!$E:$E,$E37,'Jounal entries final'!$B:$B,G$17,'Jounal entries final'!$C:$C,$S$17)</f>
        <v>0</v>
      </c>
      <c r="H37" s="364">
        <f>-SUMIFS('Jounal entries final'!$H:$H,'Jounal entries final'!$E:$E,$E37,'Jounal entries final'!$B:$B,H$17,'Jounal entries final'!$C:$C,$S$17)</f>
        <v>0</v>
      </c>
      <c r="I37" s="364">
        <f>-SUMIFS('Jounal entries final'!$H:$H,'Jounal entries final'!$E:$E,$E37,'Jounal entries final'!$B:$B,I$17,'Jounal entries final'!$C:$C,$S$17)</f>
        <v>0</v>
      </c>
      <c r="J37" s="364">
        <f>-SUMIFS('Jounal entries final'!$H:$H,'Jounal entries final'!$E:$E,$E37,'Jounal entries final'!$B:$B,J$17,'Jounal entries final'!$C:$C,$S$17)</f>
        <v>0</v>
      </c>
      <c r="K37" s="364">
        <f>-SUMIFS('Jounal entries final'!$H:$H,'Jounal entries final'!$E:$E,$E37,'Jounal entries final'!$B:$B,K$17,'Jounal entries final'!$C:$C,$S$17)</f>
        <v>0</v>
      </c>
      <c r="L37" s="364">
        <f>-SUMIFS('Jounal entries final'!$H:$H,'Jounal entries final'!$E:$E,$E37,'Jounal entries final'!$B:$B,L$17,'Jounal entries final'!$C:$C,$S$17)</f>
        <v>0</v>
      </c>
      <c r="M37" s="364">
        <f>-SUMIFS('Jounal entries final'!$H:$H,'Jounal entries final'!$E:$E,$E37,'Jounal entries final'!$B:$B,M$17,'Jounal entries final'!$C:$C,$S$17)</f>
        <v>0</v>
      </c>
      <c r="N37" s="364">
        <f>-SUMIFS('Jounal entries final'!$H:$H,'Jounal entries final'!$E:$E,$E37,'Jounal entries final'!$B:$B,N$17,'Jounal entries final'!$C:$C,$S$17)</f>
        <v>0</v>
      </c>
      <c r="O37" s="364">
        <f>-SUMIFS('Jounal entries final'!$H:$H,'Jounal entries final'!$E:$E,$E37,'Jounal entries final'!$B:$B,O$17,'Jounal entries final'!$C:$C,$S$17)</f>
        <v>0</v>
      </c>
      <c r="P37" s="364">
        <f>-SUMIFS('Jounal entries final'!$H:$H,'Jounal entries final'!$E:$E,$E37,'Jounal entries final'!$B:$B,P$17,'Jounal entries final'!$C:$C,$S$17)</f>
        <v>0</v>
      </c>
      <c r="Q37" s="364">
        <f>-SUMIFS('Jounal entries final'!$H:$H,'Jounal entries final'!$E:$E,$E37,'Jounal entries final'!$B:$B,Q$17,'Jounal entries final'!$C:$C,$S$17)</f>
        <v>0</v>
      </c>
      <c r="R37" s="234"/>
      <c r="U37" s="316"/>
    </row>
    <row r="38" spans="1:21">
      <c r="D38" s="114"/>
      <c r="E38" s="114" t="s">
        <v>222</v>
      </c>
      <c r="F38" s="364">
        <f>'LTM P&amp;L'!D39</f>
        <v>617163.96999999695</v>
      </c>
      <c r="G38" s="364">
        <f>'LTM P&amp;L'!E39</f>
        <v>1212950.9219999984</v>
      </c>
      <c r="H38" s="364">
        <f>'LTM P&amp;L'!F39</f>
        <v>-221024.23199999891</v>
      </c>
      <c r="I38" s="364">
        <f>'LTM P&amp;L'!G39</f>
        <v>265211.71399999969</v>
      </c>
      <c r="J38" s="364">
        <f>'LTM P&amp;L'!H39</f>
        <v>-108935.68600000069</v>
      </c>
      <c r="K38" s="364">
        <f>'LTM P&amp;L'!I39</f>
        <v>2188031.574000001</v>
      </c>
      <c r="L38" s="364">
        <f>'LTM P&amp;L'!J39</f>
        <v>768150.00200000219</v>
      </c>
      <c r="M38" s="364">
        <f>'LTM P&amp;L'!K39</f>
        <v>-502060.86199999973</v>
      </c>
      <c r="N38" s="364">
        <f>'LTM P&amp;L'!L39</f>
        <v>806631.28200000059</v>
      </c>
      <c r="O38" s="364">
        <f>'LTM P&amp;L'!M39</f>
        <v>328481.67200000025</v>
      </c>
      <c r="P38" s="364">
        <f>'LTM P&amp;L'!N39</f>
        <v>93138.847999997437</v>
      </c>
      <c r="Q38" s="364">
        <f>'LTM P&amp;L'!O39</f>
        <v>395393.73000000603</v>
      </c>
      <c r="R38" s="234"/>
      <c r="U38" s="316"/>
    </row>
    <row r="39" spans="1:21" ht="19">
      <c r="A39" s="240"/>
      <c r="D39" s="234"/>
      <c r="E39" s="319" t="s">
        <v>195</v>
      </c>
      <c r="F39" s="363">
        <f>F36-F37+F38</f>
        <v>42282244.969999999</v>
      </c>
      <c r="G39" s="363">
        <f>+G38+G36-G37</f>
        <v>51212950.921999998</v>
      </c>
      <c r="H39" s="363">
        <f t="shared" ref="H39:Q39" si="2">+H38+H36-H37</f>
        <v>49778975.767999999</v>
      </c>
      <c r="I39" s="363">
        <f t="shared" si="2"/>
        <v>50265211.714000002</v>
      </c>
      <c r="J39" s="363">
        <f t="shared" si="2"/>
        <v>49891064.313999996</v>
      </c>
      <c r="K39" s="363">
        <f t="shared" si="2"/>
        <v>52188031.574000001</v>
      </c>
      <c r="L39" s="363">
        <f t="shared" si="2"/>
        <v>50768150.002000004</v>
      </c>
      <c r="M39" s="363">
        <f t="shared" si="2"/>
        <v>49497939.137999997</v>
      </c>
      <c r="N39" s="363">
        <f t="shared" si="2"/>
        <v>50806631.281999998</v>
      </c>
      <c r="O39" s="363">
        <f t="shared" si="2"/>
        <v>50328481.671999998</v>
      </c>
      <c r="P39" s="363">
        <f t="shared" si="2"/>
        <v>50093138.847999997</v>
      </c>
      <c r="Q39" s="363">
        <f t="shared" si="2"/>
        <v>50395393.730000004</v>
      </c>
      <c r="R39" s="234"/>
    </row>
    <row r="40" spans="1:21" ht="22">
      <c r="D40" s="252"/>
      <c r="E40" s="306"/>
      <c r="F40" s="336"/>
      <c r="G40" s="336"/>
      <c r="H40" s="352"/>
      <c r="I40" s="352"/>
      <c r="J40" s="352"/>
      <c r="K40" s="205"/>
      <c r="L40" s="345"/>
      <c r="M40" s="336"/>
      <c r="N40" s="351"/>
      <c r="O40" s="352"/>
      <c r="P40" s="345"/>
      <c r="Q40" s="345"/>
      <c r="R40" s="234"/>
    </row>
    <row r="41" spans="1:21" ht="34">
      <c r="A41" s="240"/>
      <c r="D41" s="293"/>
      <c r="E41" s="289"/>
      <c r="F41" s="301"/>
      <c r="G41" s="301"/>
      <c r="H41" s="355"/>
      <c r="I41" s="302"/>
      <c r="J41" s="355"/>
      <c r="L41" s="355"/>
      <c r="M41" s="311"/>
      <c r="N41" s="312"/>
      <c r="O41" s="312"/>
      <c r="P41" s="312"/>
      <c r="Q41" s="312"/>
      <c r="R41" s="293"/>
    </row>
    <row r="42" spans="1:21">
      <c r="D42" s="293"/>
      <c r="E42" s="372" t="s">
        <v>229</v>
      </c>
      <c r="F42" s="373">
        <f>SUMIFS('Jounal entries final'!$H:$H,'Jounal entries final'!$E:$E,$E42,'Jounal entries final'!$B:$B,F$17,'Jounal entries final'!$C:$C,$S$17)</f>
        <v>0</v>
      </c>
      <c r="G42" s="373">
        <f>-SUMIFS('Jounal entries final'!$H:$H,'Jounal entries final'!$E:$E,$E42,'Jounal entries final'!$B:$B,G$17,'Jounal entries final'!$C:$C,$S$17)</f>
        <v>-21833695</v>
      </c>
      <c r="H42" s="373">
        <f>-SUMIFS('Jounal entries final'!$H:$H,'Jounal entries final'!$E:$E,$E42,'Jounal entries final'!$B:$B,H$17,'Jounal entries final'!$C:$C,$S$17)</f>
        <v>-30732505</v>
      </c>
      <c r="I42" s="373">
        <f>-SUMIFS('Jounal entries final'!$H:$H,'Jounal entries final'!$E:$E,$E42,'Jounal entries final'!$B:$B,I$17,'Jounal entries final'!$C:$C,$S$17)</f>
        <v>-32022505</v>
      </c>
      <c r="J42" s="373">
        <f>-SUMIFS('Jounal entries final'!$H:$H,'Jounal entries final'!$E:$E,$E42,'Jounal entries final'!$B:$B,J$17,'Jounal entries final'!$C:$C,$S$17)</f>
        <v>-30551000</v>
      </c>
      <c r="K42" s="373">
        <f>-SUMIFS('Jounal entries final'!$H:$H,'Jounal entries final'!$E:$E,$E42,'Jounal entries final'!$B:$B,K$17,'Jounal entries final'!$C:$C,$S$17)</f>
        <v>-28629000</v>
      </c>
      <c r="L42" s="373">
        <f>-SUMIFS('Jounal entries final'!$H:$H,'Jounal entries final'!$E:$E,$E42,'Jounal entries final'!$B:$B,L$17,'Jounal entries final'!$C:$C,$S$17)</f>
        <v>-30719000</v>
      </c>
      <c r="M42" s="373">
        <f>-SUMIFS('Jounal entries final'!$H:$H,'Jounal entries final'!$E:$E,$E42,'Jounal entries final'!$B:$B,M$17,'Jounal entries final'!$C:$C,$S$17)</f>
        <v>-33282505</v>
      </c>
      <c r="N42" s="373">
        <f>-SUMIFS('Jounal entries final'!$H:$H,'Jounal entries final'!$E:$E,$E42,'Jounal entries final'!$B:$B,N$17,'Jounal entries final'!$C:$C,$S$17)</f>
        <v>-28499885</v>
      </c>
      <c r="O42" s="373">
        <f>-SUMIFS('Jounal entries final'!$H:$H,'Jounal entries final'!$E:$E,$E42,'Jounal entries final'!$B:$B,O$17,'Jounal entries final'!$C:$C,$S$17)</f>
        <v>-29643580</v>
      </c>
      <c r="P42" s="373">
        <f>-SUMIFS('Jounal entries final'!$H:$H,'Jounal entries final'!$E:$E,$E42,'Jounal entries final'!$B:$B,P$17,'Jounal entries final'!$C:$C,$S$17)</f>
        <v>-30168580</v>
      </c>
      <c r="Q42" s="373">
        <f>-SUMIFS('Jounal entries final'!$H:$H,'Jounal entries final'!$E:$E,$E42,'Jounal entries final'!$B:$B,Q$17,'Jounal entries final'!$C:$C,$S$17)</f>
        <v>-28949770</v>
      </c>
      <c r="R42" s="293"/>
    </row>
    <row r="43" spans="1:21" ht="19">
      <c r="A43" s="240"/>
      <c r="D43" s="293"/>
      <c r="E43" s="372" t="s">
        <v>230</v>
      </c>
      <c r="F43" s="373">
        <f>SUMIFS('Jounal entries final'!$H:$H,'Jounal entries final'!$E:$E,$E43,'Jounal entries final'!$B:$B,F$17,'Jounal entries final'!$C:$C,$S$17)</f>
        <v>0</v>
      </c>
      <c r="G43" s="373">
        <f>-SUMIFS('Jounal entries final'!$H:$H,'Jounal entries final'!$E:$E,$E43,'Jounal entries final'!$B:$B,G$17,'Jounal entries final'!$C:$C,$S$17)</f>
        <v>15745707</v>
      </c>
      <c r="H43" s="373">
        <f>-SUMIFS('Jounal entries final'!$H:$H,'Jounal entries final'!$E:$E,$E43,'Jounal entries final'!$B:$B,H$17,'Jounal entries final'!$C:$C,$S$17)</f>
        <v>27871048</v>
      </c>
      <c r="I43" s="373">
        <f>-SUMIFS('Jounal entries final'!$H:$H,'Jounal entries final'!$E:$E,$E43,'Jounal entries final'!$B:$B,I$17,'Jounal entries final'!$C:$C,$S$17)</f>
        <v>34858942</v>
      </c>
      <c r="J43" s="373">
        <f>-SUMIFS('Jounal entries final'!$H:$H,'Jounal entries final'!$E:$E,$E43,'Jounal entries final'!$B:$B,J$17,'Jounal entries final'!$C:$C,$S$17)</f>
        <v>25616326</v>
      </c>
      <c r="K43" s="373">
        <f>-SUMIFS('Jounal entries final'!$H:$H,'Jounal entries final'!$E:$E,$E43,'Jounal entries final'!$B:$B,K$17,'Jounal entries final'!$C:$C,$S$17)</f>
        <v>27415787</v>
      </c>
      <c r="L43" s="373">
        <f>-SUMIFS('Jounal entries final'!$H:$H,'Jounal entries final'!$E:$E,$E43,'Jounal entries final'!$B:$B,L$17,'Jounal entries final'!$C:$C,$S$17)</f>
        <v>32249372</v>
      </c>
      <c r="M43" s="373">
        <f>-SUMIFS('Jounal entries final'!$H:$H,'Jounal entries final'!$E:$E,$E43,'Jounal entries final'!$B:$B,M$17,'Jounal entries final'!$C:$C,$S$17)</f>
        <v>31469236</v>
      </c>
      <c r="N43" s="373">
        <f>-SUMIFS('Jounal entries final'!$H:$H,'Jounal entries final'!$E:$E,$E43,'Jounal entries final'!$B:$B,N$17,'Jounal entries final'!$C:$C,$S$17)</f>
        <v>31920418</v>
      </c>
      <c r="O43" s="373">
        <f>-SUMIFS('Jounal entries final'!$H:$H,'Jounal entries final'!$E:$E,$E43,'Jounal entries final'!$B:$B,O$17,'Jounal entries final'!$C:$C,$S$17)</f>
        <v>31815762</v>
      </c>
      <c r="P43" s="373">
        <f>-SUMIFS('Jounal entries final'!$H:$H,'Jounal entries final'!$E:$E,$E43,'Jounal entries final'!$B:$B,P$17,'Jounal entries final'!$C:$C,$S$17)</f>
        <v>25850551</v>
      </c>
      <c r="Q43" s="373">
        <f>-SUMIFS('Jounal entries final'!$H:$H,'Jounal entries final'!$E:$E,$E43,'Jounal entries final'!$B:$B,Q$17,'Jounal entries final'!$C:$C,$S$17)</f>
        <v>28148846</v>
      </c>
      <c r="R43" s="293"/>
    </row>
    <row r="44" spans="1:21">
      <c r="D44" s="293"/>
      <c r="E44" s="372" t="s">
        <v>236</v>
      </c>
      <c r="F44" s="373">
        <f>SUMIFS('Jounal entries final'!$H:$H,'Jounal entries final'!$E:$E,$E44,'Jounal entries final'!$B:$B,F$17,'Jounal entries final'!$C:$C,$S$17)</f>
        <v>0</v>
      </c>
      <c r="G44" s="373">
        <f>-SUMIFS('Jounal entries final'!$H:$H,'Jounal entries final'!$E:$E,$E44,'Jounal entries final'!$B:$B,G$17,'Jounal entries final'!$C:$C,$S$17)</f>
        <v>1217348.9699999997</v>
      </c>
      <c r="H44" s="373">
        <f>-SUMIFS('Jounal entries final'!$H:$H,'Jounal entries final'!$E:$E,$E44,'Jounal entries final'!$B:$B,H$17,'Jounal entries final'!$C:$C,$S$17)</f>
        <v>965431.98999999987</v>
      </c>
      <c r="I44" s="373">
        <f>-SUMIFS('Jounal entries final'!$H:$H,'Jounal entries final'!$E:$E,$E44,'Jounal entries final'!$B:$B,I$17,'Jounal entries final'!$C:$C,$S$17)</f>
        <v>2687528.76</v>
      </c>
      <c r="J44" s="373">
        <f>-SUMIFS('Jounal entries final'!$H:$H,'Jounal entries final'!$E:$E,$E44,'Jounal entries final'!$B:$B,J$17,'Jounal entries final'!$C:$C,$S$17)</f>
        <v>2926518.75</v>
      </c>
      <c r="K44" s="373">
        <f>-SUMIFS('Jounal entries final'!$H:$H,'Jounal entries final'!$E:$E,$E44,'Jounal entries final'!$B:$B,K$17,'Jounal entries final'!$C:$C,$S$17)</f>
        <v>3287397.4799999995</v>
      </c>
      <c r="L44" s="373">
        <f>-SUMIFS('Jounal entries final'!$H:$H,'Jounal entries final'!$E:$E,$E44,'Jounal entries final'!$B:$B,L$17,'Jounal entries final'!$C:$C,$S$17)</f>
        <v>4631542.08</v>
      </c>
      <c r="M44" s="373">
        <f>-SUMIFS('Jounal entries final'!$H:$H,'Jounal entries final'!$E:$E,$E44,'Jounal entries final'!$B:$B,M$17,'Jounal entries final'!$C:$C,$S$17)</f>
        <v>5088006.3199999984</v>
      </c>
      <c r="N44" s="373">
        <f>-SUMIFS('Jounal entries final'!$H:$H,'Jounal entries final'!$E:$E,$E44,'Jounal entries final'!$B:$B,N$17,'Jounal entries final'!$C:$C,$S$17)</f>
        <v>5147864.5799999991</v>
      </c>
      <c r="O44" s="373">
        <f>-SUMIFS('Jounal entries final'!$H:$H,'Jounal entries final'!$E:$E,$E44,'Jounal entries final'!$B:$B,O$17,'Jounal entries final'!$C:$C,$S$17)</f>
        <v>5851985.1599999992</v>
      </c>
      <c r="P44" s="373">
        <f>-SUMIFS('Jounal entries final'!$H:$H,'Jounal entries final'!$E:$E,$E44,'Jounal entries final'!$B:$B,P$17,'Jounal entries final'!$C:$C,$S$17)</f>
        <v>6384810.0999999996</v>
      </c>
      <c r="Q44" s="373">
        <f>-SUMIFS('Jounal entries final'!$H:$H,'Jounal entries final'!$E:$E,$E44,'Jounal entries final'!$B:$B,Q$17,'Jounal entries final'!$C:$C,$S$17)</f>
        <v>6198796.2399999993</v>
      </c>
      <c r="R44" s="293"/>
    </row>
    <row r="45" spans="1:21" ht="19">
      <c r="A45" s="240"/>
      <c r="D45" s="293"/>
      <c r="E45" s="372" t="s">
        <v>263</v>
      </c>
      <c r="F45" s="373">
        <f>SUMIFS('Jounal entries final'!$H:$H,'Jounal entries final'!$E:$E,$E45,'Jounal entries final'!$B:$B,F$17,'Jounal entries final'!$C:$C,$S$17)</f>
        <v>0</v>
      </c>
      <c r="G45" s="373">
        <f>-SUMIFS('Jounal entries final'!$H:$H,'Jounal entries final'!$E:$E,$E45,'Jounal entries final'!$B:$B,G$17,'Jounal entries final'!$C:$C,$S$17)</f>
        <v>3607884</v>
      </c>
      <c r="H45" s="373">
        <f>-SUMIFS('Jounal entries final'!$H:$H,'Jounal entries final'!$E:$E,$E45,'Jounal entries final'!$B:$B,H$17,'Jounal entries final'!$C:$C,$S$17)</f>
        <v>7214915.9019999998</v>
      </c>
      <c r="I45" s="373">
        <f>-SUMIFS('Jounal entries final'!$H:$H,'Jounal entries final'!$E:$E,$E45,'Jounal entries final'!$B:$B,I$17,'Jounal entries final'!$C:$C,$S$17)</f>
        <v>5825205.8999999994</v>
      </c>
      <c r="J45" s="373">
        <f>-SUMIFS('Jounal entries final'!$H:$H,'Jounal entries final'!$E:$E,$E45,'Jounal entries final'!$B:$B,J$17,'Jounal entries final'!$C:$C,$S$17)</f>
        <v>22839043.623999998</v>
      </c>
      <c r="K45" s="373">
        <f>-SUMIFS('Jounal entries final'!$H:$H,'Jounal entries final'!$E:$E,$E45,'Jounal entries final'!$B:$B,K$17,'Jounal entries final'!$C:$C,$S$17)</f>
        <v>25553263.207999997</v>
      </c>
      <c r="L45" s="373">
        <f>-SUMIFS('Jounal entries final'!$H:$H,'Jounal entries final'!$E:$E,$E45,'Jounal entries final'!$B:$B,L$17,'Jounal entries final'!$C:$C,$S$17)</f>
        <v>26096565.181999996</v>
      </c>
      <c r="M45" s="373">
        <f>-SUMIFS('Jounal entries final'!$H:$H,'Jounal entries final'!$E:$E,$E45,'Jounal entries final'!$B:$B,M$17,'Jounal entries final'!$C:$C,$S$17)</f>
        <v>35733386.943999998</v>
      </c>
      <c r="N45" s="373">
        <f>-SUMIFS('Jounal entries final'!$H:$H,'Jounal entries final'!$E:$E,$E45,'Jounal entries final'!$B:$B,N$17,'Jounal entries final'!$C:$C,$S$17)</f>
        <v>43738790.821999997</v>
      </c>
      <c r="O45" s="373">
        <f>-SUMIFS('Jounal entries final'!$H:$H,'Jounal entries final'!$E:$E,$E45,'Jounal entries final'!$B:$B,O$17,'Jounal entries final'!$C:$C,$S$17)</f>
        <v>45618337.523999996</v>
      </c>
      <c r="P45" s="373">
        <f>-SUMIFS('Jounal entries final'!$H:$H,'Jounal entries final'!$E:$E,$E45,'Jounal entries final'!$B:$B,P$17,'Jounal entries final'!$C:$C,$S$17)</f>
        <v>58977900.255999997</v>
      </c>
      <c r="Q45" s="373">
        <f>-SUMIFS('Jounal entries final'!$H:$H,'Jounal entries final'!$E:$E,$E45,'Jounal entries final'!$B:$B,Q$17,'Jounal entries final'!$C:$C,$S$17)</f>
        <v>63938757.964000002</v>
      </c>
      <c r="R45" s="293"/>
    </row>
    <row r="46" spans="1:21">
      <c r="E46" s="374"/>
      <c r="F46" s="375"/>
      <c r="G46" s="375"/>
      <c r="H46" s="375"/>
      <c r="I46" s="375"/>
      <c r="J46" s="375"/>
      <c r="K46" s="375"/>
      <c r="L46" s="375"/>
      <c r="M46" s="375"/>
      <c r="N46" s="375"/>
      <c r="O46" s="375"/>
      <c r="P46" s="375"/>
      <c r="Q46" s="375"/>
    </row>
    <row r="47" spans="1:21" ht="19">
      <c r="A47" s="240"/>
      <c r="E47" s="374"/>
      <c r="F47" s="375"/>
      <c r="G47" s="375"/>
      <c r="H47" s="375"/>
      <c r="I47" s="375"/>
      <c r="J47" s="375"/>
      <c r="K47" s="375"/>
      <c r="L47" s="375"/>
      <c r="M47" s="375"/>
      <c r="N47" s="375"/>
      <c r="O47" s="375"/>
      <c r="P47" s="375"/>
      <c r="Q47" s="375"/>
    </row>
    <row r="48" spans="1:21" ht="18" customHeight="1">
      <c r="D48" s="293"/>
      <c r="E48" s="376" t="s">
        <v>196</v>
      </c>
      <c r="F48" s="377">
        <f>F29-F34-F39</f>
        <v>0</v>
      </c>
      <c r="G48" s="377">
        <f>G29-G34-G39-SUM(G42:G45)</f>
        <v>-8.3819031715393066E-9</v>
      </c>
      <c r="H48" s="377">
        <f t="shared" ref="H48:Q48" si="3">H29-H34-H39-SUM(H42:H45)</f>
        <v>0</v>
      </c>
      <c r="I48" s="377">
        <f t="shared" si="3"/>
        <v>0</v>
      </c>
      <c r="J48" s="377">
        <f t="shared" si="3"/>
        <v>0</v>
      </c>
      <c r="K48" s="377">
        <f t="shared" si="3"/>
        <v>0</v>
      </c>
      <c r="L48" s="377">
        <f t="shared" si="3"/>
        <v>0</v>
      </c>
      <c r="M48" s="377">
        <f t="shared" si="3"/>
        <v>0</v>
      </c>
      <c r="N48" s="377">
        <f t="shared" si="3"/>
        <v>0</v>
      </c>
      <c r="O48" s="377">
        <f t="shared" si="3"/>
        <v>0</v>
      </c>
      <c r="P48" s="377">
        <f t="shared" si="3"/>
        <v>0</v>
      </c>
      <c r="Q48" s="377">
        <f t="shared" si="3"/>
        <v>0</v>
      </c>
      <c r="R48" s="299"/>
    </row>
    <row r="49" spans="4:18" ht="22">
      <c r="D49" s="295"/>
      <c r="E49" s="737"/>
      <c r="F49" s="737"/>
      <c r="G49" s="737"/>
      <c r="H49" s="355"/>
      <c r="I49" s="355"/>
      <c r="J49" s="355"/>
      <c r="L49" s="340"/>
      <c r="M49" s="798"/>
      <c r="N49" s="798"/>
      <c r="O49" s="798"/>
      <c r="P49" s="355"/>
      <c r="Q49" s="355"/>
      <c r="R49" s="293"/>
    </row>
    <row r="50" spans="4:18" ht="34">
      <c r="D50" s="293"/>
      <c r="E50" s="290"/>
      <c r="F50" s="359"/>
      <c r="G50" s="301"/>
      <c r="H50" s="355"/>
      <c r="I50" s="302"/>
      <c r="J50" s="355"/>
      <c r="L50" s="355"/>
      <c r="M50" s="781"/>
      <c r="N50" s="782"/>
      <c r="O50" s="782"/>
      <c r="P50" s="782"/>
      <c r="Q50" s="782"/>
      <c r="R50" s="293"/>
    </row>
    <row r="51" spans="4:18" ht="13.25" customHeight="1">
      <c r="D51" s="293"/>
      <c r="E51" s="288"/>
      <c r="F51" s="341"/>
      <c r="G51" s="341"/>
      <c r="H51" s="355"/>
      <c r="I51" s="302"/>
      <c r="J51" s="355"/>
      <c r="L51" s="355"/>
      <c r="M51" s="781"/>
      <c r="N51" s="782"/>
      <c r="O51" s="782"/>
      <c r="P51" s="782"/>
      <c r="Q51" s="782"/>
      <c r="R51" s="293"/>
    </row>
    <row r="52" spans="4:18" ht="18">
      <c r="D52" s="293"/>
      <c r="E52" s="249"/>
      <c r="F52" s="360"/>
      <c r="G52" s="360"/>
      <c r="H52" s="300"/>
      <c r="I52" s="361"/>
      <c r="J52" s="355"/>
      <c r="L52" s="355"/>
      <c r="M52" s="782"/>
      <c r="N52" s="782"/>
      <c r="O52" s="782"/>
      <c r="P52" s="782"/>
      <c r="Q52" s="782"/>
      <c r="R52" s="293"/>
    </row>
    <row r="53" spans="4:18" ht="18">
      <c r="D53" s="293"/>
      <c r="E53" s="249"/>
      <c r="F53" s="360"/>
      <c r="G53" s="360"/>
      <c r="H53" s="300"/>
      <c r="I53" s="361"/>
      <c r="J53" s="355"/>
      <c r="L53" s="355"/>
      <c r="M53" s="782"/>
      <c r="N53" s="782"/>
      <c r="O53" s="782"/>
      <c r="P53" s="782"/>
      <c r="Q53" s="782"/>
      <c r="R53" s="293"/>
    </row>
    <row r="54" spans="4:18" ht="19">
      <c r="D54" s="293"/>
      <c r="E54" s="249"/>
      <c r="F54" s="360"/>
      <c r="G54" s="360"/>
      <c r="H54" s="300"/>
      <c r="I54" s="361"/>
      <c r="J54" s="355"/>
      <c r="L54" s="355"/>
      <c r="M54" s="300"/>
      <c r="N54" s="799"/>
      <c r="O54" s="799"/>
      <c r="P54" s="800"/>
      <c r="Q54" s="800"/>
      <c r="R54" s="293"/>
    </row>
    <row r="55" spans="4:18" ht="19">
      <c r="D55" s="293"/>
      <c r="E55" s="246"/>
      <c r="F55" s="357"/>
      <c r="G55" s="356"/>
      <c r="H55" s="355"/>
      <c r="I55" s="355"/>
      <c r="J55" s="355"/>
      <c r="L55" s="355"/>
      <c r="M55" s="300"/>
      <c r="N55" s="357"/>
      <c r="O55" s="356"/>
      <c r="P55" s="355"/>
      <c r="Q55" s="355"/>
      <c r="R55" s="293"/>
    </row>
  </sheetData>
  <mergeCells count="6">
    <mergeCell ref="Q21:R21"/>
    <mergeCell ref="E49:G49"/>
    <mergeCell ref="M49:O49"/>
    <mergeCell ref="M50:Q53"/>
    <mergeCell ref="N54:O54"/>
    <mergeCell ref="P54:Q54"/>
  </mergeCells>
  <conditionalFormatting sqref="H41:I41">
    <cfRule type="iconSet" priority="1">
      <iconSet iconSet="3Arrows">
        <cfvo type="percent" val="0"/>
        <cfvo type="num" val="0"/>
        <cfvo type="num" val="9.9999999999999995E-8" gte="0"/>
      </iconSet>
    </cfRule>
  </conditionalFormatting>
  <conditionalFormatting sqref="H50:I51">
    <cfRule type="iconSet" priority="5">
      <iconSet iconSet="3Arrows">
        <cfvo type="percent" val="0"/>
        <cfvo type="num" val="0"/>
        <cfvo type="num" val="9.9999999999999995E-8" gte="0"/>
      </iconSet>
    </cfRule>
  </conditionalFormatting>
  <conditionalFormatting sqref="I54">
    <cfRule type="iconSet" priority="2">
      <iconSet iconSet="3Flags">
        <cfvo type="percent" val="0"/>
        <cfvo type="num" val="0"/>
        <cfvo type="num" val="1.0000000000000001E-17" gte="0"/>
      </iconSet>
    </cfRule>
  </conditionalFormatting>
  <conditionalFormatting sqref="P35:Q35">
    <cfRule type="iconSet" priority="6">
      <iconSet iconSet="3Arrows">
        <cfvo type="percent" val="0"/>
        <cfvo type="num" val="0"/>
        <cfvo type="num" val="1E-25" gte="0"/>
      </iconSet>
    </cfRule>
  </conditionalFormatting>
  <conditionalFormatting sqref="P54:Q54">
    <cfRule type="iconSet" priority="4">
      <iconSet iconSet="3Arrows">
        <cfvo type="percent" val="0"/>
        <cfvo type="num" val="0"/>
        <cfvo type="num" val="1E-25" gte="0"/>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3" id="{ED703121-BF20-400C-8291-76B59EEB3688}">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I52:I53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F0F09-C7A8-47AF-855F-EACB9E7457F1}">
  <sheetPr codeName="Sheet34">
    <tabColor theme="4" tint="0.79998168889431442"/>
  </sheetPr>
  <dimension ref="A1:AI55"/>
  <sheetViews>
    <sheetView showGridLines="0" zoomScale="80" zoomScaleNormal="80" workbookViewId="0"/>
  </sheetViews>
  <sheetFormatPr baseColWidth="10" defaultColWidth="8.83203125" defaultRowHeight="15"/>
  <cols>
    <col min="1" max="1" width="2.83203125" style="236" customWidth="1"/>
    <col min="2" max="2" width="2.1640625" style="236" customWidth="1"/>
    <col min="3" max="3" width="44.83203125" style="243" bestFit="1" customWidth="1"/>
    <col min="4" max="15" width="12.1640625" style="344" customWidth="1"/>
    <col min="16" max="16" width="1.5" style="236" customWidth="1"/>
    <col min="17" max="17" width="8.83203125" style="236"/>
    <col min="18" max="18" width="9.83203125" style="114" bestFit="1" customWidth="1"/>
    <col min="19" max="19" width="20.1640625" style="114" bestFit="1" customWidth="1"/>
    <col min="20" max="20" width="8.5" style="114" bestFit="1" customWidth="1"/>
    <col min="21" max="21" width="9.5" style="114" bestFit="1" customWidth="1"/>
    <col min="22" max="22" width="8.5" style="114" bestFit="1" customWidth="1"/>
    <col min="23" max="23" width="7.1640625" style="114" bestFit="1" customWidth="1"/>
    <col min="24" max="24" width="7.83203125" style="114" bestFit="1" customWidth="1"/>
    <col min="25" max="25" width="8.6640625" style="114" bestFit="1" customWidth="1"/>
    <col min="26" max="26" width="9.5" style="114" bestFit="1" customWidth="1"/>
    <col min="27" max="27" width="8.5" style="114" bestFit="1" customWidth="1"/>
    <col min="28" max="28" width="11.5" style="114" bestFit="1" customWidth="1"/>
    <col min="29" max="29" width="8.83203125" style="114" bestFit="1" customWidth="1"/>
    <col min="30" max="31" width="11" style="114" bestFit="1" customWidth="1"/>
    <col min="32" max="32" width="9.5" style="114" bestFit="1" customWidth="1"/>
    <col min="33" max="16384" width="8.83203125" style="114"/>
  </cols>
  <sheetData>
    <row r="1" spans="1:17">
      <c r="A1" s="118"/>
      <c r="B1" s="114"/>
      <c r="C1" s="114"/>
      <c r="D1" s="114"/>
      <c r="E1" s="114"/>
      <c r="F1" s="114"/>
      <c r="G1" s="114"/>
      <c r="H1" s="114"/>
      <c r="I1" s="114"/>
      <c r="J1" s="114"/>
      <c r="K1" s="114"/>
      <c r="L1" s="114"/>
      <c r="M1" s="114"/>
      <c r="N1" s="114"/>
      <c r="O1" s="114"/>
      <c r="P1" s="114"/>
      <c r="Q1" s="114"/>
    </row>
    <row r="2" spans="1:17">
      <c r="A2" s="118"/>
      <c r="B2" s="114"/>
      <c r="C2" s="114"/>
      <c r="D2" s="114"/>
      <c r="E2" s="114"/>
      <c r="F2" s="114"/>
      <c r="G2" s="114"/>
      <c r="H2" s="114"/>
      <c r="I2" s="114"/>
      <c r="J2" s="114"/>
      <c r="K2" s="114"/>
      <c r="L2" s="114"/>
      <c r="M2" s="114"/>
      <c r="N2" s="114"/>
      <c r="O2" s="114"/>
      <c r="P2" s="114"/>
      <c r="Q2" s="114"/>
    </row>
    <row r="3" spans="1:17">
      <c r="A3" s="118"/>
      <c r="B3" s="114"/>
      <c r="C3" s="114"/>
      <c r="D3" s="114"/>
      <c r="E3" s="114"/>
      <c r="F3" s="114"/>
      <c r="G3" s="114"/>
      <c r="H3" s="114"/>
      <c r="I3" s="114"/>
      <c r="J3" s="114"/>
      <c r="K3" s="114"/>
      <c r="L3" s="114"/>
      <c r="M3" s="114"/>
      <c r="N3" s="114"/>
      <c r="O3" s="114"/>
      <c r="P3" s="114"/>
      <c r="Q3" s="114"/>
    </row>
    <row r="4" spans="1:17">
      <c r="A4" s="118"/>
      <c r="B4" s="114"/>
      <c r="C4" s="114"/>
      <c r="D4" s="114"/>
      <c r="E4" s="114"/>
      <c r="F4" s="114"/>
      <c r="G4" s="114"/>
      <c r="H4" s="114"/>
      <c r="I4" s="114"/>
      <c r="J4" s="114"/>
      <c r="K4" s="114"/>
      <c r="L4" s="114"/>
      <c r="M4" s="114"/>
      <c r="N4" s="114"/>
      <c r="O4" s="114"/>
      <c r="P4" s="114"/>
      <c r="Q4" s="114"/>
    </row>
    <row r="5" spans="1:17">
      <c r="A5" s="118"/>
      <c r="B5" s="114"/>
      <c r="C5" s="114"/>
      <c r="D5" s="114"/>
      <c r="E5" s="114"/>
      <c r="F5" s="114"/>
      <c r="G5" s="114"/>
      <c r="H5" s="114"/>
      <c r="I5" s="114"/>
      <c r="J5" s="114"/>
      <c r="K5" s="114"/>
      <c r="L5" s="114"/>
      <c r="M5" s="114"/>
      <c r="N5" s="114"/>
      <c r="O5" s="114"/>
      <c r="P5" s="114"/>
      <c r="Q5" s="114"/>
    </row>
    <row r="6" spans="1:17">
      <c r="A6" s="118"/>
      <c r="B6" s="114"/>
      <c r="C6" s="114"/>
      <c r="D6" s="114"/>
      <c r="E6" s="114"/>
      <c r="F6" s="114"/>
      <c r="G6" s="114"/>
      <c r="H6" s="114"/>
      <c r="I6" s="114"/>
      <c r="J6" s="114"/>
      <c r="K6" s="114"/>
      <c r="L6" s="114"/>
      <c r="M6" s="114"/>
      <c r="N6" s="114"/>
      <c r="O6" s="114"/>
      <c r="P6" s="114"/>
      <c r="Q6" s="114"/>
    </row>
    <row r="7" spans="1:17">
      <c r="A7" s="118"/>
      <c r="B7" s="114"/>
      <c r="C7" s="114"/>
      <c r="D7" s="114"/>
      <c r="E7" s="114"/>
      <c r="F7" s="114"/>
      <c r="G7" s="114"/>
      <c r="H7" s="114"/>
      <c r="I7" s="114"/>
      <c r="J7" s="114"/>
      <c r="K7" s="114"/>
      <c r="L7" s="114"/>
      <c r="M7" s="114"/>
      <c r="N7" s="114"/>
      <c r="O7" s="114"/>
      <c r="P7" s="114"/>
      <c r="Q7" s="114"/>
    </row>
    <row r="8" spans="1:17">
      <c r="A8" s="118"/>
      <c r="B8" s="114"/>
      <c r="C8" s="114"/>
      <c r="D8" s="114"/>
      <c r="E8" s="114"/>
      <c r="F8" s="114"/>
      <c r="G8" s="114"/>
      <c r="H8" s="114"/>
      <c r="I8" s="114"/>
      <c r="J8" s="114"/>
      <c r="K8" s="114"/>
      <c r="L8" s="114"/>
      <c r="M8" s="114"/>
      <c r="N8" s="114"/>
      <c r="O8" s="114"/>
      <c r="P8" s="114"/>
      <c r="Q8" s="114"/>
    </row>
    <row r="9" spans="1:17">
      <c r="A9" s="118"/>
      <c r="B9" s="114"/>
      <c r="C9" s="114"/>
      <c r="D9" s="114"/>
      <c r="E9" s="114"/>
      <c r="F9" s="114"/>
      <c r="G9" s="114"/>
      <c r="H9" s="114"/>
      <c r="I9" s="114"/>
      <c r="J9" s="114"/>
      <c r="K9" s="114"/>
      <c r="L9" s="114"/>
      <c r="M9" s="114"/>
      <c r="N9" s="114"/>
      <c r="O9" s="114"/>
      <c r="P9" s="114"/>
      <c r="Q9" s="114"/>
    </row>
    <row r="10" spans="1:17">
      <c r="A10" s="118"/>
      <c r="B10" s="114"/>
      <c r="C10" s="114"/>
      <c r="D10" s="114"/>
      <c r="E10" s="114"/>
      <c r="F10" s="114"/>
      <c r="G10" s="114"/>
      <c r="H10" s="114"/>
      <c r="I10" s="114"/>
      <c r="J10" s="114"/>
      <c r="K10" s="114"/>
      <c r="L10" s="114"/>
      <c r="M10" s="114"/>
      <c r="N10" s="114"/>
      <c r="O10" s="114"/>
      <c r="P10" s="114"/>
      <c r="Q10" s="114"/>
    </row>
    <row r="11" spans="1:17">
      <c r="A11" s="118"/>
      <c r="B11" s="114"/>
      <c r="C11" s="114"/>
      <c r="D11" s="114"/>
      <c r="E11" s="114"/>
      <c r="F11" s="114"/>
      <c r="G11" s="114"/>
      <c r="H11" s="114"/>
      <c r="I11" s="114"/>
      <c r="J11" s="114"/>
      <c r="K11" s="114"/>
      <c r="L11" s="114"/>
      <c r="M11" s="114"/>
      <c r="N11" s="114"/>
      <c r="O11" s="114"/>
      <c r="P11" s="114"/>
      <c r="Q11" s="114"/>
    </row>
    <row r="12" spans="1:17">
      <c r="A12" s="118"/>
      <c r="B12" s="114"/>
      <c r="C12" s="114"/>
      <c r="D12" s="114"/>
      <c r="E12" s="114"/>
      <c r="F12" s="114"/>
      <c r="G12" s="114"/>
      <c r="H12" s="114"/>
      <c r="I12" s="114"/>
      <c r="J12" s="114"/>
      <c r="K12" s="114"/>
      <c r="L12" s="114"/>
      <c r="M12" s="114"/>
      <c r="N12" s="114"/>
      <c r="O12" s="114"/>
      <c r="P12" s="114"/>
      <c r="Q12" s="114"/>
    </row>
    <row r="13" spans="1:17">
      <c r="A13" s="118"/>
      <c r="B13" s="114"/>
      <c r="C13" s="114"/>
      <c r="D13" s="114"/>
      <c r="E13" s="114"/>
      <c r="F13" s="114"/>
      <c r="G13" s="114"/>
      <c r="H13" s="114"/>
      <c r="I13" s="114"/>
      <c r="J13" s="114"/>
      <c r="K13" s="114"/>
      <c r="L13" s="114"/>
      <c r="M13" s="114"/>
      <c r="N13" s="114"/>
      <c r="O13" s="114"/>
      <c r="P13" s="114"/>
      <c r="Q13" s="114"/>
    </row>
    <row r="14" spans="1:17">
      <c r="A14" s="118"/>
      <c r="B14" s="114"/>
      <c r="C14" s="114"/>
      <c r="D14" s="114"/>
      <c r="E14" s="114"/>
      <c r="F14" s="114"/>
      <c r="G14" s="114"/>
      <c r="H14" s="114"/>
      <c r="I14" s="114"/>
      <c r="J14" s="114"/>
      <c r="K14" s="114"/>
      <c r="L14" s="114"/>
      <c r="M14" s="114"/>
      <c r="N14" s="114"/>
      <c r="O14" s="114"/>
      <c r="P14" s="114"/>
      <c r="Q14" s="114"/>
    </row>
    <row r="15" spans="1:17" ht="19">
      <c r="A15" s="118"/>
      <c r="B15" s="147"/>
      <c r="C15" s="147"/>
      <c r="D15" s="147"/>
      <c r="E15" s="114"/>
      <c r="F15" s="114"/>
      <c r="G15" s="114"/>
      <c r="H15" s="114"/>
      <c r="I15" s="114"/>
      <c r="J15" s="280"/>
      <c r="K15" s="280"/>
      <c r="L15" s="280"/>
      <c r="M15" s="280"/>
      <c r="N15" s="114"/>
      <c r="O15" s="114"/>
      <c r="P15" s="114"/>
      <c r="Q15" s="114"/>
    </row>
    <row r="16" spans="1:17" ht="16" thickBot="1">
      <c r="A16" s="114"/>
      <c r="B16" s="114"/>
      <c r="C16" s="114"/>
      <c r="D16" s="205"/>
      <c r="E16" s="205"/>
      <c r="F16" s="205"/>
      <c r="G16" s="205"/>
      <c r="H16" s="205"/>
      <c r="I16" s="205"/>
      <c r="J16" s="343"/>
      <c r="K16" s="205"/>
      <c r="L16" s="205"/>
      <c r="M16" s="205"/>
      <c r="N16" s="205"/>
      <c r="O16" s="205"/>
      <c r="P16" s="114"/>
      <c r="Q16" s="114"/>
    </row>
    <row r="17" spans="1:35" s="287" customFormat="1" ht="26.5" customHeight="1" thickBot="1">
      <c r="C17" s="281" t="s">
        <v>174</v>
      </c>
      <c r="D17" s="285">
        <v>1</v>
      </c>
      <c r="E17" s="285">
        <v>2</v>
      </c>
      <c r="F17" s="285">
        <v>3</v>
      </c>
      <c r="G17" s="285">
        <v>4</v>
      </c>
      <c r="H17" s="285">
        <v>5</v>
      </c>
      <c r="I17" s="285">
        <v>6</v>
      </c>
      <c r="J17" s="285">
        <v>7</v>
      </c>
      <c r="K17" s="285">
        <v>8</v>
      </c>
      <c r="L17" s="285">
        <v>9</v>
      </c>
      <c r="M17" s="285">
        <v>10</v>
      </c>
      <c r="N17" s="285">
        <v>11</v>
      </c>
      <c r="O17" s="285">
        <v>12</v>
      </c>
      <c r="Q17" s="285">
        <v>2022</v>
      </c>
    </row>
    <row r="18" spans="1:35">
      <c r="A18" s="114"/>
      <c r="B18" s="114"/>
      <c r="C18" s="118"/>
      <c r="D18" s="205"/>
      <c r="E18" s="205"/>
      <c r="F18" s="205"/>
      <c r="G18" s="205"/>
      <c r="H18" s="205"/>
      <c r="I18" s="205"/>
      <c r="J18" s="205"/>
      <c r="K18" s="205"/>
      <c r="L18" s="205"/>
      <c r="M18" s="205"/>
      <c r="N18" s="205"/>
      <c r="O18" s="205"/>
      <c r="P18" s="114"/>
      <c r="Q18" s="114"/>
    </row>
    <row r="21" spans="1:35">
      <c r="B21" s="234"/>
      <c r="C21" s="251"/>
      <c r="D21" s="205"/>
      <c r="E21" s="205"/>
      <c r="F21" s="205"/>
      <c r="G21" s="205"/>
      <c r="H21" s="205"/>
      <c r="I21" s="205"/>
      <c r="J21" s="205"/>
      <c r="K21" s="205"/>
      <c r="L21" s="205"/>
      <c r="M21" s="205"/>
      <c r="N21" s="205"/>
      <c r="O21" s="762"/>
      <c r="P21" s="762"/>
    </row>
    <row r="22" spans="1:35" s="204" customFormat="1" ht="25">
      <c r="A22" s="244"/>
      <c r="B22" s="252"/>
      <c r="C22" s="366" t="s">
        <v>176</v>
      </c>
      <c r="D22" s="367"/>
      <c r="E22" s="367"/>
      <c r="F22" s="367"/>
      <c r="G22" s="367"/>
      <c r="H22" s="367"/>
      <c r="I22" s="367"/>
      <c r="J22" s="367"/>
      <c r="K22" s="367"/>
      <c r="L22" s="367"/>
      <c r="M22" s="367"/>
      <c r="N22" s="367"/>
      <c r="O22" s="368"/>
      <c r="P22" s="234"/>
      <c r="Q22" s="244"/>
    </row>
    <row r="23" spans="1:35" ht="33.5" customHeight="1">
      <c r="B23" s="234"/>
      <c r="C23" s="369"/>
      <c r="D23" s="370" t="s">
        <v>17</v>
      </c>
      <c r="E23" s="370" t="s">
        <v>18</v>
      </c>
      <c r="F23" s="370" t="s">
        <v>19</v>
      </c>
      <c r="G23" s="370" t="s">
        <v>20</v>
      </c>
      <c r="H23" s="370" t="s">
        <v>21</v>
      </c>
      <c r="I23" s="370" t="s">
        <v>22</v>
      </c>
      <c r="J23" s="370" t="s">
        <v>23</v>
      </c>
      <c r="K23" s="370" t="s">
        <v>24</v>
      </c>
      <c r="L23" s="370" t="s">
        <v>25</v>
      </c>
      <c r="M23" s="370" t="s">
        <v>26</v>
      </c>
      <c r="N23" s="370" t="s">
        <v>27</v>
      </c>
      <c r="O23" s="370" t="s">
        <v>28</v>
      </c>
      <c r="P23" s="362"/>
      <c r="T23" s="370" t="s">
        <v>17</v>
      </c>
      <c r="U23" s="370" t="s">
        <v>18</v>
      </c>
      <c r="V23" s="370" t="s">
        <v>19</v>
      </c>
      <c r="W23" s="370" t="s">
        <v>20</v>
      </c>
      <c r="X23" s="370" t="s">
        <v>21</v>
      </c>
      <c r="Y23" s="370" t="s">
        <v>22</v>
      </c>
      <c r="Z23" s="370" t="s">
        <v>23</v>
      </c>
      <c r="AA23" s="370" t="s">
        <v>24</v>
      </c>
      <c r="AB23" s="370" t="s">
        <v>25</v>
      </c>
      <c r="AC23" s="370" t="s">
        <v>26</v>
      </c>
      <c r="AD23" s="370" t="s">
        <v>27</v>
      </c>
      <c r="AE23" s="370" t="s">
        <v>28</v>
      </c>
    </row>
    <row r="24" spans="1:35" ht="18">
      <c r="B24" s="234"/>
      <c r="C24" s="207" t="s">
        <v>98</v>
      </c>
      <c r="D24" s="364">
        <f>-SUMIFS('Jounal entries final'!$H:$H,'Jounal entries final'!$E:$E,$C24,'Jounal entries final'!$B:$B,D$17,'Jounal entries final'!$C:$C,$Q$17)</f>
        <v>13745707</v>
      </c>
      <c r="E24" s="364">
        <f>-SUMIFS('Jounal entries final'!$H:$H,'Jounal entries final'!$E:$E,$C24,'Jounal entries final'!$B:$B,E$17,'Jounal entries final'!$C:$C,$Q$17)</f>
        <v>12726467</v>
      </c>
      <c r="F24" s="364">
        <f>-SUMIFS('Jounal entries final'!$H:$H,'Jounal entries final'!$E:$E,$C24,'Jounal entries final'!$B:$B,F$17,'Jounal entries final'!$C:$C,$Q$17)</f>
        <v>10796660</v>
      </c>
      <c r="G24" s="364">
        <f>-SUMIFS('Jounal entries final'!$H:$H,'Jounal entries final'!$E:$E,$C24,'Jounal entries final'!$B:$B,G$17,'Jounal entries final'!$C:$C,$Q$17)</f>
        <v>12478398</v>
      </c>
      <c r="H24" s="364">
        <f>-SUMIFS('Jounal entries final'!$H:$H,'Jounal entries final'!$E:$E,$C24,'Jounal entries final'!$B:$B,H$17,'Jounal entries final'!$C:$C,$Q$17)</f>
        <v>11877090</v>
      </c>
      <c r="I24" s="364">
        <f>-SUMIFS('Jounal entries final'!$H:$H,'Jounal entries final'!$E:$E,$C24,'Jounal entries final'!$B:$B,I$17,'Jounal entries final'!$C:$C,$Q$17)</f>
        <v>12577816</v>
      </c>
      <c r="J24" s="364">
        <f>-SUMIFS('Jounal entries final'!$H:$H,'Jounal entries final'!$E:$E,$C24,'Jounal entries final'!$B:$B,J$17,'Jounal entries final'!$C:$C,$Q$17)</f>
        <v>13117891</v>
      </c>
      <c r="K24" s="364">
        <f>-SUMIFS('Jounal entries final'!$H:$H,'Jounal entries final'!$E:$E,$C24,'Jounal entries final'!$B:$B,K$17,'Jounal entries final'!$C:$C,$Q$17)</f>
        <v>11066732</v>
      </c>
      <c r="L24" s="364">
        <f>-SUMIFS('Jounal entries final'!$H:$H,'Jounal entries final'!$E:$E,$C24,'Jounal entries final'!$B:$B,L$17,'Jounal entries final'!$C:$C,$Q$17)</f>
        <v>11487586</v>
      </c>
      <c r="M24" s="364">
        <f>-SUMIFS('Jounal entries final'!$H:$H,'Jounal entries final'!$E:$E,$C24,'Jounal entries final'!$B:$B,M$17,'Jounal entries final'!$C:$C,$Q$17)</f>
        <v>11353191</v>
      </c>
      <c r="N24" s="364">
        <f>-SUMIFS('Jounal entries final'!$H:$H,'Jounal entries final'!$E:$E,$C24,'Jounal entries final'!$B:$B,N$17,'Jounal entries final'!$C:$C,$Q$17)</f>
        <v>11279738</v>
      </c>
      <c r="O24" s="364">
        <f>-SUMIFS('Jounal entries final'!$H:$H,'Jounal entries final'!$E:$E,$C24,'Jounal entries final'!$B:$B,O$17,'Jounal entries final'!$C:$C,$Q$17)</f>
        <v>10797568</v>
      </c>
      <c r="P24" s="114"/>
      <c r="R24" s="364"/>
      <c r="S24" s="114" t="s">
        <v>634</v>
      </c>
      <c r="T24" s="364"/>
      <c r="U24" s="364">
        <f>(E24-D24)*D28</f>
        <v>-236007.65536343798</v>
      </c>
      <c r="V24" s="364">
        <f t="shared" ref="V24:AD24" si="0">(F24-E24)*E28</f>
        <v>-561489.9853681348</v>
      </c>
      <c r="W24" s="364">
        <f t="shared" si="0"/>
        <v>371983.40120859467</v>
      </c>
      <c r="X24" s="364">
        <f t="shared" si="0"/>
        <v>-139542.84374275545</v>
      </c>
      <c r="Y24" s="364">
        <f t="shared" si="0"/>
        <v>141310.96240998118</v>
      </c>
      <c r="Z24" s="364">
        <f t="shared" si="0"/>
        <v>201925.24743588638</v>
      </c>
      <c r="AA24" s="364">
        <f t="shared" si="0"/>
        <v>-542731.04910113395</v>
      </c>
      <c r="AB24" s="364">
        <f t="shared" si="0"/>
        <v>80872.290226586498</v>
      </c>
      <c r="AC24" s="364">
        <f t="shared" si="0"/>
        <v>-38489.144538668967</v>
      </c>
      <c r="AD24" s="364">
        <f t="shared" si="0"/>
        <v>-19383.163440782071</v>
      </c>
      <c r="AE24" s="364">
        <f>(O24-N24)*N28</f>
        <v>-117818.44757743122</v>
      </c>
      <c r="AF24" s="364"/>
      <c r="AG24" s="364"/>
      <c r="AH24" s="364"/>
      <c r="AI24" s="364"/>
    </row>
    <row r="25" spans="1:35" ht="18">
      <c r="B25" s="234"/>
      <c r="C25" s="207" t="s">
        <v>143</v>
      </c>
      <c r="D25" s="364">
        <f>SUMIFS('Jounal entries final'!$H:$H,'Jounal entries final'!$E:$E,$C25,'Jounal entries final'!$B:$B,D$17,'Jounal entries final'!$C:$C,$Q$17)</f>
        <v>10562853.030000003</v>
      </c>
      <c r="E25" s="364">
        <f>SUMIFS('Jounal entries final'!$H:$H,'Jounal entries final'!$E:$E,$C25,'Jounal entries final'!$B:$B,E$17,'Jounal entries final'!$C:$C,$Q$17)</f>
        <v>9023618.0780000016</v>
      </c>
      <c r="F25" s="364">
        <f>SUMIFS('Jounal entries final'!$H:$H,'Jounal entries final'!$E:$E,$C25,'Jounal entries final'!$B:$B,F$17,'Jounal entries final'!$C:$C,$Q$17)</f>
        <v>8408548.2319999989</v>
      </c>
      <c r="G25" s="364">
        <f>SUMIFS('Jounal entries final'!$H:$H,'Jounal entries final'!$E:$E,$C25,'Jounal entries final'!$B:$B,G$17,'Jounal entries final'!$C:$C,$Q$17)</f>
        <v>9582592.2860000003</v>
      </c>
      <c r="H25" s="364">
        <f>SUMIFS('Jounal entries final'!$H:$H,'Jounal entries final'!$E:$E,$C25,'Jounal entries final'!$B:$B,H$17,'Jounal entries final'!$C:$C,$Q$17)</f>
        <v>9481912.6860000007</v>
      </c>
      <c r="I25" s="364">
        <f>SUMIFS('Jounal entries final'!$H:$H,'Jounal entries final'!$E:$E,$C25,'Jounal entries final'!$B:$B,I$17,'Jounal entries final'!$C:$C,$Q$17)</f>
        <v>7875175.425999999</v>
      </c>
      <c r="J25" s="364">
        <f>SUMIFS('Jounal entries final'!$H:$H,'Jounal entries final'!$E:$E,$C25,'Jounal entries final'!$B:$B,J$17,'Jounal entries final'!$C:$C,$Q$17)</f>
        <v>9646932.9979999978</v>
      </c>
      <c r="K25" s="364">
        <f>SUMIFS('Jounal entries final'!$H:$H,'Jounal entries final'!$E:$E,$C25,'Jounal entries final'!$B:$B,K$17,'Jounal entries final'!$C:$C,$Q$17)</f>
        <v>8940122.8619999997</v>
      </c>
      <c r="L25" s="364">
        <f>SUMIFS('Jounal entries final'!$H:$H,'Jounal entries final'!$E:$E,$C25,'Jounal entries final'!$B:$B,L$17,'Jounal entries final'!$C:$C,$Q$17)</f>
        <v>8197676.7179999994</v>
      </c>
      <c r="M25" s="364">
        <f>SUMIFS('Jounal entries final'!$H:$H,'Jounal entries final'!$E:$E,$C25,'Jounal entries final'!$B:$B,M$17,'Jounal entries final'!$C:$C,$Q$17)</f>
        <v>8357251.3279999997</v>
      </c>
      <c r="N25" s="364">
        <f>SUMIFS('Jounal entries final'!$H:$H,'Jounal entries final'!$E:$E,$C25,'Jounal entries final'!$B:$B,N$17,'Jounal entries final'!$C:$C,$Q$17)</f>
        <v>8523529.1520000026</v>
      </c>
      <c r="O25" s="364">
        <f>SUMIFS('Jounal entries final'!$H:$H,'Jounal entries final'!$E:$E,$C25,'Jounal entries final'!$B:$B,O$17,'Jounal entries final'!$C:$C,$Q$17)</f>
        <v>7765783.269999994</v>
      </c>
      <c r="P25" s="114"/>
      <c r="R25" s="364"/>
      <c r="S25" s="114" t="s">
        <v>635</v>
      </c>
      <c r="T25" s="364"/>
      <c r="U25" s="364">
        <f>(E28-D28)*E24</f>
        <v>756002.60736343905</v>
      </c>
      <c r="V25" s="364">
        <f t="shared" ref="V25:AE25" si="1">(F28-E28)*F24</f>
        <v>-753247.16863186203</v>
      </c>
      <c r="W25" s="364">
        <f t="shared" si="1"/>
        <v>135710.5447914039</v>
      </c>
      <c r="X25" s="364">
        <f t="shared" si="1"/>
        <v>-361085.55625724507</v>
      </c>
      <c r="Y25" s="364">
        <f>(I28-H28)*I24</f>
        <v>2166152.2975900206</v>
      </c>
      <c r="Z25" s="364">
        <f t="shared" si="1"/>
        <v>-1433607.8194358849</v>
      </c>
      <c r="AA25" s="364">
        <f t="shared" si="1"/>
        <v>-801617.81489886832</v>
      </c>
      <c r="AB25" s="364">
        <f t="shared" si="1"/>
        <v>1082427.8537734139</v>
      </c>
      <c r="AC25" s="364">
        <f t="shared" si="1"/>
        <v>-255480.46546133119</v>
      </c>
      <c r="AD25" s="364">
        <f t="shared" si="1"/>
        <v>-220347.66055922088</v>
      </c>
      <c r="AE25" s="364">
        <f t="shared" si="1"/>
        <v>393394.32957743987</v>
      </c>
      <c r="AF25" s="364"/>
      <c r="AG25" s="364"/>
      <c r="AH25" s="364"/>
      <c r="AI25" s="364"/>
    </row>
    <row r="26" spans="1:35" ht="19">
      <c r="B26" s="234"/>
      <c r="C26" s="207"/>
      <c r="D26" s="347"/>
      <c r="E26" s="338"/>
      <c r="F26" s="338"/>
      <c r="G26" s="339"/>
      <c r="H26" s="338"/>
      <c r="I26" s="205"/>
      <c r="J26" s="205"/>
      <c r="K26" s="205"/>
      <c r="L26" s="205"/>
      <c r="M26" s="205"/>
      <c r="N26" s="205"/>
      <c r="O26" s="205"/>
      <c r="P26" s="114"/>
      <c r="S26" s="114" t="s">
        <v>636</v>
      </c>
      <c r="U26" s="316">
        <f>E27-D27</f>
        <v>519994.95200000145</v>
      </c>
      <c r="V26" s="316">
        <f t="shared" ref="V26:AE26" si="2">F27-E27</f>
        <v>-1314737.1539999973</v>
      </c>
      <c r="W26" s="316">
        <f t="shared" si="2"/>
        <v>507693.9459999986</v>
      </c>
      <c r="X26" s="316">
        <f t="shared" si="2"/>
        <v>-500628.40000000037</v>
      </c>
      <c r="Y26" s="316">
        <f t="shared" si="2"/>
        <v>2307463.2600000016</v>
      </c>
      <c r="Z26" s="316">
        <f t="shared" si="2"/>
        <v>-1231682.5719999988</v>
      </c>
      <c r="AA26" s="316">
        <f t="shared" si="2"/>
        <v>-1344348.8640000019</v>
      </c>
      <c r="AB26" s="316">
        <f t="shared" si="2"/>
        <v>1163300.1440000003</v>
      </c>
      <c r="AC26" s="316">
        <f t="shared" si="2"/>
        <v>-293969.61000000034</v>
      </c>
      <c r="AD26" s="316">
        <f t="shared" si="2"/>
        <v>-239730.82400000282</v>
      </c>
      <c r="AE26" s="316">
        <f t="shared" si="2"/>
        <v>275575.8820000086</v>
      </c>
      <c r="AF26" s="316"/>
      <c r="AG26" s="316"/>
      <c r="AH26" s="316"/>
      <c r="AI26" s="316"/>
    </row>
    <row r="27" spans="1:35" ht="18">
      <c r="B27" s="234"/>
      <c r="C27" s="371" t="s">
        <v>181</v>
      </c>
      <c r="D27" s="363">
        <f>+D24-D25</f>
        <v>3182853.9699999969</v>
      </c>
      <c r="E27" s="363">
        <f t="shared" ref="E27:O27" si="3">+E24-E25</f>
        <v>3702848.9219999984</v>
      </c>
      <c r="F27" s="363">
        <f t="shared" si="3"/>
        <v>2388111.7680000011</v>
      </c>
      <c r="G27" s="363">
        <f t="shared" si="3"/>
        <v>2895805.7139999997</v>
      </c>
      <c r="H27" s="363">
        <f t="shared" si="3"/>
        <v>2395177.3139999993</v>
      </c>
      <c r="I27" s="363">
        <f t="shared" si="3"/>
        <v>4702640.574000001</v>
      </c>
      <c r="J27" s="363">
        <f t="shared" si="3"/>
        <v>3470958.0020000022</v>
      </c>
      <c r="K27" s="363">
        <f t="shared" si="3"/>
        <v>2126609.1380000003</v>
      </c>
      <c r="L27" s="363">
        <f t="shared" si="3"/>
        <v>3289909.2820000006</v>
      </c>
      <c r="M27" s="363">
        <f t="shared" si="3"/>
        <v>2995939.6720000003</v>
      </c>
      <c r="N27" s="363">
        <f t="shared" si="3"/>
        <v>2756208.8479999974</v>
      </c>
      <c r="O27" s="363">
        <f t="shared" si="3"/>
        <v>3031784.730000006</v>
      </c>
      <c r="P27" s="114"/>
      <c r="S27" s="114" t="s">
        <v>638</v>
      </c>
      <c r="U27" s="316">
        <f t="shared" ref="U27:AE27" si="4">ABS(U24)+ABS(U25)</f>
        <v>992010.262726877</v>
      </c>
      <c r="V27" s="316">
        <f t="shared" si="4"/>
        <v>1314737.1539999968</v>
      </c>
      <c r="W27" s="316">
        <f t="shared" si="4"/>
        <v>507693.9459999986</v>
      </c>
      <c r="X27" s="316">
        <f t="shared" si="4"/>
        <v>500628.40000000049</v>
      </c>
      <c r="Y27" s="316">
        <f t="shared" si="4"/>
        <v>2307463.2600000016</v>
      </c>
      <c r="Z27" s="316">
        <f t="shared" si="4"/>
        <v>1635533.0668717714</v>
      </c>
      <c r="AA27" s="316">
        <f t="shared" si="4"/>
        <v>1344348.8640000024</v>
      </c>
      <c r="AB27" s="316">
        <f t="shared" si="4"/>
        <v>1163300.1440000003</v>
      </c>
      <c r="AC27" s="316">
        <f t="shared" si="4"/>
        <v>293969.61000000016</v>
      </c>
      <c r="AD27" s="316">
        <f t="shared" si="4"/>
        <v>239730.82400000296</v>
      </c>
      <c r="AE27" s="316">
        <f t="shared" si="4"/>
        <v>511212.77715487109</v>
      </c>
      <c r="AF27" s="316"/>
      <c r="AG27" s="316"/>
      <c r="AH27" s="316"/>
      <c r="AI27" s="316"/>
    </row>
    <row r="28" spans="1:35" ht="18">
      <c r="B28" s="114"/>
      <c r="C28" s="207"/>
      <c r="D28" s="365">
        <f t="shared" ref="D28:O28" si="5">D27/D24</f>
        <v>0.23155258365393624</v>
      </c>
      <c r="E28" s="365">
        <f t="shared" si="5"/>
        <v>0.29095654921354042</v>
      </c>
      <c r="F28" s="365">
        <f t="shared" si="5"/>
        <v>0.22118986501380994</v>
      </c>
      <c r="G28" s="365">
        <f t="shared" si="5"/>
        <v>0.23206550344042559</v>
      </c>
      <c r="H28" s="365">
        <f t="shared" si="5"/>
        <v>0.20166364942927933</v>
      </c>
      <c r="I28" s="365">
        <f t="shared" si="5"/>
        <v>0.37388371510602486</v>
      </c>
      <c r="J28" s="365">
        <f t="shared" si="5"/>
        <v>0.26459725896487496</v>
      </c>
      <c r="K28" s="365">
        <f t="shared" si="5"/>
        <v>0.1921623418729215</v>
      </c>
      <c r="L28" s="365">
        <f t="shared" si="5"/>
        <v>0.28638821785534407</v>
      </c>
      <c r="M28" s="365">
        <f t="shared" si="5"/>
        <v>0.26388525234887711</v>
      </c>
      <c r="N28" s="365">
        <f t="shared" si="5"/>
        <v>0.24435043154371117</v>
      </c>
      <c r="O28" s="365">
        <f t="shared" si="5"/>
        <v>0.28078403673864394</v>
      </c>
      <c r="P28" s="114"/>
      <c r="S28" s="114" t="s">
        <v>637</v>
      </c>
      <c r="U28" s="135">
        <f t="shared" ref="U28:AE28" si="6">U24/$U$27</f>
        <v>-0.23790848162668279</v>
      </c>
      <c r="V28" s="135">
        <f t="shared" si="6"/>
        <v>-0.56601227473664328</v>
      </c>
      <c r="W28" s="135">
        <f t="shared" si="6"/>
        <v>0.37497938800156361</v>
      </c>
      <c r="X28" s="135">
        <f t="shared" si="6"/>
        <v>-0.14066673399040708</v>
      </c>
      <c r="Y28" s="135">
        <f t="shared" si="6"/>
        <v>0.14244909323976146</v>
      </c>
      <c r="Z28" s="135">
        <f t="shared" si="6"/>
        <v>0.20355157100978602</v>
      </c>
      <c r="AA28" s="135">
        <f t="shared" si="6"/>
        <v>-0.54710225235901633</v>
      </c>
      <c r="AB28" s="135">
        <f t="shared" si="6"/>
        <v>8.1523642713414626E-2</v>
      </c>
      <c r="AC28" s="135">
        <f t="shared" si="6"/>
        <v>-3.8799139469453153E-2</v>
      </c>
      <c r="AD28" s="135">
        <f t="shared" si="6"/>
        <v>-1.9539277131570058E-2</v>
      </c>
      <c r="AE28" s="135">
        <f t="shared" si="6"/>
        <v>-0.11876736764150726</v>
      </c>
      <c r="AF28" s="316"/>
      <c r="AG28" s="316"/>
      <c r="AH28" s="316"/>
      <c r="AI28" s="316"/>
    </row>
    <row r="29" spans="1:35" ht="18">
      <c r="B29" s="114"/>
      <c r="C29" s="118"/>
      <c r="D29" s="348"/>
      <c r="E29" s="583"/>
      <c r="F29" s="583"/>
      <c r="G29" s="339"/>
      <c r="H29" s="338"/>
      <c r="I29" s="205"/>
      <c r="J29" s="205"/>
      <c r="K29" s="205"/>
      <c r="L29" s="205"/>
      <c r="M29" s="205"/>
      <c r="N29" s="205"/>
      <c r="O29" s="205"/>
      <c r="P29" s="114"/>
      <c r="S29" s="114" t="s">
        <v>294</v>
      </c>
      <c r="U29" s="135">
        <f t="shared" ref="U29:AE29" si="7">U25/$U$27</f>
        <v>0.76209151837331723</v>
      </c>
      <c r="V29" s="135">
        <f t="shared" si="7"/>
        <v>-0.75931388709760572</v>
      </c>
      <c r="W29" s="135">
        <f t="shared" si="7"/>
        <v>0.13680356936868515</v>
      </c>
      <c r="X29" s="135">
        <f t="shared" si="7"/>
        <v>-0.36399377085543333</v>
      </c>
      <c r="Y29" s="135">
        <f t="shared" si="7"/>
        <v>2.1835986773318408</v>
      </c>
      <c r="Z29" s="135">
        <f t="shared" si="7"/>
        <v>-1.4451542219887192</v>
      </c>
      <c r="AA29" s="135">
        <f t="shared" si="7"/>
        <v>-0.80807411477311697</v>
      </c>
      <c r="AB29" s="135">
        <f t="shared" si="7"/>
        <v>1.0911458222196144</v>
      </c>
      <c r="AC29" s="135">
        <f t="shared" si="7"/>
        <v>-0.25753812743736781</v>
      </c>
      <c r="AD29" s="135">
        <f t="shared" si="7"/>
        <v>-0.2221223598569641</v>
      </c>
      <c r="AE29" s="135">
        <f t="shared" si="7"/>
        <v>0.39656276185698119</v>
      </c>
      <c r="AF29" s="316"/>
      <c r="AG29" s="316"/>
      <c r="AH29" s="316"/>
      <c r="AI29" s="316"/>
    </row>
    <row r="30" spans="1:35" ht="18">
      <c r="B30" s="234"/>
      <c r="C30" s="207" t="s">
        <v>157</v>
      </c>
      <c r="D30" s="364">
        <f>SUMIFS('Jounal entries final'!$H:$H,'Jounal entries final'!$E:$E,$C30,'Jounal entries final'!$B:$B,D$17,'Jounal entries final'!$C:$C,$Q$17)</f>
        <v>991135</v>
      </c>
      <c r="E30" s="364">
        <f>SUMIFS('Jounal entries final'!$H:$H,'Jounal entries final'!$E:$E,$C30,'Jounal entries final'!$B:$B,E$17,'Jounal entries final'!$C:$C,$Q$17)</f>
        <v>938597</v>
      </c>
      <c r="F30" s="364">
        <f>SUMIFS('Jounal entries final'!$H:$H,'Jounal entries final'!$E:$E,$C30,'Jounal entries final'!$B:$B,F$17,'Jounal entries final'!$C:$C,$Q$17)</f>
        <v>1007206</v>
      </c>
      <c r="G30" s="364">
        <f>SUMIFS('Jounal entries final'!$H:$H,'Jounal entries final'!$E:$E,$C30,'Jounal entries final'!$B:$B,G$17,'Jounal entries final'!$C:$C,$Q$17)</f>
        <v>1048028</v>
      </c>
      <c r="H30" s="364">
        <f>SUMIFS('Jounal entries final'!$H:$H,'Jounal entries final'!$E:$E,$C30,'Jounal entries final'!$B:$B,H$17,'Jounal entries final'!$C:$C,$Q$17)</f>
        <v>900412</v>
      </c>
      <c r="I30" s="364">
        <f>SUMIFS('Jounal entries final'!$H:$H,'Jounal entries final'!$E:$E,$C30,'Jounal entries final'!$B:$B,I$17,'Jounal entries final'!$C:$C,$Q$17)</f>
        <v>926816</v>
      </c>
      <c r="J30" s="364">
        <f>SUMIFS('Jounal entries final'!$H:$H,'Jounal entries final'!$E:$E,$C30,'Jounal entries final'!$B:$B,J$17,'Jounal entries final'!$C:$C,$Q$17)</f>
        <v>1130206</v>
      </c>
      <c r="K30" s="364">
        <f>SUMIFS('Jounal entries final'!$H:$H,'Jounal entries final'!$E:$E,$C30,'Jounal entries final'!$B:$B,K$17,'Jounal entries final'!$C:$C,$Q$17)</f>
        <v>1034305</v>
      </c>
      <c r="L30" s="364">
        <f>SUMIFS('Jounal entries final'!$H:$H,'Jounal entries final'!$E:$E,$C30,'Jounal entries final'!$B:$B,L$17,'Jounal entries final'!$C:$C,$Q$17)</f>
        <v>926975</v>
      </c>
      <c r="M30" s="364">
        <f>SUMIFS('Jounal entries final'!$H:$H,'Jounal entries final'!$E:$E,$C30,'Jounal entries final'!$B:$B,M$17,'Jounal entries final'!$C:$C,$Q$17)</f>
        <v>1071231</v>
      </c>
      <c r="N30" s="364">
        <f>SUMIFS('Jounal entries final'!$H:$H,'Jounal entries final'!$E:$E,$C30,'Jounal entries final'!$B:$B,N$17,'Jounal entries final'!$C:$C,$Q$17)</f>
        <v>1065789</v>
      </c>
      <c r="O30" s="364">
        <f>SUMIFS('Jounal entries final'!$H:$H,'Jounal entries final'!$E:$E,$C30,'Jounal entries final'!$B:$B,O$17,'Jounal entries final'!$C:$C,$Q$17)</f>
        <v>1033220</v>
      </c>
      <c r="P30" s="364">
        <f>SUMIFS('Jounal entries final'!$H:$H,'Jounal entries final'!$E:$E,$C30,'Jounal entries final'!$B:$B,P$17,'Jounal entries final'!$C:$C,$Q$17)</f>
        <v>0</v>
      </c>
      <c r="AF30" s="135"/>
      <c r="AG30" s="135"/>
      <c r="AH30" s="135"/>
      <c r="AI30" s="135"/>
    </row>
    <row r="31" spans="1:35" ht="22">
      <c r="B31" s="252"/>
      <c r="C31" s="207" t="s">
        <v>154</v>
      </c>
      <c r="D31" s="364">
        <f>SUMIFS('Jounal entries final'!$H:$H,'Jounal entries final'!$E:$E,$C31,'Jounal entries final'!$B:$B,D$17,'Jounal entries final'!$C:$C,$Q$17)</f>
        <v>778137</v>
      </c>
      <c r="E31" s="364">
        <f>SUMIFS('Jounal entries final'!$H:$H,'Jounal entries final'!$E:$E,$C31,'Jounal entries final'!$B:$B,E$17,'Jounal entries final'!$C:$C,$Q$17)</f>
        <v>783888</v>
      </c>
      <c r="F31" s="364">
        <f>SUMIFS('Jounal entries final'!$H:$H,'Jounal entries final'!$E:$E,$C31,'Jounal entries final'!$B:$B,F$17,'Jounal entries final'!$C:$C,$Q$17)</f>
        <v>804347</v>
      </c>
      <c r="G31" s="364">
        <f>SUMIFS('Jounal entries final'!$H:$H,'Jounal entries final'!$E:$E,$C31,'Jounal entries final'!$B:$B,G$17,'Jounal entries final'!$C:$C,$Q$17)</f>
        <v>797542</v>
      </c>
      <c r="H31" s="364">
        <f>SUMIFS('Jounal entries final'!$H:$H,'Jounal entries final'!$E:$E,$C31,'Jounal entries final'!$B:$B,H$17,'Jounal entries final'!$C:$C,$Q$17)</f>
        <v>791922</v>
      </c>
      <c r="I31" s="364">
        <f>SUMIFS('Jounal entries final'!$H:$H,'Jounal entries final'!$E:$E,$C31,'Jounal entries final'!$B:$B,I$17,'Jounal entries final'!$C:$C,$Q$17)</f>
        <v>781895</v>
      </c>
      <c r="J31" s="364">
        <f>SUMIFS('Jounal entries final'!$H:$H,'Jounal entries final'!$E:$E,$C31,'Jounal entries final'!$B:$B,J$17,'Jounal entries final'!$C:$C,$Q$17)</f>
        <v>784848</v>
      </c>
      <c r="K31" s="364">
        <f>SUMIFS('Jounal entries final'!$H:$H,'Jounal entries final'!$E:$E,$C31,'Jounal entries final'!$B:$B,K$17,'Jounal entries final'!$C:$C,$Q$17)</f>
        <v>804178</v>
      </c>
      <c r="L31" s="364">
        <f>SUMIFS('Jounal entries final'!$H:$H,'Jounal entries final'!$E:$E,$C31,'Jounal entries final'!$B:$B,L$17,'Jounal entries final'!$C:$C,$Q$17)</f>
        <v>776615</v>
      </c>
      <c r="M31" s="364">
        <f>SUMIFS('Jounal entries final'!$H:$H,'Jounal entries final'!$E:$E,$C31,'Jounal entries final'!$B:$B,M$17,'Jounal entries final'!$C:$C,$Q$17)</f>
        <v>789096</v>
      </c>
      <c r="N31" s="364">
        <f>SUMIFS('Jounal entries final'!$H:$H,'Jounal entries final'!$E:$E,$C31,'Jounal entries final'!$B:$B,N$17,'Jounal entries final'!$C:$C,$Q$17)</f>
        <v>797691</v>
      </c>
      <c r="O31" s="364">
        <f>SUMIFS('Jounal entries final'!$H:$H,'Jounal entries final'!$E:$E,$C31,'Jounal entries final'!$B:$B,O$17,'Jounal entries final'!$C:$C,$Q$17)</f>
        <v>804188</v>
      </c>
      <c r="P31" s="364">
        <f>SUMIFS('Jounal entries final'!$H:$H,'Jounal entries final'!$E:$E,$C31,'Jounal entries final'!$B:$B,P$17,'Jounal entries final'!$C:$C,$Q$17)</f>
        <v>0</v>
      </c>
      <c r="AF31" s="135"/>
      <c r="AG31" s="135"/>
      <c r="AH31" s="135"/>
      <c r="AI31" s="135"/>
    </row>
    <row r="32" spans="1:35" ht="18">
      <c r="B32" s="234"/>
      <c r="C32" s="207" t="s">
        <v>155</v>
      </c>
      <c r="D32" s="364">
        <f>SUMIFS('Jounal entries final'!$H:$H,'Jounal entries final'!$E:$E,$C32,'Jounal entries final'!$B:$B,D$17,'Jounal entries final'!$C:$C,$Q$17)</f>
        <v>795212</v>
      </c>
      <c r="E32" s="364">
        <f>SUMIFS('Jounal entries final'!$H:$H,'Jounal entries final'!$E:$E,$C32,'Jounal entries final'!$B:$B,E$17,'Jounal entries final'!$C:$C,$Q$17)</f>
        <v>790258</v>
      </c>
      <c r="F32" s="364">
        <f>SUMIFS('Jounal entries final'!$H:$H,'Jounal entries final'!$E:$E,$C32,'Jounal entries final'!$B:$B,F$17,'Jounal entries final'!$C:$C,$Q$17)</f>
        <v>802157</v>
      </c>
      <c r="G32" s="364">
        <f>SUMIFS('Jounal entries final'!$H:$H,'Jounal entries final'!$E:$E,$C32,'Jounal entries final'!$B:$B,G$17,'Jounal entries final'!$C:$C,$Q$17)</f>
        <v>794483</v>
      </c>
      <c r="H32" s="364">
        <f>SUMIFS('Jounal entries final'!$H:$H,'Jounal entries final'!$E:$E,$C32,'Jounal entries final'!$B:$B,H$17,'Jounal entries final'!$C:$C,$Q$17)</f>
        <v>784197</v>
      </c>
      <c r="I32" s="364">
        <f>SUMIFS('Jounal entries final'!$H:$H,'Jounal entries final'!$E:$E,$C32,'Jounal entries final'!$B:$B,I$17,'Jounal entries final'!$C:$C,$Q$17)</f>
        <v>794583</v>
      </c>
      <c r="J32" s="364">
        <f>SUMIFS('Jounal entries final'!$H:$H,'Jounal entries final'!$E:$E,$C32,'Jounal entries final'!$B:$B,J$17,'Jounal entries final'!$C:$C,$Q$17)</f>
        <v>796511</v>
      </c>
      <c r="K32" s="364">
        <f>SUMIFS('Jounal entries final'!$H:$H,'Jounal entries final'!$E:$E,$C32,'Jounal entries final'!$B:$B,K$17,'Jounal entries final'!$C:$C,$Q$17)</f>
        <v>803857</v>
      </c>
      <c r="L32" s="364">
        <f>SUMIFS('Jounal entries final'!$H:$H,'Jounal entries final'!$E:$E,$C32,'Jounal entries final'!$B:$B,L$17,'Jounal entries final'!$C:$C,$Q$17)</f>
        <v>789374</v>
      </c>
      <c r="M32" s="364">
        <f>SUMIFS('Jounal entries final'!$H:$H,'Jounal entries final'!$E:$E,$C32,'Jounal entries final'!$B:$B,M$17,'Jounal entries final'!$C:$C,$Q$17)</f>
        <v>796762</v>
      </c>
      <c r="N32" s="364">
        <f>SUMIFS('Jounal entries final'!$H:$H,'Jounal entries final'!$E:$E,$C32,'Jounal entries final'!$B:$B,N$17,'Jounal entries final'!$C:$C,$Q$17)</f>
        <v>793038</v>
      </c>
      <c r="O32" s="364">
        <f>SUMIFS('Jounal entries final'!$H:$H,'Jounal entries final'!$E:$E,$C32,'Jounal entries final'!$B:$B,O$17,'Jounal entries final'!$C:$C,$Q$17)</f>
        <v>796575</v>
      </c>
      <c r="P32" s="364">
        <f>SUMIFS('Jounal entries final'!$H:$H,'Jounal entries final'!$E:$E,$C32,'Jounal entries final'!$B:$B,P$17,'Jounal entries final'!$C:$C,$Q$17)</f>
        <v>0</v>
      </c>
    </row>
    <row r="33" spans="2:16" ht="18">
      <c r="B33" s="234"/>
      <c r="C33" s="207"/>
      <c r="D33" s="532">
        <f>SUM(D30:D32)</f>
        <v>2564484</v>
      </c>
      <c r="E33" s="532">
        <f t="shared" ref="E33:O33" si="8">SUM(E30:E32)</f>
        <v>2512743</v>
      </c>
      <c r="F33" s="532">
        <f t="shared" si="8"/>
        <v>2613710</v>
      </c>
      <c r="G33" s="532">
        <f t="shared" si="8"/>
        <v>2640053</v>
      </c>
      <c r="H33" s="532">
        <f t="shared" si="8"/>
        <v>2476531</v>
      </c>
      <c r="I33" s="532">
        <f t="shared" si="8"/>
        <v>2503294</v>
      </c>
      <c r="J33" s="532">
        <f t="shared" si="8"/>
        <v>2711565</v>
      </c>
      <c r="K33" s="532">
        <f t="shared" si="8"/>
        <v>2642340</v>
      </c>
      <c r="L33" s="532">
        <f t="shared" si="8"/>
        <v>2492964</v>
      </c>
      <c r="M33" s="532">
        <f t="shared" si="8"/>
        <v>2657089</v>
      </c>
      <c r="N33" s="532">
        <f t="shared" si="8"/>
        <v>2656518</v>
      </c>
      <c r="O33" s="532">
        <f t="shared" si="8"/>
        <v>2633983</v>
      </c>
      <c r="P33" s="234"/>
    </row>
    <row r="34" spans="2:16" ht="18">
      <c r="B34" s="234"/>
      <c r="C34" s="371" t="s">
        <v>182</v>
      </c>
      <c r="D34" s="363">
        <f>+D27-SUM(D30:D32)</f>
        <v>618369.96999999695</v>
      </c>
      <c r="E34" s="363">
        <f>+E27-SUM(E30:E32)</f>
        <v>1190105.9219999984</v>
      </c>
      <c r="F34" s="363">
        <f t="shared" ref="F34:O34" si="9">+F27-SUM(F30:F32)</f>
        <v>-225598.23199999891</v>
      </c>
      <c r="G34" s="363">
        <f t="shared" si="9"/>
        <v>255752.71399999969</v>
      </c>
      <c r="H34" s="363">
        <f t="shared" si="9"/>
        <v>-81353.686000000685</v>
      </c>
      <c r="I34" s="363">
        <f t="shared" si="9"/>
        <v>2199346.574000001</v>
      </c>
      <c r="J34" s="363">
        <f t="shared" si="9"/>
        <v>759393.00200000219</v>
      </c>
      <c r="K34" s="363">
        <f t="shared" si="9"/>
        <v>-515730.86199999973</v>
      </c>
      <c r="L34" s="363">
        <f t="shared" si="9"/>
        <v>796945.28200000059</v>
      </c>
      <c r="M34" s="363">
        <f t="shared" si="9"/>
        <v>338850.67200000025</v>
      </c>
      <c r="N34" s="363">
        <f t="shared" si="9"/>
        <v>99690.847999997437</v>
      </c>
      <c r="O34" s="363">
        <f t="shared" si="9"/>
        <v>397801.73000000603</v>
      </c>
      <c r="P34" s="234"/>
    </row>
    <row r="35" spans="2:16" ht="19">
      <c r="B35" s="234"/>
      <c r="C35" s="207"/>
      <c r="D35" s="346"/>
      <c r="E35" s="338"/>
      <c r="F35" s="338"/>
      <c r="G35" s="339"/>
      <c r="H35" s="338"/>
      <c r="I35" s="205"/>
      <c r="J35" s="345"/>
      <c r="K35" s="336"/>
      <c r="L35" s="349"/>
      <c r="M35" s="349"/>
      <c r="N35" s="350"/>
      <c r="O35" s="350"/>
      <c r="P35" s="234"/>
    </row>
    <row r="36" spans="2:16" ht="18">
      <c r="B36" s="234"/>
      <c r="C36" s="207" t="s">
        <v>158</v>
      </c>
      <c r="D36" s="364">
        <f>-SUMIFS('Jounal entries final'!$H:$H,'Jounal entries final'!$E:$E,$C36,'Jounal entries final'!$B:$B,D$17,'Jounal entries final'!$C:$C,$Q$17)</f>
        <v>1222608</v>
      </c>
      <c r="E36" s="364">
        <f>-SUMIFS('Jounal entries final'!$H:$H,'Jounal entries final'!$E:$E,$C36,'Jounal entries final'!$B:$B,E$17,'Jounal entries final'!$C:$C,$Q$17)</f>
        <v>1229651</v>
      </c>
      <c r="F36" s="364">
        <f>-SUMIFS('Jounal entries final'!$H:$H,'Jounal entries final'!$E:$E,$C36,'Jounal entries final'!$B:$B,F$17,'Jounal entries final'!$C:$C,$Q$17)</f>
        <v>1211408</v>
      </c>
      <c r="G36" s="364">
        <f>-SUMIFS('Jounal entries final'!$H:$H,'Jounal entries final'!$E:$E,$C36,'Jounal entries final'!$B:$B,G$17,'Jounal entries final'!$C:$C,$Q$17)</f>
        <v>1214453</v>
      </c>
      <c r="H36" s="364">
        <f>-SUMIFS('Jounal entries final'!$H:$H,'Jounal entries final'!$E:$E,$C36,'Jounal entries final'!$B:$B,H$17,'Jounal entries final'!$C:$C,$Q$17)</f>
        <v>1201645</v>
      </c>
      <c r="I36" s="364">
        <f>-SUMIFS('Jounal entries final'!$H:$H,'Jounal entries final'!$E:$E,$C36,'Jounal entries final'!$B:$B,I$17,'Jounal entries final'!$C:$C,$Q$17)</f>
        <v>1212469</v>
      </c>
      <c r="J36" s="364">
        <f>-SUMIFS('Jounal entries final'!$H:$H,'Jounal entries final'!$E:$E,$C36,'Jounal entries final'!$B:$B,J$17,'Jounal entries final'!$C:$C,$Q$17)</f>
        <v>1218014</v>
      </c>
      <c r="K36" s="364">
        <f>-SUMIFS('Jounal entries final'!$H:$H,'Jounal entries final'!$E:$E,$C36,'Jounal entries final'!$B:$B,K$17,'Jounal entries final'!$C:$C,$Q$17)</f>
        <v>1214125</v>
      </c>
      <c r="L36" s="364">
        <f>-SUMIFS('Jounal entries final'!$H:$H,'Jounal entries final'!$E:$E,$C36,'Jounal entries final'!$B:$B,L$17,'Jounal entries final'!$C:$C,$Q$17)</f>
        <v>1232767</v>
      </c>
      <c r="M36" s="364">
        <f>-SUMIFS('Jounal entries final'!$H:$H,'Jounal entries final'!$E:$E,$C36,'Jounal entries final'!$B:$B,M$17,'Jounal entries final'!$C:$C,$Q$17)</f>
        <v>1205676</v>
      </c>
      <c r="N36" s="364">
        <f>-SUMIFS('Jounal entries final'!$H:$H,'Jounal entries final'!$E:$E,$C36,'Jounal entries final'!$B:$B,N$17,'Jounal entries final'!$C:$C,$Q$17)</f>
        <v>1225635</v>
      </c>
      <c r="O36" s="364">
        <f>-SUMIFS('Jounal entries final'!$H:$H,'Jounal entries final'!$E:$E,$C36,'Jounal entries final'!$B:$B,O$17,'Jounal entries final'!$C:$C,$Q$17)</f>
        <v>1201981</v>
      </c>
      <c r="P36" s="234"/>
    </row>
    <row r="37" spans="2:16" ht="18">
      <c r="B37" s="114"/>
      <c r="C37" s="207" t="s">
        <v>159</v>
      </c>
      <c r="D37" s="364">
        <f>SUMIFS('Jounal entries final'!$H:$H,'Jounal entries final'!$E:$E,$C37,'Jounal entries final'!$B:$B,D$17,'Jounal entries final'!$C:$C,$Q$17)</f>
        <v>1223814</v>
      </c>
      <c r="E37" s="364">
        <f>SUMIFS('Jounal entries final'!$H:$H,'Jounal entries final'!$E:$E,$C37,'Jounal entries final'!$B:$B,E$17,'Jounal entries final'!$C:$C,$Q$17)</f>
        <v>1206806</v>
      </c>
      <c r="F37" s="364">
        <f>SUMIFS('Jounal entries final'!$H:$H,'Jounal entries final'!$E:$E,$C37,'Jounal entries final'!$B:$B,F$17,'Jounal entries final'!$C:$C,$Q$17)</f>
        <v>1206834</v>
      </c>
      <c r="G37" s="364">
        <f>SUMIFS('Jounal entries final'!$H:$H,'Jounal entries final'!$E:$E,$C37,'Jounal entries final'!$B:$B,G$17,'Jounal entries final'!$C:$C,$Q$17)</f>
        <v>1204994</v>
      </c>
      <c r="H37" s="364">
        <f>SUMIFS('Jounal entries final'!$H:$H,'Jounal entries final'!$E:$E,$C37,'Jounal entries final'!$B:$B,H$17,'Jounal entries final'!$C:$C,$Q$17)</f>
        <v>1229227</v>
      </c>
      <c r="I37" s="364">
        <f>SUMIFS('Jounal entries final'!$H:$H,'Jounal entries final'!$E:$E,$C37,'Jounal entries final'!$B:$B,I$17,'Jounal entries final'!$C:$C,$Q$17)</f>
        <v>1223784</v>
      </c>
      <c r="J37" s="364">
        <f>SUMIFS('Jounal entries final'!$H:$H,'Jounal entries final'!$E:$E,$C37,'Jounal entries final'!$B:$B,J$17,'Jounal entries final'!$C:$C,$Q$17)</f>
        <v>1209257</v>
      </c>
      <c r="K37" s="364">
        <f>SUMIFS('Jounal entries final'!$H:$H,'Jounal entries final'!$E:$E,$C37,'Jounal entries final'!$B:$B,K$17,'Jounal entries final'!$C:$C,$Q$17)</f>
        <v>1200455</v>
      </c>
      <c r="L37" s="364">
        <f>SUMIFS('Jounal entries final'!$H:$H,'Jounal entries final'!$E:$E,$C37,'Jounal entries final'!$B:$B,L$17,'Jounal entries final'!$C:$C,$Q$17)</f>
        <v>1223081</v>
      </c>
      <c r="M37" s="364">
        <f>SUMIFS('Jounal entries final'!$H:$H,'Jounal entries final'!$E:$E,$C37,'Jounal entries final'!$B:$B,M$17,'Jounal entries final'!$C:$C,$Q$17)</f>
        <v>1216045</v>
      </c>
      <c r="N37" s="364">
        <f>SUMIFS('Jounal entries final'!$H:$H,'Jounal entries final'!$E:$E,$C37,'Jounal entries final'!$B:$B,N$17,'Jounal entries final'!$C:$C,$Q$17)</f>
        <v>1232187</v>
      </c>
      <c r="O37" s="364">
        <f>SUMIFS('Jounal entries final'!$H:$H,'Jounal entries final'!$E:$E,$C37,'Jounal entries final'!$B:$B,O$17,'Jounal entries final'!$C:$C,$Q$17)</f>
        <v>1204389</v>
      </c>
      <c r="P37" s="234"/>
    </row>
    <row r="38" spans="2:16" ht="19">
      <c r="B38" s="114"/>
      <c r="C38" s="207"/>
      <c r="D38" s="346"/>
      <c r="E38" s="353"/>
      <c r="F38" s="353"/>
      <c r="G38" s="354"/>
      <c r="H38" s="353"/>
      <c r="I38" s="205"/>
      <c r="J38" s="345"/>
      <c r="K38" s="272"/>
      <c r="L38" s="272"/>
      <c r="M38" s="272"/>
      <c r="N38" s="272"/>
      <c r="O38" s="272"/>
      <c r="P38" s="234"/>
    </row>
    <row r="39" spans="2:16" ht="18">
      <c r="B39" s="234"/>
      <c r="C39" s="371" t="s">
        <v>183</v>
      </c>
      <c r="D39" s="363">
        <f>+D34+D36-D37</f>
        <v>617163.96999999695</v>
      </c>
      <c r="E39" s="363">
        <f>+E34+E36-E37</f>
        <v>1212950.9219999984</v>
      </c>
      <c r="F39" s="363">
        <f t="shared" ref="F39:O39" si="10">+F34+F36-F37</f>
        <v>-221024.23199999891</v>
      </c>
      <c r="G39" s="363">
        <f t="shared" si="10"/>
        <v>265211.71399999969</v>
      </c>
      <c r="H39" s="363">
        <f t="shared" si="10"/>
        <v>-108935.68600000069</v>
      </c>
      <c r="I39" s="363">
        <f t="shared" si="10"/>
        <v>2188031.574000001</v>
      </c>
      <c r="J39" s="363">
        <f t="shared" si="10"/>
        <v>768150.00200000219</v>
      </c>
      <c r="K39" s="363">
        <f t="shared" si="10"/>
        <v>-502060.86199999973</v>
      </c>
      <c r="L39" s="363">
        <f t="shared" si="10"/>
        <v>806631.28200000059</v>
      </c>
      <c r="M39" s="363">
        <f t="shared" si="10"/>
        <v>328481.67200000025</v>
      </c>
      <c r="N39" s="363">
        <f t="shared" si="10"/>
        <v>93138.847999997437</v>
      </c>
      <c r="O39" s="363">
        <f t="shared" si="10"/>
        <v>395393.73000000603</v>
      </c>
      <c r="P39" s="234"/>
    </row>
    <row r="40" spans="2:16" ht="22">
      <c r="B40" s="252"/>
      <c r="C40" s="306"/>
      <c r="D40" s="336"/>
      <c r="E40" s="336"/>
      <c r="F40" s="352"/>
      <c r="G40" s="352"/>
      <c r="H40" s="352"/>
      <c r="I40" s="205"/>
      <c r="J40" s="345"/>
      <c r="K40" s="336"/>
      <c r="L40" s="351"/>
      <c r="M40" s="352"/>
      <c r="N40" s="345"/>
      <c r="O40" s="345"/>
      <c r="P40" s="234"/>
    </row>
    <row r="41" spans="2:16" ht="34">
      <c r="B41" s="293"/>
      <c r="C41" s="289"/>
      <c r="D41" s="301"/>
      <c r="E41" s="301"/>
      <c r="F41" s="355"/>
      <c r="G41" s="302"/>
      <c r="H41" s="355"/>
      <c r="J41" s="355"/>
      <c r="K41" s="781"/>
      <c r="L41" s="782"/>
      <c r="M41" s="782"/>
      <c r="N41" s="782"/>
      <c r="O41" s="782"/>
      <c r="P41" s="293"/>
    </row>
    <row r="42" spans="2:16" ht="19">
      <c r="B42" s="293"/>
      <c r="C42" s="249"/>
      <c r="D42" s="801"/>
      <c r="E42" s="801"/>
      <c r="F42" s="355"/>
      <c r="G42" s="355"/>
      <c r="H42" s="355"/>
      <c r="J42" s="355"/>
      <c r="K42" s="782"/>
      <c r="L42" s="782"/>
      <c r="M42" s="782"/>
      <c r="N42" s="782"/>
      <c r="O42" s="782"/>
      <c r="P42" s="293"/>
    </row>
    <row r="43" spans="2:16" ht="19">
      <c r="B43" s="293"/>
      <c r="C43" s="249"/>
      <c r="D43" s="801"/>
      <c r="E43" s="801"/>
      <c r="F43" s="355"/>
      <c r="G43" s="355"/>
      <c r="H43" s="355"/>
      <c r="J43" s="355"/>
      <c r="K43" s="782"/>
      <c r="L43" s="782"/>
      <c r="M43" s="782"/>
      <c r="N43" s="782"/>
      <c r="O43" s="782"/>
      <c r="P43" s="293"/>
    </row>
    <row r="44" spans="2:16" ht="19">
      <c r="B44" s="293"/>
      <c r="C44" s="249"/>
      <c r="D44" s="799"/>
      <c r="E44" s="799"/>
      <c r="F44" s="800"/>
      <c r="G44" s="800"/>
      <c r="H44" s="355"/>
      <c r="J44" s="355"/>
      <c r="K44" s="300"/>
      <c r="L44" s="799"/>
      <c r="M44" s="799"/>
      <c r="N44" s="800"/>
      <c r="O44" s="800"/>
      <c r="P44" s="293"/>
    </row>
    <row r="45" spans="2:16" ht="19">
      <c r="B45" s="293"/>
      <c r="C45" s="246"/>
      <c r="D45" s="357"/>
      <c r="E45" s="356"/>
      <c r="F45" s="355"/>
      <c r="G45" s="355"/>
      <c r="H45" s="355"/>
      <c r="J45" s="355"/>
      <c r="K45" s="300"/>
      <c r="L45" s="357"/>
      <c r="M45" s="356"/>
      <c r="N45" s="355"/>
      <c r="O45" s="355"/>
      <c r="P45" s="293"/>
    </row>
    <row r="48" spans="2:16" ht="18" customHeight="1">
      <c r="B48" s="293"/>
      <c r="C48" s="294"/>
      <c r="D48" s="355"/>
      <c r="E48" s="355"/>
      <c r="F48" s="355"/>
      <c r="G48" s="802"/>
      <c r="H48" s="802"/>
      <c r="J48" s="355"/>
      <c r="K48" s="358"/>
      <c r="L48" s="355"/>
      <c r="M48" s="355"/>
      <c r="N48" s="355"/>
      <c r="O48" s="752"/>
      <c r="P48" s="752"/>
    </row>
    <row r="49" spans="2:16" ht="22">
      <c r="B49" s="295"/>
      <c r="C49" s="737"/>
      <c r="D49" s="737"/>
      <c r="E49" s="737"/>
      <c r="F49" s="355"/>
      <c r="G49" s="355"/>
      <c r="H49" s="355"/>
      <c r="J49" s="340"/>
      <c r="K49" s="798"/>
      <c r="L49" s="798"/>
      <c r="M49" s="798"/>
      <c r="N49" s="355"/>
      <c r="O49" s="355"/>
      <c r="P49" s="293"/>
    </row>
    <row r="50" spans="2:16" ht="34">
      <c r="B50" s="293"/>
      <c r="C50" s="290"/>
      <c r="D50" s="359"/>
      <c r="E50" s="301"/>
      <c r="F50" s="355"/>
      <c r="G50" s="302"/>
      <c r="H50" s="355"/>
      <c r="J50" s="355"/>
      <c r="K50" s="781"/>
      <c r="L50" s="782"/>
      <c r="M50" s="782"/>
      <c r="N50" s="782"/>
      <c r="O50" s="782"/>
      <c r="P50" s="293"/>
    </row>
    <row r="51" spans="2:16" ht="13.25" customHeight="1">
      <c r="B51" s="293"/>
      <c r="C51" s="288"/>
      <c r="D51" s="341"/>
      <c r="E51" s="341"/>
      <c r="F51" s="355"/>
      <c r="G51" s="302"/>
      <c r="H51" s="355"/>
      <c r="J51" s="355"/>
      <c r="K51" s="781"/>
      <c r="L51" s="782"/>
      <c r="M51" s="782"/>
      <c r="N51" s="782"/>
      <c r="O51" s="782"/>
      <c r="P51" s="293"/>
    </row>
    <row r="52" spans="2:16" ht="18">
      <c r="B52" s="293"/>
      <c r="C52" s="249"/>
      <c r="D52" s="360"/>
      <c r="E52" s="360"/>
      <c r="F52" s="300"/>
      <c r="G52" s="361"/>
      <c r="H52" s="355"/>
      <c r="J52" s="355"/>
      <c r="K52" s="782"/>
      <c r="L52" s="782"/>
      <c r="M52" s="782"/>
      <c r="N52" s="782"/>
      <c r="O52" s="782"/>
      <c r="P52" s="293"/>
    </row>
    <row r="53" spans="2:16" ht="18">
      <c r="B53" s="293"/>
      <c r="C53" s="249"/>
      <c r="D53" s="360"/>
      <c r="E53" s="360"/>
      <c r="F53" s="300"/>
      <c r="G53" s="361"/>
      <c r="H53" s="355"/>
      <c r="J53" s="355"/>
      <c r="K53" s="782"/>
      <c r="L53" s="782"/>
      <c r="M53" s="782"/>
      <c r="N53" s="782"/>
      <c r="O53" s="782"/>
      <c r="P53" s="293"/>
    </row>
    <row r="54" spans="2:16" ht="19">
      <c r="B54" s="293"/>
      <c r="C54" s="249"/>
      <c r="D54" s="360"/>
      <c r="E54" s="360"/>
      <c r="F54" s="300"/>
      <c r="G54" s="361"/>
      <c r="H54" s="355"/>
      <c r="J54" s="355"/>
      <c r="K54" s="300"/>
      <c r="L54" s="799"/>
      <c r="M54" s="799"/>
      <c r="N54" s="800"/>
      <c r="O54" s="800"/>
      <c r="P54" s="293"/>
    </row>
    <row r="55" spans="2:16" ht="19">
      <c r="B55" s="293"/>
      <c r="C55" s="246"/>
      <c r="D55" s="357"/>
      <c r="E55" s="356"/>
      <c r="F55" s="355"/>
      <c r="G55" s="355"/>
      <c r="H55" s="355"/>
      <c r="J55" s="355"/>
      <c r="K55" s="300"/>
      <c r="L55" s="357"/>
      <c r="M55" s="356"/>
      <c r="N55" s="355"/>
      <c r="O55" s="355"/>
      <c r="P55" s="293"/>
    </row>
  </sheetData>
  <mergeCells count="15">
    <mergeCell ref="L54:M54"/>
    <mergeCell ref="N54:O54"/>
    <mergeCell ref="G48:H48"/>
    <mergeCell ref="O48:P48"/>
    <mergeCell ref="C49:E49"/>
    <mergeCell ref="K49:M49"/>
    <mergeCell ref="K50:O53"/>
    <mergeCell ref="O21:P21"/>
    <mergeCell ref="K41:O43"/>
    <mergeCell ref="D42:E42"/>
    <mergeCell ref="D43:E43"/>
    <mergeCell ref="D44:E44"/>
    <mergeCell ref="F44:G44"/>
    <mergeCell ref="L44:M44"/>
    <mergeCell ref="N44:O44"/>
  </mergeCells>
  <conditionalFormatting sqref="F41:G41">
    <cfRule type="iconSet" priority="5">
      <iconSet iconSet="3Arrows">
        <cfvo type="percent" val="0"/>
        <cfvo type="num" val="0"/>
        <cfvo type="num" val="9.9999999999999995E-8" gte="0"/>
      </iconSet>
    </cfRule>
  </conditionalFormatting>
  <conditionalFormatting sqref="F44:G44">
    <cfRule type="iconSet" priority="4">
      <iconSet iconSet="3Arrows">
        <cfvo type="percent" val="0"/>
        <cfvo type="num" val="0"/>
        <cfvo type="num" val="1E-25" gte="0"/>
      </iconSet>
    </cfRule>
  </conditionalFormatting>
  <conditionalFormatting sqref="F50:G51">
    <cfRule type="iconSet" priority="9">
      <iconSet iconSet="3Arrows">
        <cfvo type="percent" val="0"/>
        <cfvo type="num" val="0"/>
        <cfvo type="num" val="9.9999999999999995E-8" gte="0"/>
      </iconSet>
    </cfRule>
  </conditionalFormatting>
  <conditionalFormatting sqref="G54">
    <cfRule type="iconSet" priority="6">
      <iconSet iconSet="3Flags">
        <cfvo type="percent" val="0"/>
        <cfvo type="num" val="0"/>
        <cfvo type="num" val="1.0000000000000001E-17" gte="0"/>
      </iconSet>
    </cfRule>
  </conditionalFormatting>
  <conditionalFormatting sqref="N35:O35">
    <cfRule type="iconSet" priority="10">
      <iconSet iconSet="3Arrows">
        <cfvo type="percent" val="0"/>
        <cfvo type="num" val="0"/>
        <cfvo type="num" val="1E-25" gte="0"/>
      </iconSet>
    </cfRule>
  </conditionalFormatting>
  <conditionalFormatting sqref="N44:O44">
    <cfRule type="iconSet" priority="3">
      <iconSet iconSet="3Arrows">
        <cfvo type="percent" val="0"/>
        <cfvo type="num" val="0"/>
        <cfvo type="num" val="1E-25" gte="0"/>
      </iconSet>
    </cfRule>
  </conditionalFormatting>
  <conditionalFormatting sqref="N54:O54">
    <cfRule type="iconSet" priority="8">
      <iconSet iconSet="3Arrows">
        <cfvo type="percent" val="0"/>
        <cfvo type="num" val="0"/>
        <cfvo type="num" val="1E-25" gte="0"/>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7" id="{F2960734-8AAF-486A-971C-A4812F3E859C}">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G52:G53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AF05-3B68-477B-8013-84E8D4919E86}">
  <sheetPr codeName="Sheet20">
    <tabColor theme="4" tint="0.79998168889431442"/>
  </sheetPr>
  <dimension ref="A1:Q55"/>
  <sheetViews>
    <sheetView showGridLines="0" zoomScale="60" zoomScaleNormal="80" workbookViewId="0">
      <selection activeCell="R115" sqref="R56:R115"/>
    </sheetView>
  </sheetViews>
  <sheetFormatPr baseColWidth="10" defaultColWidth="8.83203125" defaultRowHeight="15"/>
  <cols>
    <col min="1" max="1" width="2.83203125" style="236" customWidth="1"/>
    <col min="2" max="2" width="2.1640625" style="236" customWidth="1"/>
    <col min="3" max="3" width="44.83203125" style="243" bestFit="1" customWidth="1"/>
    <col min="4" max="4" width="20.1640625" style="236" bestFit="1" customWidth="1"/>
    <col min="5" max="5" width="16.1640625" style="236" bestFit="1" customWidth="1"/>
    <col min="6" max="6" width="7.33203125" style="236" customWidth="1"/>
    <col min="7" max="7" width="11.83203125" style="236" customWidth="1"/>
    <col min="8" max="8" width="1.5" style="236" customWidth="1"/>
    <col min="9" max="9" width="8.83203125" style="236"/>
    <col min="10" max="10" width="2.1640625" style="236" customWidth="1"/>
    <col min="11" max="11" width="44.83203125" style="236" bestFit="1" customWidth="1"/>
    <col min="12" max="12" width="19.1640625" style="236" customWidth="1"/>
    <col min="13" max="13" width="16.1640625" style="236" bestFit="1" customWidth="1"/>
    <col min="14" max="14" width="7.33203125" style="236" customWidth="1"/>
    <col min="15" max="15" width="7.83203125" style="236" bestFit="1" customWidth="1"/>
    <col min="16" max="16" width="1.5" style="236" customWidth="1"/>
    <col min="17" max="17" width="8.83203125" style="236"/>
    <col min="18" max="16384" width="8.83203125" style="114"/>
  </cols>
  <sheetData>
    <row r="1" spans="1:17">
      <c r="A1" s="118"/>
      <c r="B1" s="114"/>
      <c r="C1" s="114"/>
      <c r="D1" s="114"/>
      <c r="E1" s="114"/>
      <c r="F1" s="114"/>
      <c r="G1" s="114"/>
      <c r="H1" s="114"/>
      <c r="I1" s="114"/>
      <c r="J1" s="114"/>
      <c r="K1" s="114"/>
      <c r="L1" s="114"/>
      <c r="M1" s="114"/>
      <c r="N1" s="114"/>
      <c r="O1" s="114"/>
      <c r="P1" s="114"/>
      <c r="Q1" s="114"/>
    </row>
    <row r="2" spans="1:17">
      <c r="A2" s="118"/>
      <c r="B2" s="114"/>
      <c r="C2" s="114"/>
      <c r="D2" s="114"/>
      <c r="E2" s="114"/>
      <c r="F2" s="114"/>
      <c r="G2" s="114"/>
      <c r="H2" s="114"/>
      <c r="I2" s="114"/>
      <c r="J2" s="114"/>
      <c r="K2" s="114"/>
      <c r="L2" s="114"/>
      <c r="M2" s="114"/>
      <c r="N2" s="114"/>
      <c r="O2" s="114"/>
      <c r="P2" s="114"/>
      <c r="Q2" s="114"/>
    </row>
    <row r="3" spans="1:17">
      <c r="A3" s="118"/>
      <c r="B3" s="114"/>
      <c r="C3" s="114"/>
      <c r="D3" s="114"/>
      <c r="E3" s="114"/>
      <c r="F3" s="114"/>
      <c r="G3" s="114"/>
      <c r="H3" s="114"/>
      <c r="I3" s="114"/>
      <c r="J3" s="114"/>
      <c r="K3" s="114"/>
      <c r="L3" s="114"/>
      <c r="M3" s="114"/>
      <c r="N3" s="114"/>
      <c r="O3" s="114"/>
      <c r="P3" s="114"/>
      <c r="Q3" s="114"/>
    </row>
    <row r="4" spans="1:17">
      <c r="A4" s="118"/>
      <c r="B4" s="114"/>
      <c r="C4" s="114"/>
      <c r="D4" s="114"/>
      <c r="E4" s="114"/>
      <c r="F4" s="114"/>
      <c r="G4" s="114"/>
      <c r="H4" s="114"/>
      <c r="I4" s="114"/>
      <c r="J4" s="114"/>
      <c r="K4" s="114"/>
      <c r="L4" s="114"/>
      <c r="M4" s="114"/>
      <c r="N4" s="114"/>
      <c r="O4" s="114"/>
      <c r="P4" s="114"/>
      <c r="Q4" s="114"/>
    </row>
    <row r="5" spans="1:17">
      <c r="A5" s="118"/>
      <c r="B5" s="114"/>
      <c r="C5" s="114"/>
      <c r="D5" s="114"/>
      <c r="E5" s="114"/>
      <c r="F5" s="114"/>
      <c r="G5" s="114"/>
      <c r="H5" s="114"/>
      <c r="I5" s="114"/>
      <c r="J5" s="114"/>
      <c r="K5" s="114"/>
      <c r="L5" s="114"/>
      <c r="M5" s="114"/>
      <c r="N5" s="114"/>
      <c r="O5" s="114"/>
      <c r="P5" s="114"/>
      <c r="Q5" s="114"/>
    </row>
    <row r="6" spans="1:17">
      <c r="A6" s="118"/>
      <c r="B6" s="114"/>
      <c r="C6" s="114"/>
      <c r="D6" s="114"/>
      <c r="E6" s="114"/>
      <c r="F6" s="114"/>
      <c r="G6" s="114"/>
      <c r="H6" s="114"/>
      <c r="I6" s="114"/>
      <c r="J6" s="114"/>
      <c r="K6" s="114"/>
      <c r="L6" s="114"/>
      <c r="M6" s="114"/>
      <c r="N6" s="114"/>
      <c r="O6" s="114"/>
      <c r="P6" s="114"/>
      <c r="Q6" s="114"/>
    </row>
    <row r="7" spans="1:17">
      <c r="A7" s="118"/>
      <c r="B7" s="114"/>
      <c r="C7" s="114"/>
      <c r="D7" s="114"/>
      <c r="E7" s="114"/>
      <c r="F7" s="114"/>
      <c r="G7" s="114"/>
      <c r="H7" s="114"/>
      <c r="I7" s="114"/>
      <c r="J7" s="114"/>
      <c r="K7" s="114"/>
      <c r="L7" s="114"/>
      <c r="M7" s="114"/>
      <c r="N7" s="114"/>
      <c r="O7" s="114"/>
      <c r="P7" s="114"/>
      <c r="Q7" s="114"/>
    </row>
    <row r="8" spans="1:17">
      <c r="A8" s="118"/>
      <c r="B8" s="114"/>
      <c r="C8" s="114"/>
      <c r="D8" s="114"/>
      <c r="E8" s="114"/>
      <c r="F8" s="114"/>
      <c r="G8" s="114"/>
      <c r="H8" s="114"/>
      <c r="I8" s="114"/>
      <c r="J8" s="114"/>
      <c r="K8" s="114"/>
      <c r="L8" s="114"/>
      <c r="M8" s="114"/>
      <c r="N8" s="114"/>
      <c r="O8" s="114"/>
      <c r="P8" s="114"/>
      <c r="Q8" s="114"/>
    </row>
    <row r="9" spans="1:17">
      <c r="A9" s="118"/>
      <c r="B9" s="114"/>
      <c r="C9" s="114"/>
      <c r="D9" s="114"/>
      <c r="E9" s="114"/>
      <c r="F9" s="114"/>
      <c r="G9" s="114"/>
      <c r="H9" s="114"/>
      <c r="I9" s="114"/>
      <c r="J9" s="114"/>
      <c r="K9" s="114"/>
      <c r="L9" s="114"/>
      <c r="M9" s="114"/>
      <c r="N9" s="114"/>
      <c r="O9" s="114"/>
      <c r="P9" s="114"/>
      <c r="Q9" s="114"/>
    </row>
    <row r="10" spans="1:17">
      <c r="A10" s="118"/>
      <c r="B10" s="114"/>
      <c r="C10" s="114"/>
      <c r="D10" s="114"/>
      <c r="E10" s="114"/>
      <c r="F10" s="114"/>
      <c r="G10" s="114"/>
      <c r="H10" s="114"/>
      <c r="I10" s="114"/>
      <c r="J10" s="114"/>
      <c r="K10" s="114"/>
      <c r="L10" s="114"/>
      <c r="M10" s="114"/>
      <c r="N10" s="114"/>
      <c r="O10" s="114"/>
      <c r="P10" s="114"/>
      <c r="Q10" s="114"/>
    </row>
    <row r="11" spans="1:17">
      <c r="A11" s="118"/>
      <c r="B11" s="114"/>
      <c r="C11" s="114"/>
      <c r="D11" s="114"/>
      <c r="E11" s="114"/>
      <c r="F11" s="114"/>
      <c r="G11" s="114"/>
      <c r="H11" s="114"/>
      <c r="I11" s="114"/>
      <c r="J11" s="114"/>
      <c r="K11" s="114"/>
      <c r="L11" s="114"/>
      <c r="M11" s="114"/>
      <c r="N11" s="114"/>
      <c r="O11" s="114"/>
      <c r="P11" s="114"/>
      <c r="Q11" s="114"/>
    </row>
    <row r="12" spans="1:17">
      <c r="A12" s="118"/>
      <c r="B12" s="114"/>
      <c r="C12" s="114"/>
      <c r="D12" s="114"/>
      <c r="E12" s="114"/>
      <c r="F12" s="114"/>
      <c r="G12" s="114"/>
      <c r="H12" s="114"/>
      <c r="I12" s="114"/>
      <c r="J12" s="114"/>
      <c r="K12" s="114"/>
      <c r="L12" s="114"/>
      <c r="M12" s="114"/>
      <c r="N12" s="114"/>
      <c r="O12" s="114"/>
      <c r="P12" s="114"/>
      <c r="Q12" s="114"/>
    </row>
    <row r="13" spans="1:17">
      <c r="A13" s="118"/>
      <c r="B13" s="114"/>
      <c r="C13" s="114"/>
      <c r="D13" s="114"/>
      <c r="E13" s="114"/>
      <c r="F13" s="114"/>
      <c r="G13" s="114"/>
      <c r="H13" s="114"/>
      <c r="I13" s="114"/>
      <c r="J13" s="114"/>
      <c r="K13" s="114"/>
      <c r="L13" s="114"/>
      <c r="M13" s="114"/>
      <c r="N13" s="114"/>
      <c r="O13" s="114"/>
      <c r="P13" s="114"/>
      <c r="Q13" s="114"/>
    </row>
    <row r="14" spans="1:17">
      <c r="A14" s="118"/>
      <c r="B14" s="114"/>
      <c r="C14" s="114"/>
      <c r="D14" s="114"/>
      <c r="E14" s="114"/>
      <c r="F14" s="114"/>
      <c r="G14" s="114"/>
      <c r="H14" s="114"/>
      <c r="I14" s="114"/>
      <c r="J14" s="114"/>
      <c r="K14" s="114"/>
      <c r="L14" s="114"/>
      <c r="M14" s="114"/>
      <c r="N14" s="114"/>
      <c r="O14" s="114"/>
      <c r="P14" s="114"/>
      <c r="Q14" s="114"/>
    </row>
    <row r="15" spans="1:17" ht="19">
      <c r="A15" s="118"/>
      <c r="B15" s="147"/>
      <c r="C15" s="147"/>
      <c r="D15" s="147"/>
      <c r="E15" s="114"/>
      <c r="F15" s="114"/>
      <c r="G15" s="114"/>
      <c r="H15" s="114"/>
      <c r="I15" s="114"/>
      <c r="J15" s="280"/>
      <c r="K15" s="280"/>
      <c r="L15" s="280"/>
      <c r="M15" s="280"/>
      <c r="N15" s="114"/>
      <c r="O15" s="114"/>
      <c r="P15" s="114"/>
      <c r="Q15" s="114"/>
    </row>
    <row r="16" spans="1:17" ht="16" thickBot="1">
      <c r="A16" s="114"/>
      <c r="B16" s="114"/>
      <c r="C16" s="114"/>
      <c r="D16" s="114"/>
      <c r="E16" s="114"/>
      <c r="F16" s="114"/>
      <c r="G16" s="114"/>
      <c r="H16" s="114"/>
      <c r="I16" s="114"/>
      <c r="J16" s="130"/>
      <c r="K16" s="114"/>
      <c r="L16" s="114"/>
      <c r="M16" s="114"/>
      <c r="N16" s="114"/>
      <c r="O16" s="114"/>
      <c r="P16" s="114"/>
      <c r="Q16" s="114"/>
    </row>
    <row r="17" spans="1:17" s="287" customFormat="1" ht="26.5" customHeight="1" thickBot="1">
      <c r="C17" s="281" t="s">
        <v>174</v>
      </c>
      <c r="D17" s="282" t="s">
        <v>27</v>
      </c>
      <c r="E17" s="284">
        <f>VLOOKUP('Monthly CashFlow'!D17,Reference!$A$2:$B$13,2,0)</f>
        <v>11</v>
      </c>
      <c r="F17" s="283">
        <v>2022</v>
      </c>
    </row>
    <row r="18" spans="1:17">
      <c r="A18" s="114"/>
      <c r="B18" s="114"/>
      <c r="C18" s="118"/>
      <c r="D18" s="114"/>
      <c r="E18" s="114"/>
      <c r="F18" s="114"/>
      <c r="G18" s="114"/>
      <c r="H18" s="114"/>
      <c r="I18" s="114"/>
      <c r="J18" s="114"/>
      <c r="K18" s="114"/>
      <c r="L18" s="114"/>
      <c r="M18" s="114"/>
      <c r="N18" s="114"/>
      <c r="O18" s="114"/>
      <c r="P18" s="114"/>
      <c r="Q18" s="114"/>
    </row>
    <row r="21" spans="1:17">
      <c r="B21" s="234"/>
      <c r="C21" s="251"/>
      <c r="D21" s="234"/>
      <c r="E21" s="234"/>
      <c r="F21" s="234"/>
      <c r="G21" s="731" t="s">
        <v>250</v>
      </c>
      <c r="H21" s="731"/>
      <c r="J21" s="234"/>
      <c r="K21" s="251"/>
      <c r="L21" s="234"/>
      <c r="M21" s="234"/>
      <c r="N21" s="234"/>
      <c r="O21" s="731" t="s">
        <v>250</v>
      </c>
      <c r="P21" s="731"/>
    </row>
    <row r="22" spans="1:17" s="204" customFormat="1" ht="25">
      <c r="A22" s="244"/>
      <c r="B22" s="252"/>
      <c r="C22" s="797" t="s">
        <v>203</v>
      </c>
      <c r="D22" s="797"/>
      <c r="E22" s="797"/>
      <c r="F22" s="234"/>
      <c r="G22" s="234"/>
      <c r="H22" s="234"/>
      <c r="I22" s="244"/>
      <c r="J22" s="252"/>
      <c r="K22" s="766" t="s">
        <v>251</v>
      </c>
      <c r="L22" s="766"/>
      <c r="M22" s="766"/>
      <c r="N22" s="234"/>
      <c r="O22" s="234"/>
      <c r="P22" s="234"/>
      <c r="Q22" s="244"/>
    </row>
    <row r="23" spans="1:17" ht="33.5" customHeight="1">
      <c r="B23" s="234"/>
      <c r="C23" s="114"/>
      <c r="D23" s="303" t="s">
        <v>254</v>
      </c>
      <c r="E23" s="303" t="s">
        <v>255</v>
      </c>
      <c r="F23" s="259"/>
      <c r="G23" s="303" t="s">
        <v>260</v>
      </c>
      <c r="H23" s="259"/>
      <c r="J23" s="234"/>
      <c r="K23" s="803" t="s">
        <v>1002</v>
      </c>
      <c r="L23" s="803"/>
      <c r="M23" s="803"/>
      <c r="N23" s="803"/>
      <c r="O23" s="803"/>
      <c r="P23" s="234"/>
    </row>
    <row r="24" spans="1:17" ht="19">
      <c r="B24" s="450"/>
      <c r="C24" s="661" t="s">
        <v>182</v>
      </c>
      <c r="D24" s="318">
        <f>HLOOKUP($D$17,'LTM Cashflow Stat.'!$D$23:$O$44,2,0)</f>
        <v>-239159.82400000282</v>
      </c>
      <c r="E24" s="318">
        <f>HLOOKUP($E$17-1,'LTM Cashflow Stat.'!$D$17:$P$44,8,0)</f>
        <v>-458094.61000000034</v>
      </c>
      <c r="F24" s="318"/>
      <c r="G24" s="322">
        <f>(D24-E24)/E24</f>
        <v>-0.47792482430648409</v>
      </c>
      <c r="H24" s="450"/>
      <c r="J24" s="114"/>
      <c r="K24" s="803"/>
      <c r="L24" s="803"/>
      <c r="M24" s="803"/>
      <c r="N24" s="803"/>
      <c r="O24" s="803"/>
      <c r="P24" s="114"/>
    </row>
    <row r="25" spans="1:17" ht="19">
      <c r="B25" s="451"/>
      <c r="C25" s="662" t="s">
        <v>302</v>
      </c>
      <c r="D25" s="318">
        <f>HLOOKUP($D$17,'LTM Cashflow Stat.'!$D$23:$O$44,3,0)</f>
        <v>-8263506</v>
      </c>
      <c r="E25" s="318">
        <f>HLOOKUP($E$17-1,'LTM Cashflow Stat.'!$D$17:$P$44,9,0)</f>
        <v>5860555</v>
      </c>
      <c r="F25" s="663"/>
      <c r="G25" s="322">
        <f>(D25-E25)/E25</f>
        <v>-2.410021064557879</v>
      </c>
      <c r="H25" s="451"/>
      <c r="J25" s="114"/>
      <c r="K25" s="803"/>
      <c r="L25" s="803"/>
      <c r="M25" s="803"/>
      <c r="N25" s="803"/>
      <c r="O25" s="803"/>
      <c r="P25" s="114"/>
    </row>
    <row r="26" spans="1:17" ht="19">
      <c r="B26" s="451"/>
      <c r="C26" s="662" t="s">
        <v>301</v>
      </c>
      <c r="D26" s="318">
        <f>HLOOKUP($D$17,'LTM Cashflow Stat.'!$D$23:$O$44,4,0)</f>
        <v>718838.80000000075</v>
      </c>
      <c r="E26" s="318">
        <f>HLOOKUP($E$17-1,'LTM Cashflow Stat.'!$D$17:$P$44,10,0)</f>
        <v>171295.6400000006</v>
      </c>
      <c r="F26" s="663"/>
      <c r="G26" s="322">
        <f>(D26-E26)/E26</f>
        <v>3.1964804241368796</v>
      </c>
      <c r="H26" s="451"/>
      <c r="J26" s="114"/>
      <c r="K26" s="803"/>
      <c r="L26" s="803"/>
      <c r="M26" s="803"/>
      <c r="N26" s="803"/>
      <c r="O26" s="803"/>
      <c r="P26" s="114"/>
    </row>
    <row r="27" spans="1:17" ht="19">
      <c r="B27" s="451"/>
      <c r="C27" s="662" t="s">
        <v>303</v>
      </c>
      <c r="D27" s="318">
        <f>HLOOKUP($D$17,'LTM Cashflow Stat.'!$D$23:$O$44,5,0)</f>
        <v>-618695</v>
      </c>
      <c r="E27" s="318">
        <f>HLOOKUP($E$17-1,'LTM Cashflow Stat.'!$D$17:$P$44,11,0)</f>
        <v>5926315</v>
      </c>
      <c r="F27" s="663"/>
      <c r="G27" s="322">
        <f>(D27-E27)/E27</f>
        <v>-1.1043979268736137</v>
      </c>
      <c r="H27" s="451"/>
      <c r="J27" s="114"/>
      <c r="K27" s="803"/>
      <c r="L27" s="803"/>
      <c r="M27" s="803"/>
      <c r="N27" s="803"/>
      <c r="O27" s="803"/>
      <c r="P27" s="114"/>
    </row>
    <row r="28" spans="1:17" ht="19">
      <c r="B28" s="450"/>
      <c r="C28" s="661"/>
      <c r="D28" s="318"/>
      <c r="E28" s="318"/>
      <c r="F28" s="318"/>
      <c r="G28" s="450"/>
      <c r="H28" s="450"/>
      <c r="J28" s="114"/>
      <c r="K28" s="803"/>
      <c r="L28" s="803"/>
      <c r="M28" s="803"/>
      <c r="N28" s="803"/>
      <c r="O28" s="803"/>
      <c r="P28" s="114"/>
    </row>
    <row r="29" spans="1:17" ht="18">
      <c r="B29" s="452"/>
      <c r="C29" s="452" t="s">
        <v>211</v>
      </c>
      <c r="D29" s="319">
        <f>+SUM(D24:D27)</f>
        <v>-8402522.0240000021</v>
      </c>
      <c r="E29" s="319">
        <f>+SUM(E24:E27)</f>
        <v>11500071.030000001</v>
      </c>
      <c r="F29" s="319"/>
      <c r="G29" s="458">
        <f>(D29-E29)/E29</f>
        <v>-1.7306495761704876</v>
      </c>
      <c r="H29" s="452"/>
      <c r="J29" s="114"/>
      <c r="K29" s="803"/>
      <c r="L29" s="803"/>
      <c r="M29" s="803"/>
      <c r="N29" s="803"/>
      <c r="O29" s="803"/>
      <c r="P29" s="114"/>
    </row>
    <row r="30" spans="1:17" ht="18">
      <c r="B30" s="453"/>
      <c r="C30" s="453"/>
      <c r="D30" s="317"/>
      <c r="E30" s="317"/>
      <c r="F30" s="317"/>
      <c r="G30" s="453"/>
      <c r="H30" s="453"/>
      <c r="J30" s="234"/>
      <c r="K30" s="803"/>
      <c r="L30" s="803"/>
      <c r="M30" s="803"/>
      <c r="N30" s="803"/>
      <c r="O30" s="803"/>
      <c r="P30" s="231"/>
    </row>
    <row r="31" spans="1:17" ht="22">
      <c r="B31" s="455"/>
      <c r="C31" s="664"/>
      <c r="D31" s="665"/>
      <c r="E31" s="665"/>
      <c r="F31" s="665"/>
      <c r="G31" s="455"/>
      <c r="H31" s="455"/>
      <c r="J31" s="252"/>
      <c r="K31" s="803"/>
      <c r="L31" s="803"/>
      <c r="M31" s="803"/>
      <c r="N31" s="803"/>
      <c r="O31" s="803"/>
      <c r="P31" s="234"/>
    </row>
    <row r="32" spans="1:17" ht="19">
      <c r="B32" s="455"/>
      <c r="C32" s="664" t="s">
        <v>305</v>
      </c>
      <c r="D32" s="318">
        <f>HLOOKUP($D$17,'LTM Cashflow Stat.'!$D$23:$O$44,10,0)</f>
        <v>19959</v>
      </c>
      <c r="E32" s="318">
        <f>HLOOKUP($E$17-1,'LTM Cashflow Stat.'!$D$17:$P$44,16,0)</f>
        <v>-27091</v>
      </c>
      <c r="F32" s="665"/>
      <c r="G32" s="322">
        <f>(D32-E32)/E32</f>
        <v>-1.736739138459267</v>
      </c>
      <c r="H32" s="455"/>
      <c r="J32" s="234"/>
      <c r="K32" s="803"/>
      <c r="L32" s="803"/>
      <c r="M32" s="803"/>
      <c r="N32" s="803"/>
      <c r="O32" s="803"/>
      <c r="P32" s="234"/>
    </row>
    <row r="33" spans="2:16" ht="19">
      <c r="B33" s="455"/>
      <c r="C33" s="664" t="s">
        <v>304</v>
      </c>
      <c r="D33" s="318">
        <f>HLOOKUP($D$17,'LTM Cashflow Stat.'!$D$23:$O$44,11,0)</f>
        <v>16142</v>
      </c>
      <c r="E33" s="318">
        <f>HLOOKUP($E$17-1,'LTM Cashflow Stat.'!$D$17:$P$44,17,0)</f>
        <v>-7036</v>
      </c>
      <c r="F33" s="665"/>
      <c r="G33" s="322">
        <f>(D33-E33)/E33</f>
        <v>-3.2942012507106311</v>
      </c>
      <c r="H33" s="455"/>
      <c r="J33" s="234"/>
      <c r="K33" s="803"/>
      <c r="L33" s="803"/>
      <c r="M33" s="803"/>
      <c r="N33" s="803"/>
      <c r="O33" s="803"/>
      <c r="P33" s="234"/>
    </row>
    <row r="34" spans="2:16" ht="18">
      <c r="B34" s="456"/>
      <c r="C34" s="456"/>
      <c r="D34" s="440"/>
      <c r="E34" s="440"/>
      <c r="F34" s="440"/>
      <c r="G34" s="456"/>
      <c r="H34" s="456"/>
      <c r="J34" s="234"/>
      <c r="K34" s="803"/>
      <c r="L34" s="803"/>
      <c r="M34" s="803"/>
      <c r="N34" s="803"/>
      <c r="O34" s="803"/>
      <c r="P34" s="234"/>
    </row>
    <row r="35" spans="2:16" ht="18">
      <c r="B35" s="457"/>
      <c r="C35" s="457" t="s">
        <v>306</v>
      </c>
      <c r="D35" s="439">
        <f>D32-D33</f>
        <v>3817</v>
      </c>
      <c r="E35" s="439">
        <f>E32-E33</f>
        <v>-20055</v>
      </c>
      <c r="F35" s="439"/>
      <c r="G35" s="458">
        <f>(D35-E35)/E35</f>
        <v>-1.1903266018449266</v>
      </c>
      <c r="H35" s="457"/>
      <c r="J35" s="234"/>
      <c r="K35" s="803"/>
      <c r="L35" s="803"/>
      <c r="M35" s="803"/>
      <c r="N35" s="803"/>
      <c r="O35" s="803"/>
      <c r="P35" s="234"/>
    </row>
    <row r="36" spans="2:16" ht="19">
      <c r="B36" s="450"/>
      <c r="C36" s="661"/>
      <c r="D36" s="318"/>
      <c r="E36" s="318"/>
      <c r="F36" s="318"/>
      <c r="G36" s="450"/>
      <c r="H36" s="450"/>
      <c r="J36" s="234"/>
      <c r="K36" s="803"/>
      <c r="L36" s="803"/>
      <c r="M36" s="803"/>
      <c r="N36" s="803"/>
      <c r="O36" s="803"/>
      <c r="P36" s="234"/>
    </row>
    <row r="37" spans="2:16" ht="19">
      <c r="B37" s="455"/>
      <c r="C37" s="664" t="s">
        <v>312</v>
      </c>
      <c r="D37" s="318">
        <f>HLOOKUP($D$17,'LTM Cashflow Stat.'!$D$23:$O$44,15,0)</f>
        <v>0</v>
      </c>
      <c r="E37" s="318">
        <f>HLOOKUP($E$17-1,'LTM Cashflow Stat.'!$D$17:$P$44,21,0)</f>
        <v>0</v>
      </c>
      <c r="F37" s="665"/>
      <c r="G37" s="455" t="str">
        <f>IF(E37=0,"",(D37-E37)/E37)</f>
        <v/>
      </c>
      <c r="H37" s="455"/>
      <c r="J37" s="234"/>
      <c r="K37" s="803"/>
      <c r="L37" s="803"/>
      <c r="M37" s="803"/>
      <c r="N37" s="803"/>
      <c r="O37" s="803"/>
      <c r="P37" s="234"/>
    </row>
    <row r="38" spans="2:16" ht="19">
      <c r="B38" s="451"/>
      <c r="C38" s="662"/>
      <c r="D38" s="663"/>
      <c r="E38" s="663"/>
      <c r="F38" s="663"/>
      <c r="G38" s="451"/>
      <c r="H38" s="451"/>
      <c r="J38" s="234"/>
      <c r="K38" s="803"/>
      <c r="L38" s="803"/>
      <c r="M38" s="803"/>
      <c r="N38" s="803"/>
      <c r="O38" s="803"/>
      <c r="P38" s="234"/>
    </row>
    <row r="39" spans="2:16" ht="18">
      <c r="B39" s="456"/>
      <c r="C39" s="456"/>
      <c r="D39" s="440"/>
      <c r="E39" s="440"/>
      <c r="F39" s="440"/>
      <c r="G39" s="456"/>
      <c r="H39" s="456"/>
      <c r="J39" s="234"/>
      <c r="K39" s="803"/>
      <c r="L39" s="803"/>
      <c r="M39" s="803"/>
      <c r="N39" s="803"/>
      <c r="O39" s="803"/>
      <c r="P39" s="234"/>
    </row>
    <row r="40" spans="2:16" ht="18">
      <c r="B40" s="457"/>
      <c r="C40" s="457" t="s">
        <v>308</v>
      </c>
      <c r="D40" s="439">
        <f>D37</f>
        <v>0</v>
      </c>
      <c r="E40" s="439">
        <f>E37</f>
        <v>0</v>
      </c>
      <c r="F40" s="439"/>
      <c r="G40" s="439" t="str">
        <f>IF(E40=0,"",(D40-E40)/E40)</f>
        <v/>
      </c>
      <c r="H40" s="457"/>
      <c r="J40" s="234"/>
      <c r="K40" s="803"/>
      <c r="L40" s="803"/>
      <c r="M40" s="803"/>
      <c r="N40" s="803"/>
      <c r="O40" s="803"/>
      <c r="P40" s="234"/>
    </row>
    <row r="41" spans="2:16" ht="19">
      <c r="B41" s="451"/>
      <c r="C41" s="662"/>
      <c r="D41" s="663"/>
      <c r="E41" s="663"/>
      <c r="F41" s="663"/>
      <c r="G41" s="451"/>
      <c r="H41" s="451"/>
      <c r="J41" s="234"/>
      <c r="K41" s="803"/>
      <c r="L41" s="803"/>
      <c r="M41" s="803"/>
      <c r="N41" s="803"/>
      <c r="O41" s="803"/>
      <c r="P41" s="234"/>
    </row>
    <row r="42" spans="2:16" ht="18">
      <c r="B42" s="457"/>
      <c r="C42" s="457" t="s">
        <v>309</v>
      </c>
      <c r="D42" s="439">
        <f>D29+D35+D40</f>
        <v>-8398705.0240000021</v>
      </c>
      <c r="E42" s="439">
        <f>E29+E35+E40</f>
        <v>11480016.030000001</v>
      </c>
      <c r="F42" s="439"/>
      <c r="G42" s="458">
        <f>(D42-E42)/E42</f>
        <v>-1.7315934927313863</v>
      </c>
      <c r="H42" s="457"/>
      <c r="J42" s="234"/>
      <c r="K42" s="803"/>
      <c r="L42" s="803"/>
      <c r="M42" s="803"/>
      <c r="N42" s="803"/>
      <c r="O42" s="803"/>
      <c r="P42" s="234"/>
    </row>
    <row r="43" spans="2:16" ht="19">
      <c r="B43" s="457"/>
      <c r="C43" s="457" t="s">
        <v>310</v>
      </c>
      <c r="D43" s="439">
        <f>E44</f>
        <v>13359562.732000001</v>
      </c>
      <c r="E43" s="439">
        <f>+HLOOKUP($E$17-1,'LTM Cashflow Stat.'!$D$17:$P$46,27,0)</f>
        <v>1879546.7019999996</v>
      </c>
      <c r="F43" s="439"/>
      <c r="G43" s="458">
        <f>(D43-E43)/E43</f>
        <v>6.1078642088458217</v>
      </c>
      <c r="H43" s="457"/>
      <c r="J43" s="234"/>
      <c r="K43" s="254"/>
      <c r="L43" s="307"/>
      <c r="M43" s="307"/>
      <c r="N43" s="308"/>
      <c r="O43" s="308"/>
      <c r="P43" s="234"/>
    </row>
    <row r="44" spans="2:16" ht="19">
      <c r="B44" s="457"/>
      <c r="C44" s="457" t="s">
        <v>311</v>
      </c>
      <c r="D44" s="439">
        <f>D42+D43</f>
        <v>4960857.7079999987</v>
      </c>
      <c r="E44" s="439">
        <f>SUM(E42:E43)</f>
        <v>13359562.732000001</v>
      </c>
      <c r="F44" s="439"/>
      <c r="G44" s="458">
        <f>(D44-E44)/E44</f>
        <v>-0.62866616164634526</v>
      </c>
      <c r="H44" s="457"/>
      <c r="J44" s="234"/>
      <c r="K44" s="255"/>
      <c r="L44" s="256"/>
      <c r="M44" s="257"/>
      <c r="N44" s="234"/>
      <c r="O44" s="234"/>
      <c r="P44" s="234"/>
    </row>
    <row r="45" spans="2:16" ht="22">
      <c r="B45" s="454"/>
      <c r="C45" s="454"/>
      <c r="D45" s="454"/>
      <c r="E45" s="454"/>
      <c r="F45" s="454"/>
      <c r="G45" s="454"/>
      <c r="H45" s="454"/>
      <c r="J45" s="234"/>
      <c r="K45" s="310"/>
      <c r="L45" s="310"/>
      <c r="M45" s="310"/>
      <c r="N45" s="310"/>
      <c r="O45" s="310"/>
      <c r="P45" s="234"/>
    </row>
    <row r="48" spans="2:16" ht="18" customHeight="1">
      <c r="B48" s="293"/>
      <c r="C48" s="294"/>
      <c r="D48" s="293"/>
      <c r="E48" s="293"/>
      <c r="F48" s="293"/>
      <c r="G48" s="752"/>
      <c r="H48" s="752"/>
      <c r="J48" s="293"/>
      <c r="K48" s="294"/>
      <c r="L48" s="293"/>
      <c r="M48" s="293"/>
      <c r="N48" s="293"/>
      <c r="O48" s="752"/>
      <c r="P48" s="752"/>
    </row>
    <row r="49" spans="2:16" ht="22">
      <c r="B49" s="295"/>
      <c r="C49" s="737"/>
      <c r="D49" s="737"/>
      <c r="E49" s="737"/>
      <c r="F49" s="293"/>
      <c r="G49" s="293"/>
      <c r="H49" s="293"/>
      <c r="J49" s="295"/>
      <c r="K49" s="737"/>
      <c r="L49" s="737"/>
      <c r="M49" s="737"/>
      <c r="N49" s="293"/>
      <c r="O49" s="293"/>
      <c r="P49" s="293"/>
    </row>
    <row r="50" spans="2:16" ht="34">
      <c r="B50" s="293"/>
      <c r="C50" s="290"/>
      <c r="D50" s="291"/>
      <c r="E50" s="289"/>
      <c r="F50" s="293"/>
      <c r="G50" s="296"/>
      <c r="H50" s="293"/>
      <c r="J50" s="293"/>
      <c r="K50" s="781"/>
      <c r="L50" s="782"/>
      <c r="M50" s="782"/>
      <c r="N50" s="782"/>
      <c r="O50" s="782"/>
      <c r="P50" s="293"/>
    </row>
    <row r="51" spans="2:16" ht="13.25" customHeight="1">
      <c r="B51" s="293"/>
      <c r="C51" s="288"/>
      <c r="D51" s="292"/>
      <c r="E51" s="292"/>
      <c r="F51" s="293"/>
      <c r="G51" s="296"/>
      <c r="H51" s="293"/>
      <c r="J51" s="293"/>
      <c r="K51" s="781"/>
      <c r="L51" s="782"/>
      <c r="M51" s="782"/>
      <c r="N51" s="782"/>
      <c r="O51" s="782"/>
      <c r="P51" s="293"/>
    </row>
    <row r="52" spans="2:16" ht="18">
      <c r="B52" s="293"/>
      <c r="C52" s="249"/>
      <c r="D52" s="297"/>
      <c r="E52" s="297"/>
      <c r="F52" s="249"/>
      <c r="G52" s="298"/>
      <c r="H52" s="293"/>
      <c r="J52" s="293"/>
      <c r="K52" s="782"/>
      <c r="L52" s="782"/>
      <c r="M52" s="782"/>
      <c r="N52" s="782"/>
      <c r="O52" s="782"/>
      <c r="P52" s="293"/>
    </row>
    <row r="53" spans="2:16" ht="18">
      <c r="B53" s="293"/>
      <c r="C53" s="249"/>
      <c r="D53" s="297"/>
      <c r="E53" s="297"/>
      <c r="F53" s="249"/>
      <c r="G53" s="298"/>
      <c r="H53" s="293"/>
      <c r="J53" s="293"/>
      <c r="K53" s="782"/>
      <c r="L53" s="782"/>
      <c r="M53" s="782"/>
      <c r="N53" s="782"/>
      <c r="O53" s="782"/>
      <c r="P53" s="293"/>
    </row>
    <row r="54" spans="2:16" ht="19">
      <c r="B54" s="293"/>
      <c r="C54" s="249"/>
      <c r="D54" s="297"/>
      <c r="E54" s="297"/>
      <c r="F54" s="249"/>
      <c r="G54" s="298"/>
      <c r="H54" s="293"/>
      <c r="J54" s="293"/>
      <c r="K54" s="249"/>
      <c r="L54" s="749"/>
      <c r="M54" s="749"/>
      <c r="N54" s="750"/>
      <c r="O54" s="750"/>
      <c r="P54" s="293"/>
    </row>
    <row r="55" spans="2:16" ht="19">
      <c r="B55" s="293"/>
      <c r="C55" s="246"/>
      <c r="D55" s="247"/>
      <c r="E55" s="248"/>
      <c r="F55" s="293"/>
      <c r="G55" s="293"/>
      <c r="H55" s="293"/>
      <c r="J55" s="293"/>
      <c r="K55" s="246"/>
      <c r="L55" s="247"/>
      <c r="M55" s="248"/>
      <c r="N55" s="293"/>
      <c r="O55" s="293"/>
      <c r="P55" s="293"/>
    </row>
  </sheetData>
  <mergeCells count="12">
    <mergeCell ref="G48:H48"/>
    <mergeCell ref="O48:P48"/>
    <mergeCell ref="G21:H21"/>
    <mergeCell ref="O21:P21"/>
    <mergeCell ref="C22:E22"/>
    <mergeCell ref="K22:M22"/>
    <mergeCell ref="K23:O42"/>
    <mergeCell ref="C49:E49"/>
    <mergeCell ref="K49:M49"/>
    <mergeCell ref="K50:O53"/>
    <mergeCell ref="L54:M54"/>
    <mergeCell ref="N54:O54"/>
  </mergeCells>
  <conditionalFormatting sqref="F50:G51">
    <cfRule type="iconSet" priority="12">
      <iconSet iconSet="3Arrows">
        <cfvo type="percent" val="0"/>
        <cfvo type="num" val="0"/>
        <cfvo type="num" val="9.9999999999999995E-8" gte="0"/>
      </iconSet>
    </cfRule>
  </conditionalFormatting>
  <conditionalFormatting sqref="G24:G27">
    <cfRule type="iconSet" priority="2">
      <iconSet>
        <cfvo type="percent" val="0"/>
        <cfvo type="num" val="0"/>
        <cfvo type="num" val="1.0000000000000001E-18" gte="0"/>
      </iconSet>
    </cfRule>
  </conditionalFormatting>
  <conditionalFormatting sqref="G32:G33">
    <cfRule type="iconSet" priority="3">
      <iconSet>
        <cfvo type="percent" val="0"/>
        <cfvo type="num" val="0"/>
        <cfvo type="num" val="1.0000000000000001E-18" gte="0"/>
      </iconSet>
    </cfRule>
  </conditionalFormatting>
  <conditionalFormatting sqref="G54">
    <cfRule type="iconSet" priority="9">
      <iconSet iconSet="3Flags">
        <cfvo type="percent" val="0"/>
        <cfvo type="num" val="0"/>
        <cfvo type="num" val="1.0000000000000001E-17" gte="0"/>
      </iconSet>
    </cfRule>
  </conditionalFormatting>
  <conditionalFormatting sqref="N43:O43">
    <cfRule type="iconSet" priority="1">
      <iconSet iconSet="3Arrows">
        <cfvo type="percent" val="0"/>
        <cfvo type="num" val="0"/>
        <cfvo type="num" val="1E-25" gte="0"/>
      </iconSet>
    </cfRule>
  </conditionalFormatting>
  <conditionalFormatting sqref="N54:O54">
    <cfRule type="iconSet" priority="11">
      <iconSet iconSet="3Arrows">
        <cfvo type="percent" val="0"/>
        <cfvo type="num" val="0"/>
        <cfvo type="num" val="1E-25" gte="0"/>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0" id="{CA7C0F10-F453-4AC3-BFD4-A3254E7216D4}">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G52:G53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1D03E-F035-4F9E-A4C4-A38DEBF59165}">
  <sheetPr codeName="Sheet32">
    <tabColor theme="4" tint="0.79998168889431442"/>
  </sheetPr>
  <dimension ref="A1:U55"/>
  <sheetViews>
    <sheetView showGridLines="0" zoomScale="80" zoomScaleNormal="80" workbookViewId="0"/>
  </sheetViews>
  <sheetFormatPr baseColWidth="10" defaultColWidth="8.83203125" defaultRowHeight="15"/>
  <cols>
    <col min="1" max="1" width="2.83203125" style="236" customWidth="1"/>
    <col min="2" max="2" width="2.1640625" style="236" customWidth="1"/>
    <col min="3" max="3" width="44.83203125" style="243" bestFit="1" customWidth="1"/>
    <col min="4" max="4" width="20.1640625" style="236" bestFit="1" customWidth="1"/>
    <col min="5" max="5" width="16.1640625" style="236" bestFit="1" customWidth="1"/>
    <col min="6" max="6" width="7.83203125" style="236" bestFit="1" customWidth="1"/>
    <col min="7" max="7" width="11.1640625" style="236" bestFit="1" customWidth="1"/>
    <col min="8" max="8" width="1.5" style="236" customWidth="1"/>
    <col min="9" max="9" width="8.83203125" style="236"/>
    <col min="10" max="10" width="2.1640625" style="236" customWidth="1"/>
    <col min="11" max="11" width="44.83203125" style="236" bestFit="1" customWidth="1"/>
    <col min="12" max="12" width="19.1640625" style="400" customWidth="1"/>
    <col min="13" max="13" width="16.1640625" style="236" bestFit="1" customWidth="1"/>
    <col min="14" max="14" width="7.33203125" style="236" customWidth="1"/>
    <col min="15" max="15" width="9.1640625" style="236" bestFit="1" customWidth="1"/>
    <col min="16" max="16" width="1.5" style="236" customWidth="1"/>
    <col min="17" max="17" width="8.83203125" style="236"/>
    <col min="18" max="18" width="8.83203125" style="114"/>
    <col min="19" max="19" width="13.5" style="114" bestFit="1" customWidth="1"/>
    <col min="20" max="16384" width="8.83203125" style="114"/>
  </cols>
  <sheetData>
    <row r="1" spans="3:12" s="114" customFormat="1">
      <c r="C1" s="118"/>
      <c r="L1" s="401"/>
    </row>
    <row r="2" spans="3:12" s="114" customFormat="1">
      <c r="C2" s="118"/>
      <c r="L2" s="401"/>
    </row>
    <row r="3" spans="3:12" s="114" customFormat="1">
      <c r="C3" s="118"/>
      <c r="L3" s="401"/>
    </row>
    <row r="4" spans="3:12" s="114" customFormat="1">
      <c r="C4" s="118"/>
      <c r="L4" s="401"/>
    </row>
    <row r="5" spans="3:12" s="114" customFormat="1">
      <c r="C5" s="118"/>
      <c r="L5" s="401"/>
    </row>
    <row r="6" spans="3:12" s="114" customFormat="1">
      <c r="C6" s="118"/>
      <c r="L6" s="401"/>
    </row>
    <row r="7" spans="3:12" s="114" customFormat="1">
      <c r="C7" s="118"/>
      <c r="L7" s="401"/>
    </row>
    <row r="8" spans="3:12" s="114" customFormat="1">
      <c r="C8" s="118"/>
      <c r="L8" s="401"/>
    </row>
    <row r="9" spans="3:12" s="114" customFormat="1">
      <c r="C9" s="118"/>
      <c r="L9" s="401"/>
    </row>
    <row r="10" spans="3:12" s="114" customFormat="1">
      <c r="C10" s="118"/>
      <c r="L10" s="401"/>
    </row>
    <row r="11" spans="3:12" s="114" customFormat="1">
      <c r="C11" s="118"/>
      <c r="L11" s="401"/>
    </row>
    <row r="12" spans="3:12" s="114" customFormat="1">
      <c r="C12" s="118"/>
      <c r="L12" s="401"/>
    </row>
    <row r="13" spans="3:12" s="114" customFormat="1">
      <c r="C13" s="118"/>
      <c r="L13" s="401"/>
    </row>
    <row r="14" spans="3:12" s="114" customFormat="1">
      <c r="C14" s="118"/>
      <c r="L14" s="401"/>
    </row>
    <row r="15" spans="3:12" s="114" customFormat="1" ht="16" thickBot="1">
      <c r="J15" s="130"/>
      <c r="L15" s="401"/>
    </row>
    <row r="16" spans="3:12" s="287" customFormat="1" ht="26.5" customHeight="1" thickBot="1">
      <c r="C16" s="281" t="s">
        <v>174</v>
      </c>
      <c r="D16" s="282" t="str">
        <f>'P&amp;L Page'!D16</f>
        <v>October</v>
      </c>
      <c r="E16" s="284">
        <f>VLOOKUP('Balance Sheet'!D16,Reference!$A$2:$B$13,2,0)</f>
        <v>10</v>
      </c>
      <c r="F16" s="283">
        <v>2022</v>
      </c>
      <c r="L16" s="205"/>
    </row>
    <row r="17" spans="1:21">
      <c r="A17" s="114"/>
      <c r="B17" s="114"/>
      <c r="C17" s="118"/>
      <c r="D17" s="114"/>
      <c r="E17" s="114"/>
      <c r="F17" s="114"/>
      <c r="G17" s="114"/>
      <c r="H17" s="114"/>
      <c r="I17" s="114"/>
      <c r="J17" s="114"/>
      <c r="K17" s="114"/>
      <c r="L17" s="401"/>
      <c r="M17" s="114"/>
      <c r="N17" s="114"/>
      <c r="O17" s="114"/>
      <c r="P17" s="114"/>
      <c r="Q17" s="114"/>
    </row>
    <row r="20" spans="1:21">
      <c r="B20" s="234"/>
      <c r="C20" s="251"/>
      <c r="D20" s="234"/>
      <c r="E20" s="234"/>
      <c r="F20" s="234"/>
      <c r="G20" s="731" t="s">
        <v>250</v>
      </c>
      <c r="H20" s="731"/>
      <c r="J20" s="234"/>
      <c r="K20" s="251"/>
      <c r="L20" s="413"/>
      <c r="M20" s="234"/>
      <c r="N20" s="234"/>
      <c r="O20" s="731" t="s">
        <v>250</v>
      </c>
      <c r="P20" s="731"/>
    </row>
    <row r="21" spans="1:21" s="204" customFormat="1" ht="25">
      <c r="A21" s="244"/>
      <c r="B21" s="252"/>
      <c r="C21" s="797" t="s">
        <v>201</v>
      </c>
      <c r="D21" s="797"/>
      <c r="E21" s="797"/>
      <c r="F21" s="234"/>
      <c r="G21" s="234"/>
      <c r="H21" s="234"/>
      <c r="I21" s="244"/>
      <c r="J21" s="252"/>
      <c r="K21" s="766" t="s">
        <v>251</v>
      </c>
      <c r="L21" s="766"/>
      <c r="M21" s="766"/>
      <c r="N21" s="234"/>
      <c r="O21" s="234"/>
      <c r="P21" s="234"/>
      <c r="Q21" s="244"/>
    </row>
    <row r="22" spans="1:21" ht="33.5" customHeight="1">
      <c r="B22" s="234"/>
      <c r="C22" s="114"/>
      <c r="D22" s="303" t="s">
        <v>254</v>
      </c>
      <c r="E22" s="303" t="s">
        <v>255</v>
      </c>
      <c r="F22" s="259"/>
      <c r="G22" s="303" t="s">
        <v>260</v>
      </c>
      <c r="H22" s="259"/>
      <c r="J22" s="234"/>
      <c r="K22" s="114"/>
      <c r="L22" s="303"/>
      <c r="M22" s="303"/>
      <c r="N22" s="259"/>
      <c r="O22" s="303"/>
      <c r="P22" s="234"/>
    </row>
    <row r="23" spans="1:21" ht="18">
      <c r="B23" s="234"/>
      <c r="C23" s="114" t="s">
        <v>150</v>
      </c>
      <c r="D23" s="317">
        <f>SUMIFS('Jounal entries final'!$H:$H,'Jounal entries final'!$E:$E,'Balance Sheet'!C23,'Jounal entries final'!$B:$B,'Balance Sheet'!$E$16,'Jounal entries final'!$C:$C,'Balance Sheet'!$F$16)</f>
        <v>58977900.255999997</v>
      </c>
      <c r="E23" s="317">
        <f>SUMIFS('Jounal entries final'!$H:$H,'Jounal entries final'!$E:$E,'Balance Sheet'!C23,'Jounal entries final'!$B:$B,'Balance Sheet'!$E$16-1,'Jounal entries final'!$C:$C,'Balance Sheet'!$F$16)</f>
        <v>45618337.523999996</v>
      </c>
      <c r="F23" s="304"/>
      <c r="G23" s="322">
        <f>(D23-E23)/E23</f>
        <v>0.29285509856582298</v>
      </c>
      <c r="H23" s="304"/>
      <c r="J23" s="114"/>
      <c r="K23" s="114"/>
      <c r="L23" s="317"/>
      <c r="M23" s="317"/>
      <c r="N23" s="304"/>
      <c r="O23" s="449"/>
      <c r="P23" s="114"/>
      <c r="T23" s="316"/>
    </row>
    <row r="24" spans="1:21" ht="18">
      <c r="B24" s="234"/>
      <c r="C24" s="114" t="s">
        <v>67</v>
      </c>
      <c r="D24" s="317">
        <f>SUMIFS('Jounal entries final'!$H:$H,'Jounal entries final'!$E:$E,'Balance Sheet'!C24,'Jounal entries final'!$B:$B,'Balance Sheet'!$E$16,'Jounal entries final'!$C:$C,'Balance Sheet'!$F$16)</f>
        <v>6384810.0999999987</v>
      </c>
      <c r="E24" s="317">
        <f>SUMIFS('Jounal entries final'!$H:$H,'Jounal entries final'!$E:$E,'Balance Sheet'!C24,'Jounal entries final'!$B:$B,'Balance Sheet'!$E$16-1,'Jounal entries final'!$C:$C,'Balance Sheet'!$F$16)</f>
        <v>5851985.1599999992</v>
      </c>
      <c r="F24" s="304"/>
      <c r="G24" s="322">
        <f t="shared" ref="G24:G28" si="0">(D24-E24)/E24</f>
        <v>9.1050288992872222E-2</v>
      </c>
      <c r="H24" s="304"/>
      <c r="J24" s="114"/>
      <c r="K24" s="114"/>
      <c r="L24" s="317"/>
      <c r="M24" s="317"/>
      <c r="N24" s="304"/>
      <c r="O24" s="449"/>
      <c r="P24" s="114"/>
    </row>
    <row r="25" spans="1:21" ht="18">
      <c r="B25" s="234"/>
      <c r="C25" s="114" t="s">
        <v>97</v>
      </c>
      <c r="D25" s="317">
        <f>SUMIFS('Jounal entries final'!$H:$H,'Jounal entries final'!$E:$E,'Balance Sheet'!C25,'Jounal entries final'!$B:$B,'Balance Sheet'!$E$16,'Jounal entries final'!$C:$C,'Balance Sheet'!$F$16)</f>
        <v>25850551</v>
      </c>
      <c r="E25" s="317">
        <f>SUMIFS('Jounal entries final'!$H:$H,'Jounal entries final'!$E:$E,'Balance Sheet'!C25,'Jounal entries final'!$B:$B,'Balance Sheet'!$E$16-1,'Jounal entries final'!$C:$C,'Balance Sheet'!$F$16)</f>
        <v>31815762</v>
      </c>
      <c r="F25" s="304"/>
      <c r="G25" s="322">
        <f t="shared" si="0"/>
        <v>-0.18749231905871058</v>
      </c>
      <c r="H25" s="304"/>
      <c r="J25" s="114"/>
      <c r="K25" s="114"/>
      <c r="L25" s="317"/>
      <c r="M25" s="317"/>
      <c r="N25" s="304"/>
      <c r="O25" s="449"/>
      <c r="P25" s="114"/>
    </row>
    <row r="26" spans="1:21" ht="18">
      <c r="B26" s="234"/>
      <c r="C26" s="114" t="s">
        <v>189</v>
      </c>
      <c r="D26" s="317">
        <f>SUMIFS('Jounal entries final'!$H:$H,'Jounal entries final'!$E:$E,'Balance Sheet'!C26,'Jounal entries final'!$B:$B,'Balance Sheet'!$E$16,'Jounal entries final'!$C:$C,'Balance Sheet'!$F$16)</f>
        <v>45000000</v>
      </c>
      <c r="E26" s="317">
        <f>SUMIFS('Jounal entries final'!$H:$H,'Jounal entries final'!$E:$E,'Balance Sheet'!C26,'Jounal entries final'!$B:$B,'Balance Sheet'!$E$16-1,'Jounal entries final'!$C:$C,'Balance Sheet'!$F$16)</f>
        <v>45000000</v>
      </c>
      <c r="F26" s="253"/>
      <c r="G26" s="322">
        <f t="shared" si="0"/>
        <v>0</v>
      </c>
      <c r="H26" s="304"/>
      <c r="J26" s="114"/>
      <c r="K26" s="114"/>
      <c r="L26" s="317"/>
      <c r="M26" s="317"/>
      <c r="N26" s="253"/>
      <c r="O26" s="449"/>
      <c r="P26" s="114"/>
      <c r="T26" s="316"/>
      <c r="U26" s="316"/>
    </row>
    <row r="27" spans="1:21" ht="18">
      <c r="B27" s="114"/>
      <c r="C27" s="114" t="s">
        <v>190</v>
      </c>
      <c r="D27" s="317">
        <f>SUMIFS('Jounal entries final'!$H:$H,'Jounal entries final'!$E:$E,'Balance Sheet'!C27,'Jounal entries final'!$B:$B,'Balance Sheet'!$E$16,'Jounal entries final'!$C:$C,'Balance Sheet'!$F$16)</f>
        <v>9045000</v>
      </c>
      <c r="E27" s="317">
        <f>SUMIFS('Jounal entries final'!$H:$H,'Jounal entries final'!$E:$E,'Balance Sheet'!C27,'Jounal entries final'!$B:$B,'Balance Sheet'!$E$16-1,'Jounal entries final'!$C:$C,'Balance Sheet'!$F$16)</f>
        <v>9045000</v>
      </c>
      <c r="F27" s="304"/>
      <c r="G27" s="322">
        <f t="shared" si="0"/>
        <v>0</v>
      </c>
      <c r="H27" s="304"/>
      <c r="J27" s="114"/>
      <c r="K27" s="114"/>
      <c r="L27" s="317"/>
      <c r="M27" s="317"/>
      <c r="N27" s="304"/>
      <c r="O27" s="449"/>
      <c r="P27" s="114"/>
      <c r="T27" s="316"/>
    </row>
    <row r="28" spans="1:21" ht="18">
      <c r="B28" s="114"/>
      <c r="C28" s="319" t="s">
        <v>194</v>
      </c>
      <c r="D28" s="319">
        <f>SUM(D23:D27)</f>
        <v>145258261.35600001</v>
      </c>
      <c r="E28" s="319">
        <f>SUM(E23:E27)</f>
        <v>137331084.68399999</v>
      </c>
      <c r="F28" s="319"/>
      <c r="G28" s="322">
        <f t="shared" si="0"/>
        <v>5.7723105371522573E-2</v>
      </c>
      <c r="H28" s="304"/>
      <c r="J28" s="114"/>
      <c r="K28" s="440"/>
      <c r="L28" s="440"/>
      <c r="M28" s="440"/>
      <c r="N28" s="440"/>
      <c r="O28" s="449"/>
      <c r="P28" s="114"/>
      <c r="T28" s="316"/>
    </row>
    <row r="29" spans="1:21" ht="18">
      <c r="B29" s="234"/>
      <c r="C29" s="118"/>
      <c r="D29" s="317"/>
      <c r="E29" s="317"/>
      <c r="F29" s="304"/>
      <c r="G29" s="322"/>
      <c r="H29" s="304"/>
      <c r="J29" s="234"/>
      <c r="K29" s="118"/>
      <c r="L29" s="317"/>
      <c r="M29" s="317"/>
      <c r="N29" s="304"/>
      <c r="O29" s="449"/>
      <c r="P29" s="231"/>
    </row>
    <row r="30" spans="1:21" ht="22">
      <c r="B30" s="252"/>
      <c r="C30" s="114"/>
      <c r="D30" s="317"/>
      <c r="E30" s="317"/>
      <c r="F30" s="304"/>
      <c r="G30" s="322"/>
      <c r="H30" s="304"/>
      <c r="J30" s="252"/>
      <c r="K30" s="114"/>
      <c r="L30" s="317"/>
      <c r="M30" s="317"/>
      <c r="N30" s="304"/>
      <c r="O30" s="449"/>
      <c r="P30" s="234"/>
    </row>
    <row r="31" spans="1:21" ht="18">
      <c r="B31" s="234"/>
      <c r="C31" s="114" t="s">
        <v>68</v>
      </c>
      <c r="D31" s="317">
        <f>-SUMIFS('Jounal entries final'!$H:$H,'Jounal entries final'!$E:$E,'Balance Sheet'!C31,'Jounal entries final'!$B:$B,'Balance Sheet'!$E$16,'Jounal entries final'!$C:$C,'Balance Sheet'!$F$16)</f>
        <v>30787275</v>
      </c>
      <c r="E31" s="317">
        <f>-SUMIFS('Jounal entries final'!$H:$H,'Jounal entries final'!$E:$E,'Balance Sheet'!C31,'Jounal entries final'!$B:$B,'Balance Sheet'!$E$16-1,'Jounal entries final'!$C:$C,'Balance Sheet'!$F$16)</f>
        <v>23717265</v>
      </c>
      <c r="F31" s="304"/>
      <c r="G31" s="322">
        <f>(D31-E31)/E31</f>
        <v>0.29809550131518114</v>
      </c>
      <c r="H31" s="304"/>
      <c r="J31" s="234"/>
      <c r="K31" s="114"/>
      <c r="L31" s="317"/>
      <c r="M31" s="317"/>
      <c r="N31" s="304"/>
      <c r="O31" s="449"/>
      <c r="P31" s="234"/>
      <c r="T31" s="316"/>
    </row>
    <row r="32" spans="1:21" ht="18">
      <c r="B32" s="234"/>
      <c r="C32" s="114" t="s">
        <v>192</v>
      </c>
      <c r="D32" s="317">
        <f>-SUMIFS('Jounal entries final'!$H:$H,'Jounal entries final'!$E:$E,'Balance Sheet'!C32,'Jounal entries final'!$B:$B,'Balance Sheet'!$E$16,'Jounal entries final'!$C:$C,'Balance Sheet'!$F$16)</f>
        <v>10500000</v>
      </c>
      <c r="E32" s="317">
        <f>-SUMIFS('Jounal entries final'!$H:$H,'Jounal entries final'!$E:$E,'Balance Sheet'!C32,'Jounal entries final'!$B:$B,'Balance Sheet'!$E$16-1,'Jounal entries final'!$C:$C,'Balance Sheet'!$F$16)</f>
        <v>10500000</v>
      </c>
      <c r="F32" s="304"/>
      <c r="G32" s="322">
        <f t="shared" ref="G32:G33" si="1">(D32-E32)/E32</f>
        <v>0</v>
      </c>
      <c r="H32" s="304"/>
      <c r="J32" s="234"/>
      <c r="K32" s="114"/>
      <c r="L32" s="317"/>
      <c r="M32" s="317"/>
      <c r="N32" s="304"/>
      <c r="O32" s="449"/>
      <c r="P32" s="234"/>
      <c r="T32" s="316"/>
    </row>
    <row r="33" spans="2:20" ht="18">
      <c r="B33" s="234"/>
      <c r="C33" s="130" t="s">
        <v>184</v>
      </c>
      <c r="D33" s="319">
        <f>SUM(D31:D32)</f>
        <v>41287275</v>
      </c>
      <c r="E33" s="319">
        <f>SUM(E31:E32)</f>
        <v>34217265</v>
      </c>
      <c r="F33" s="254"/>
      <c r="G33" s="322">
        <f t="shared" si="1"/>
        <v>0.20662113117456932</v>
      </c>
      <c r="H33" s="304"/>
      <c r="J33" s="234"/>
      <c r="K33" s="130"/>
      <c r="L33" s="440"/>
      <c r="M33" s="440"/>
      <c r="N33" s="253"/>
      <c r="O33" s="449"/>
      <c r="P33" s="234"/>
    </row>
    <row r="34" spans="2:20" ht="18">
      <c r="B34" s="234"/>
      <c r="C34" s="118"/>
      <c r="D34" s="317"/>
      <c r="E34" s="304"/>
      <c r="F34" s="304"/>
      <c r="G34" s="323"/>
      <c r="H34" s="304"/>
      <c r="J34" s="234"/>
      <c r="K34" s="118"/>
      <c r="L34" s="317"/>
      <c r="M34" s="304"/>
      <c r="N34" s="304"/>
      <c r="O34" s="323"/>
      <c r="P34" s="234"/>
      <c r="T34" s="316"/>
    </row>
    <row r="35" spans="2:20" ht="18">
      <c r="B35" s="234"/>
      <c r="C35" s="114" t="s">
        <v>156</v>
      </c>
      <c r="D35" s="317">
        <f>-SUMIFS('Jounal entries final'!$H:$H,'Jounal entries final'!$E:$E,'Balance Sheet'!C35,'Jounal entries final'!$B:$B,'Balance Sheet'!$E$16,'Jounal entries final'!$C:$C,'Balance Sheet'!$F$16)</f>
        <v>50000000</v>
      </c>
      <c r="E35" s="317">
        <f>-SUMIFS('Jounal entries final'!$H:$H,'Jounal entries final'!$E:$E,'Balance Sheet'!C35,'Jounal entries final'!$B:$B,'Balance Sheet'!$E$16-1,'Jounal entries final'!$C:$C,'Balance Sheet'!$F$16)</f>
        <v>50000000</v>
      </c>
      <c r="F35" s="304"/>
      <c r="G35" s="322">
        <f>(D35-E35)/E35</f>
        <v>0</v>
      </c>
      <c r="H35" s="304"/>
      <c r="J35" s="114"/>
      <c r="K35" s="114"/>
      <c r="L35" s="317"/>
      <c r="M35" s="317"/>
      <c r="N35" s="304"/>
      <c r="O35" s="449"/>
      <c r="P35" s="114"/>
    </row>
    <row r="36" spans="2:20" ht="19">
      <c r="B36" s="114"/>
      <c r="C36" s="114" t="s">
        <v>185</v>
      </c>
      <c r="D36" s="317">
        <f>SUMIFS('Jounal entries final'!$H:$H,'Jounal entries final'!$E:$E,'Balance Sheet'!C36,'Jounal entries final'!$B:$B,'Balance Sheet'!$E$16,'Jounal entries final'!$C:$C,'Balance Sheet'!$F$16)</f>
        <v>0</v>
      </c>
      <c r="E36" s="317">
        <f>SUMIFS('Jounal entries final'!$H:$H,'Jounal entries final'!$E:$E,'Balance Sheet'!C36,'Jounal entries final'!$B:$B,'Balance Sheet'!$E$16-1,'Jounal entries final'!$C:$C,'Balance Sheet'!$F$16)</f>
        <v>0</v>
      </c>
      <c r="F36" s="209"/>
      <c r="G36" s="322"/>
      <c r="H36" s="209"/>
      <c r="J36" s="114"/>
      <c r="K36" s="114"/>
      <c r="L36" s="317"/>
      <c r="M36" s="317"/>
      <c r="N36" s="209"/>
      <c r="O36" s="449"/>
      <c r="P36" s="114"/>
    </row>
    <row r="37" spans="2:20" ht="19">
      <c r="B37" s="114"/>
      <c r="C37" s="114" t="s">
        <v>222</v>
      </c>
      <c r="D37" s="317">
        <f>INDEX('P&amp;L Page'!$D$38:$F$38,MATCH('Balance Sheet'!D22,'P&amp;L Page'!$D$22:$E$22,0))</f>
        <v>328481.67200000025</v>
      </c>
      <c r="E37" s="317">
        <f>INDEX('P&amp;L Page'!$D$38:$F$38,MATCH('Balance Sheet'!E22,'P&amp;L Page'!$D$22:$E$22,0))</f>
        <v>806631.28200000059</v>
      </c>
      <c r="F37" s="209"/>
      <c r="G37" s="322">
        <f>(D37-E37)/E37</f>
        <v>-0.5927734525921845</v>
      </c>
      <c r="H37" s="209"/>
      <c r="J37" s="114"/>
      <c r="K37" s="114"/>
      <c r="L37" s="317"/>
      <c r="M37" s="317"/>
      <c r="N37" s="209"/>
      <c r="O37" s="449"/>
      <c r="P37" s="114"/>
    </row>
    <row r="38" spans="2:20" ht="19">
      <c r="B38" s="234"/>
      <c r="C38" s="130" t="s">
        <v>195</v>
      </c>
      <c r="D38" s="319">
        <f>+D37+D35-D36</f>
        <v>50328481.671999998</v>
      </c>
      <c r="E38" s="319">
        <f>+E37+E35-E36</f>
        <v>50806631.281999998</v>
      </c>
      <c r="F38" s="254"/>
      <c r="G38" s="322">
        <f>(D38-E38)/E38</f>
        <v>-9.4111653918963999E-3</v>
      </c>
      <c r="H38" s="305"/>
      <c r="J38" s="114"/>
      <c r="K38" s="130"/>
      <c r="L38" s="440"/>
      <c r="M38" s="440"/>
      <c r="N38" s="253"/>
      <c r="O38" s="449"/>
      <c r="P38" s="114"/>
    </row>
    <row r="39" spans="2:20" ht="22">
      <c r="B39" s="252"/>
      <c r="C39" s="118"/>
      <c r="D39" s="306"/>
      <c r="E39" s="306"/>
      <c r="F39" s="257"/>
      <c r="G39" s="257"/>
      <c r="H39" s="257"/>
      <c r="J39" s="234"/>
      <c r="K39" s="118"/>
      <c r="L39" s="306"/>
      <c r="M39" s="306"/>
      <c r="N39" s="257"/>
      <c r="O39" s="257"/>
      <c r="P39" s="234"/>
    </row>
    <row r="40" spans="2:20">
      <c r="B40" s="234"/>
      <c r="C40" s="325" t="s">
        <v>229</v>
      </c>
      <c r="D40" s="326">
        <f>-SUMIFS('Jounal entries final'!$H:$H,'Jounal entries final'!$E:$E,'Balance Sheet'!C40,'Jounal entries final'!$B:$B,'Balance Sheet'!$E$16,'Jounal entries final'!$C:$C,'Balance Sheet'!$F$16)</f>
        <v>-29643580</v>
      </c>
      <c r="E40" s="326">
        <f>-SUMIFS('Jounal entries final'!$H:$H,'Jounal entries final'!$E:$E,'Balance Sheet'!C40,'Jounal entries final'!$B:$B,'Balance Sheet'!$E$16-1,'Jounal entries final'!$C:$C,'Balance Sheet'!$F$16)</f>
        <v>-28499885</v>
      </c>
      <c r="F40" s="118"/>
      <c r="G40" s="436">
        <f>+D40-E40</f>
        <v>-1143695</v>
      </c>
      <c r="H40" s="234"/>
      <c r="J40" s="234"/>
      <c r="K40" s="325"/>
      <c r="L40" s="326"/>
      <c r="M40" s="326"/>
      <c r="N40" s="118"/>
      <c r="O40" s="436"/>
      <c r="P40" s="234"/>
    </row>
    <row r="41" spans="2:20">
      <c r="B41" s="234"/>
      <c r="C41" s="325" t="s">
        <v>230</v>
      </c>
      <c r="D41" s="326">
        <f>-SUMIFS('Jounal entries final'!$H:$H,'Jounal entries final'!$E:$E,'Balance Sheet'!C41,'Jounal entries final'!$B:$B,'Balance Sheet'!$E$16,'Jounal entries final'!$C:$C,'Balance Sheet'!$F$16)</f>
        <v>31815762</v>
      </c>
      <c r="E41" s="326">
        <f>-SUMIFS('Jounal entries final'!$H:$H,'Jounal entries final'!$E:$E,'Balance Sheet'!C41,'Jounal entries final'!$B:$B,'Balance Sheet'!$E$16-1,'Jounal entries final'!$C:$C,'Balance Sheet'!$F$16)</f>
        <v>31920418</v>
      </c>
      <c r="F41" s="118"/>
      <c r="G41" s="436">
        <f t="shared" ref="G41:G43" si="2">+D41-E41</f>
        <v>-104656</v>
      </c>
      <c r="H41" s="234"/>
      <c r="J41" s="234"/>
      <c r="K41" s="325"/>
      <c r="L41" s="326"/>
      <c r="M41" s="326"/>
      <c r="N41" s="118"/>
      <c r="O41" s="436"/>
      <c r="P41" s="234"/>
    </row>
    <row r="42" spans="2:20">
      <c r="B42" s="234"/>
      <c r="C42" s="325" t="s">
        <v>236</v>
      </c>
      <c r="D42" s="326">
        <f>-SUMIFS('Jounal entries final'!$H:$H,'Jounal entries final'!$E:$E,'Balance Sheet'!C42,'Jounal entries final'!$B:$B,'Balance Sheet'!$E$16,'Jounal entries final'!$C:$C,'Balance Sheet'!$F$16)</f>
        <v>5851985.1599999992</v>
      </c>
      <c r="E42" s="326">
        <f>-SUMIFS('Jounal entries final'!$H:$H,'Jounal entries final'!$E:$E,'Balance Sheet'!C42,'Jounal entries final'!$B:$B,'Balance Sheet'!$E$16-1,'Jounal entries final'!$C:$C,'Balance Sheet'!$F$16)</f>
        <v>5147864.5799999991</v>
      </c>
      <c r="F42" s="118"/>
      <c r="G42" s="436">
        <f t="shared" si="2"/>
        <v>704120.58000000007</v>
      </c>
      <c r="H42" s="234"/>
      <c r="J42" s="234"/>
      <c r="K42" s="325"/>
      <c r="L42" s="326"/>
      <c r="M42" s="326"/>
      <c r="N42" s="118"/>
      <c r="O42" s="436"/>
      <c r="P42" s="234"/>
    </row>
    <row r="43" spans="2:20">
      <c r="B43" s="234"/>
      <c r="C43" s="325" t="s">
        <v>263</v>
      </c>
      <c r="D43" s="326">
        <f>-SUMIFS('Jounal entries final'!$H:$H,'Jounal entries final'!$E:$E,'Balance Sheet'!C43,'Jounal entries final'!$B:$B,'Balance Sheet'!$E$16,'Jounal entries final'!$C:$C,'Balance Sheet'!$F$16)</f>
        <v>45618337.523999996</v>
      </c>
      <c r="E43" s="326">
        <f>-SUMIFS('Jounal entries final'!$H:$H,'Jounal entries final'!$E:$E,'Balance Sheet'!C43,'Jounal entries final'!$B:$B,'Balance Sheet'!$E$16-1,'Jounal entries final'!$C:$C,'Balance Sheet'!$F$16)</f>
        <v>43738790.821999997</v>
      </c>
      <c r="F43" s="118"/>
      <c r="G43" s="436">
        <f t="shared" si="2"/>
        <v>1879546.7019999996</v>
      </c>
      <c r="H43" s="234"/>
      <c r="J43" s="234"/>
      <c r="K43" s="325"/>
      <c r="L43" s="326"/>
      <c r="M43" s="326"/>
      <c r="N43" s="118"/>
      <c r="O43" s="436"/>
      <c r="P43" s="234"/>
    </row>
    <row r="44" spans="2:20">
      <c r="B44" s="234"/>
      <c r="C44" s="327" t="s">
        <v>196</v>
      </c>
      <c r="D44" s="328">
        <f>D28-D33-D38-D40-D41-D42-D43</f>
        <v>0</v>
      </c>
      <c r="E44" s="328">
        <f>E28-E33-E38-E40-E41-E42-E43</f>
        <v>0</v>
      </c>
      <c r="F44" s="118"/>
      <c r="G44" s="118"/>
      <c r="H44" s="234"/>
      <c r="J44" s="234"/>
      <c r="K44" s="327"/>
      <c r="L44" s="328"/>
      <c r="M44" s="328"/>
      <c r="N44" s="118"/>
      <c r="O44" s="118"/>
      <c r="P44" s="234"/>
    </row>
    <row r="45" spans="2:20" ht="19">
      <c r="B45" s="293"/>
      <c r="C45" s="247"/>
      <c r="D45" s="247"/>
      <c r="E45" s="334"/>
      <c r="F45" s="333"/>
      <c r="G45" s="293"/>
      <c r="H45" s="293"/>
      <c r="J45" s="293"/>
      <c r="K45" s="246"/>
      <c r="L45" s="434"/>
      <c r="M45" s="248"/>
      <c r="N45" s="293"/>
      <c r="O45" s="293"/>
      <c r="P45" s="293"/>
    </row>
    <row r="46" spans="2:20">
      <c r="D46" s="332"/>
      <c r="E46" s="332"/>
      <c r="F46" s="332"/>
      <c r="G46" s="332"/>
    </row>
    <row r="47" spans="2:20">
      <c r="D47" s="332"/>
      <c r="E47" s="332"/>
      <c r="F47" s="332"/>
    </row>
    <row r="48" spans="2:20" ht="18" customHeight="1">
      <c r="B48" s="293"/>
      <c r="C48" s="294"/>
      <c r="D48" s="333"/>
      <c r="E48" s="333"/>
      <c r="F48" s="332"/>
      <c r="G48" s="752"/>
      <c r="H48" s="752"/>
      <c r="J48" s="293"/>
      <c r="K48" s="294"/>
      <c r="L48" s="435"/>
      <c r="M48" s="293"/>
      <c r="N48" s="293"/>
      <c r="O48" s="752"/>
      <c r="P48" s="752"/>
    </row>
    <row r="49" spans="2:16" ht="22">
      <c r="B49" s="295"/>
      <c r="C49" s="737"/>
      <c r="D49" s="737"/>
      <c r="E49" s="737"/>
      <c r="F49" s="293"/>
      <c r="G49" s="293"/>
      <c r="H49" s="293"/>
      <c r="J49" s="295"/>
      <c r="K49" s="737"/>
      <c r="L49" s="737"/>
      <c r="M49" s="737"/>
      <c r="N49" s="293"/>
      <c r="O49" s="293"/>
      <c r="P49" s="293"/>
    </row>
    <row r="50" spans="2:16" ht="34">
      <c r="B50" s="293"/>
      <c r="C50" s="290"/>
      <c r="D50" s="291"/>
      <c r="E50" s="289"/>
      <c r="F50" s="293"/>
      <c r="G50" s="296"/>
      <c r="H50" s="293"/>
      <c r="J50" s="293"/>
      <c r="K50" s="781"/>
      <c r="L50" s="782"/>
      <c r="M50" s="782"/>
      <c r="N50" s="782"/>
      <c r="O50" s="782"/>
      <c r="P50" s="293"/>
    </row>
    <row r="51" spans="2:16" ht="13.25" customHeight="1">
      <c r="B51" s="293"/>
      <c r="C51" s="288"/>
      <c r="D51" s="292"/>
      <c r="E51" s="292"/>
      <c r="F51" s="293"/>
      <c r="G51" s="296"/>
      <c r="H51" s="293"/>
      <c r="J51" s="293"/>
      <c r="K51" s="781"/>
      <c r="L51" s="782"/>
      <c r="M51" s="782"/>
      <c r="N51" s="782"/>
      <c r="O51" s="782"/>
      <c r="P51" s="293"/>
    </row>
    <row r="52" spans="2:16" ht="18">
      <c r="B52" s="293"/>
      <c r="C52" s="249"/>
      <c r="D52" s="297"/>
      <c r="E52" s="297"/>
      <c r="F52" s="249"/>
      <c r="G52" s="298"/>
      <c r="H52" s="293"/>
      <c r="J52" s="293"/>
      <c r="K52" s="782"/>
      <c r="L52" s="782"/>
      <c r="M52" s="782"/>
      <c r="N52" s="782"/>
      <c r="O52" s="782"/>
      <c r="P52" s="293"/>
    </row>
    <row r="53" spans="2:16" ht="18">
      <c r="B53" s="293"/>
      <c r="C53" s="249"/>
      <c r="D53" s="297"/>
      <c r="E53" s="297"/>
      <c r="F53" s="249"/>
      <c r="G53" s="298"/>
      <c r="H53" s="293"/>
      <c r="J53" s="293"/>
      <c r="K53" s="782"/>
      <c r="L53" s="782"/>
      <c r="M53" s="782"/>
      <c r="N53" s="782"/>
      <c r="O53" s="782"/>
      <c r="P53" s="293"/>
    </row>
    <row r="54" spans="2:16" ht="19">
      <c r="B54" s="293"/>
      <c r="C54" s="249"/>
      <c r="D54" s="297"/>
      <c r="E54" s="297"/>
      <c r="F54" s="249"/>
      <c r="G54" s="298"/>
      <c r="H54" s="293"/>
      <c r="J54" s="293"/>
      <c r="K54" s="249"/>
      <c r="L54" s="749"/>
      <c r="M54" s="749"/>
      <c r="N54" s="750"/>
      <c r="O54" s="750"/>
      <c r="P54" s="293"/>
    </row>
    <row r="55" spans="2:16" ht="19">
      <c r="B55" s="293"/>
      <c r="C55" s="246"/>
      <c r="D55" s="247"/>
      <c r="E55" s="248"/>
      <c r="F55" s="293"/>
      <c r="G55" s="293"/>
      <c r="H55" s="293"/>
      <c r="J55" s="293"/>
      <c r="K55" s="246"/>
      <c r="L55" s="434"/>
      <c r="M55" s="248"/>
      <c r="N55" s="293"/>
      <c r="O55" s="293"/>
      <c r="P55" s="293"/>
    </row>
  </sheetData>
  <mergeCells count="11">
    <mergeCell ref="C49:E49"/>
    <mergeCell ref="K49:M49"/>
    <mergeCell ref="K50:O53"/>
    <mergeCell ref="L54:M54"/>
    <mergeCell ref="N54:O54"/>
    <mergeCell ref="G48:H48"/>
    <mergeCell ref="O48:P48"/>
    <mergeCell ref="G20:H20"/>
    <mergeCell ref="O20:P20"/>
    <mergeCell ref="C21:E21"/>
    <mergeCell ref="K21:M21"/>
  </mergeCells>
  <conditionalFormatting sqref="F50:G51">
    <cfRule type="iconSet" priority="11">
      <iconSet iconSet="3Arrows">
        <cfvo type="percent" val="0"/>
        <cfvo type="num" val="0"/>
        <cfvo type="num" val="9.9999999999999995E-8" gte="0"/>
      </iconSet>
    </cfRule>
  </conditionalFormatting>
  <conditionalFormatting sqref="G32:G33 G35:G38 G23:G28">
    <cfRule type="iconSet" priority="3">
      <iconSet>
        <cfvo type="percent" val="0"/>
        <cfvo type="num" val="0"/>
        <cfvo type="num" val="1.0000000000000001E-18" gte="0"/>
      </iconSet>
    </cfRule>
  </conditionalFormatting>
  <conditionalFormatting sqref="G54">
    <cfRule type="iconSet" priority="8">
      <iconSet iconSet="3Flags">
        <cfvo type="percent" val="0"/>
        <cfvo type="num" val="0"/>
        <cfvo type="num" val="1.0000000000000001E-17" gte="0"/>
      </iconSet>
    </cfRule>
  </conditionalFormatting>
  <conditionalFormatting sqref="N54:O54">
    <cfRule type="iconSet" priority="10">
      <iconSet iconSet="3Arrows">
        <cfvo type="percent" val="0"/>
        <cfvo type="num" val="0"/>
        <cfvo type="num" val="1E-25" gte="0"/>
      </iconSet>
    </cfRule>
  </conditionalFormatting>
  <conditionalFormatting sqref="O32:O33 O35:O38 O23:O28">
    <cfRule type="iconSet" priority="1">
      <iconSet>
        <cfvo type="percent" val="0"/>
        <cfvo type="num" val="0"/>
        <cfvo type="num" val="1.0000000000000001E-18" gte="0"/>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4" id="{7BEA797F-493B-455D-9F51-FF6AF310ADDB}">
            <x14:iconSet custom="1">
              <x14:cfvo type="percent">
                <xm:f>0</xm:f>
              </x14:cfvo>
              <x14:cfvo type="num">
                <xm:f>0</xm:f>
              </x14:cfvo>
              <x14:cfvo type="num" gte="0">
                <xm:f>1.0000000000000001E-18</xm:f>
              </x14:cfvo>
              <x14:cfIcon iconSet="3TrafficLights1" iconId="2"/>
              <x14:cfIcon iconSet="3TrafficLights1" iconId="1"/>
              <x14:cfIcon iconSet="3TrafficLights1" iconId="0"/>
            </x14:iconSet>
          </x14:cfRule>
          <xm:sqref>G29:G31</xm:sqref>
        </x14:conditionalFormatting>
        <x14:conditionalFormatting xmlns:xm="http://schemas.microsoft.com/office/excel/2006/main">
          <x14:cfRule type="iconSet" priority="9" id="{6B03F9F6-BAB4-4F75-BFA9-A4D674129280}">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G52:G53</xm:sqref>
        </x14:conditionalFormatting>
        <x14:conditionalFormatting xmlns:xm="http://schemas.microsoft.com/office/excel/2006/main">
          <x14:cfRule type="iconSet" priority="2" id="{6F49A98D-D3F3-476A-9022-CC6AD1D33A8A}">
            <x14:iconSet custom="1">
              <x14:cfvo type="percent">
                <xm:f>0</xm:f>
              </x14:cfvo>
              <x14:cfvo type="num">
                <xm:f>0</xm:f>
              </x14:cfvo>
              <x14:cfvo type="num" gte="0">
                <xm:f>1.0000000000000001E-18</xm:f>
              </x14:cfvo>
              <x14:cfIcon iconSet="3TrafficLights1" iconId="2"/>
              <x14:cfIcon iconSet="3TrafficLights1" iconId="1"/>
              <x14:cfIcon iconSet="3TrafficLights1" iconId="0"/>
            </x14:iconSet>
          </x14:cfRule>
          <xm:sqref>O29:O31</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0E60B-803B-4666-8131-09CA9A527C31}">
  <sheetPr codeName="Sheet40">
    <tabColor theme="4" tint="0.79998168889431442"/>
  </sheetPr>
  <dimension ref="A1:Q54"/>
  <sheetViews>
    <sheetView showGridLines="0" zoomScale="80" zoomScaleNormal="80" workbookViewId="0">
      <selection activeCell="D23" sqref="D23"/>
    </sheetView>
  </sheetViews>
  <sheetFormatPr baseColWidth="10" defaultColWidth="8.83203125" defaultRowHeight="15"/>
  <cols>
    <col min="1" max="1" width="2.83203125" style="236" customWidth="1"/>
    <col min="2" max="2" width="2.1640625" style="236" customWidth="1"/>
    <col min="3" max="3" width="44.83203125" style="243" bestFit="1" customWidth="1"/>
    <col min="4" max="15" width="12.1640625" style="344" customWidth="1"/>
    <col min="16" max="16" width="1.5" style="236" customWidth="1"/>
    <col min="17" max="17" width="8.83203125" style="236"/>
    <col min="18" max="16384" width="8.83203125" style="114"/>
  </cols>
  <sheetData>
    <row r="1" spans="1:17">
      <c r="A1" s="114"/>
      <c r="B1" s="114"/>
      <c r="C1" s="118"/>
      <c r="D1" s="114"/>
      <c r="E1" s="114"/>
      <c r="F1" s="114"/>
      <c r="G1" s="114"/>
      <c r="H1" s="114"/>
      <c r="I1" s="114"/>
      <c r="J1" s="114"/>
      <c r="K1" s="114"/>
      <c r="L1" s="401"/>
      <c r="M1" s="114"/>
      <c r="N1" s="114"/>
      <c r="O1" s="114"/>
      <c r="P1" s="114"/>
      <c r="Q1" s="114"/>
    </row>
    <row r="2" spans="1:17">
      <c r="A2" s="114"/>
      <c r="B2" s="114"/>
      <c r="C2" s="118"/>
      <c r="D2" s="114"/>
      <c r="E2" s="114"/>
      <c r="F2" s="114"/>
      <c r="G2" s="114"/>
      <c r="H2" s="114"/>
      <c r="I2" s="114"/>
      <c r="J2" s="114"/>
      <c r="K2" s="114"/>
      <c r="L2" s="401"/>
      <c r="M2" s="114"/>
      <c r="N2" s="114"/>
      <c r="O2" s="114"/>
      <c r="P2" s="114"/>
      <c r="Q2" s="114"/>
    </row>
    <row r="3" spans="1:17">
      <c r="A3" s="114"/>
      <c r="B3" s="114"/>
      <c r="C3" s="118"/>
      <c r="D3" s="114"/>
      <c r="E3" s="114"/>
      <c r="F3" s="114"/>
      <c r="G3" s="114"/>
      <c r="H3" s="114"/>
      <c r="I3" s="114"/>
      <c r="J3" s="114"/>
      <c r="K3" s="114"/>
      <c r="L3" s="401"/>
      <c r="M3" s="114"/>
      <c r="N3" s="114"/>
      <c r="O3" s="114"/>
      <c r="P3" s="114"/>
      <c r="Q3" s="114"/>
    </row>
    <row r="4" spans="1:17">
      <c r="A4" s="114"/>
      <c r="B4" s="114"/>
      <c r="C4" s="118"/>
      <c r="D4" s="114"/>
      <c r="E4" s="114"/>
      <c r="F4" s="114"/>
      <c r="G4" s="114"/>
      <c r="H4" s="114"/>
      <c r="I4" s="114"/>
      <c r="J4" s="114"/>
      <c r="K4" s="114"/>
      <c r="L4" s="401"/>
      <c r="M4" s="114"/>
      <c r="N4" s="114"/>
      <c r="O4" s="114"/>
      <c r="P4" s="114"/>
      <c r="Q4" s="114"/>
    </row>
    <row r="5" spans="1:17">
      <c r="A5" s="114"/>
      <c r="B5" s="114"/>
      <c r="C5" s="118"/>
      <c r="D5" s="114"/>
      <c r="E5" s="114"/>
      <c r="F5" s="114"/>
      <c r="G5" s="114"/>
      <c r="H5" s="114"/>
      <c r="I5" s="114"/>
      <c r="J5" s="114"/>
      <c r="K5" s="114"/>
      <c r="L5" s="401"/>
      <c r="M5" s="114"/>
      <c r="N5" s="114"/>
      <c r="O5" s="114"/>
      <c r="P5" s="114"/>
      <c r="Q5" s="114"/>
    </row>
    <row r="6" spans="1:17">
      <c r="A6" s="114"/>
      <c r="B6" s="114"/>
      <c r="C6" s="118"/>
      <c r="D6" s="114"/>
      <c r="E6" s="114"/>
      <c r="F6" s="114"/>
      <c r="G6" s="114"/>
      <c r="H6" s="114"/>
      <c r="I6" s="114"/>
      <c r="J6" s="114"/>
      <c r="K6" s="114"/>
      <c r="L6" s="401"/>
      <c r="M6" s="114"/>
      <c r="N6" s="114"/>
      <c r="O6" s="114"/>
      <c r="P6" s="114"/>
      <c r="Q6" s="114"/>
    </row>
    <row r="7" spans="1:17">
      <c r="A7" s="114"/>
      <c r="B7" s="114"/>
      <c r="C7" s="118"/>
      <c r="D7" s="114"/>
      <c r="E7" s="114"/>
      <c r="F7" s="114"/>
      <c r="G7" s="114"/>
      <c r="H7" s="114"/>
      <c r="I7" s="114"/>
      <c r="J7" s="114"/>
      <c r="K7" s="114"/>
      <c r="L7" s="401"/>
      <c r="M7" s="114"/>
      <c r="N7" s="114"/>
      <c r="O7" s="114"/>
      <c r="P7" s="114"/>
      <c r="Q7" s="114"/>
    </row>
    <row r="8" spans="1:17">
      <c r="A8" s="114"/>
      <c r="B8" s="114"/>
      <c r="C8" s="118"/>
      <c r="D8" s="114"/>
      <c r="E8" s="114"/>
      <c r="F8" s="114"/>
      <c r="G8" s="114"/>
      <c r="H8" s="114"/>
      <c r="I8" s="114"/>
      <c r="J8" s="114"/>
      <c r="K8" s="114"/>
      <c r="L8" s="401"/>
      <c r="M8" s="114"/>
      <c r="N8" s="114"/>
      <c r="O8" s="114"/>
      <c r="P8" s="114"/>
      <c r="Q8" s="114"/>
    </row>
    <row r="9" spans="1:17">
      <c r="A9" s="114"/>
      <c r="B9" s="114"/>
      <c r="C9" s="118"/>
      <c r="D9" s="114"/>
      <c r="E9" s="114"/>
      <c r="F9" s="114"/>
      <c r="G9" s="114"/>
      <c r="H9" s="114"/>
      <c r="I9" s="114"/>
      <c r="J9" s="114"/>
      <c r="K9" s="114"/>
      <c r="L9" s="401"/>
      <c r="M9" s="114"/>
      <c r="N9" s="114"/>
      <c r="O9" s="114"/>
      <c r="P9" s="114"/>
      <c r="Q9" s="114"/>
    </row>
    <row r="10" spans="1:17">
      <c r="A10" s="114"/>
      <c r="B10" s="114"/>
      <c r="C10" s="118"/>
      <c r="D10" s="114"/>
      <c r="E10" s="114"/>
      <c r="F10" s="114"/>
      <c r="G10" s="114"/>
      <c r="H10" s="114"/>
      <c r="I10" s="114"/>
      <c r="J10" s="114"/>
      <c r="K10" s="114"/>
      <c r="L10" s="401"/>
      <c r="M10" s="114"/>
      <c r="N10" s="114"/>
      <c r="O10" s="114"/>
      <c r="P10" s="114"/>
      <c r="Q10" s="114"/>
    </row>
    <row r="11" spans="1:17">
      <c r="A11" s="114"/>
      <c r="B11" s="114"/>
      <c r="C11" s="118"/>
      <c r="D11" s="114"/>
      <c r="E11" s="114"/>
      <c r="F11" s="114"/>
      <c r="G11" s="114"/>
      <c r="H11" s="114"/>
      <c r="I11" s="114"/>
      <c r="J11" s="114"/>
      <c r="K11" s="114"/>
      <c r="L11" s="401"/>
      <c r="M11" s="114"/>
      <c r="N11" s="114"/>
      <c r="O11" s="114"/>
      <c r="P11" s="114"/>
      <c r="Q11" s="114"/>
    </row>
    <row r="12" spans="1:17">
      <c r="A12" s="114"/>
      <c r="B12" s="114"/>
      <c r="C12" s="118"/>
      <c r="D12" s="114"/>
      <c r="E12" s="114"/>
      <c r="F12" s="114"/>
      <c r="G12" s="114"/>
      <c r="H12" s="114"/>
      <c r="I12" s="114"/>
      <c r="J12" s="114"/>
      <c r="K12" s="114"/>
      <c r="L12" s="401"/>
      <c r="M12" s="114"/>
      <c r="N12" s="114"/>
      <c r="O12" s="114"/>
      <c r="P12" s="114"/>
      <c r="Q12" s="114"/>
    </row>
    <row r="13" spans="1:17">
      <c r="A13" s="114"/>
      <c r="B13" s="114"/>
      <c r="C13" s="118"/>
      <c r="D13" s="114"/>
      <c r="E13" s="114"/>
      <c r="F13" s="114"/>
      <c r="G13" s="114"/>
      <c r="H13" s="114"/>
      <c r="I13" s="114"/>
      <c r="J13" s="114"/>
      <c r="K13" s="114"/>
      <c r="L13" s="401"/>
      <c r="M13" s="114"/>
      <c r="N13" s="114"/>
      <c r="O13" s="114"/>
      <c r="P13" s="114"/>
      <c r="Q13" s="114"/>
    </row>
    <row r="14" spans="1:17">
      <c r="A14" s="114"/>
      <c r="B14" s="114"/>
      <c r="C14" s="118"/>
      <c r="D14" s="114"/>
      <c r="E14" s="114"/>
      <c r="F14" s="114"/>
      <c r="G14" s="114"/>
      <c r="H14" s="114"/>
      <c r="I14" s="114"/>
      <c r="J14" s="114"/>
      <c r="K14" s="114"/>
      <c r="L14" s="401"/>
      <c r="M14" s="114"/>
      <c r="N14" s="114"/>
      <c r="O14" s="114"/>
      <c r="P14" s="114"/>
      <c r="Q14" s="114"/>
    </row>
    <row r="15" spans="1:17" ht="16" thickBot="1">
      <c r="A15" s="114"/>
      <c r="B15" s="114"/>
      <c r="C15" s="114"/>
      <c r="D15" s="205"/>
      <c r="E15" s="205"/>
      <c r="F15" s="205"/>
      <c r="G15" s="205"/>
      <c r="H15" s="205"/>
      <c r="I15" s="205"/>
      <c r="J15" s="343"/>
      <c r="K15" s="205"/>
      <c r="L15" s="205"/>
      <c r="M15" s="205"/>
      <c r="N15" s="205"/>
      <c r="O15" s="205"/>
      <c r="P15" s="114"/>
      <c r="Q15" s="114"/>
    </row>
    <row r="16" spans="1:17" s="287" customFormat="1" ht="26.5" customHeight="1" thickBot="1">
      <c r="C16" s="281" t="s">
        <v>174</v>
      </c>
      <c r="D16" s="285">
        <v>1</v>
      </c>
      <c r="E16" s="285">
        <v>2</v>
      </c>
      <c r="F16" s="285">
        <v>3</v>
      </c>
      <c r="G16" s="285">
        <v>4</v>
      </c>
      <c r="H16" s="285">
        <v>5</v>
      </c>
      <c r="I16" s="285">
        <v>6</v>
      </c>
      <c r="J16" s="285">
        <v>7</v>
      </c>
      <c r="K16" s="285">
        <v>8</v>
      </c>
      <c r="L16" s="285">
        <v>9</v>
      </c>
      <c r="M16" s="285">
        <v>10</v>
      </c>
      <c r="N16" s="285">
        <v>11</v>
      </c>
      <c r="O16" s="285">
        <v>12</v>
      </c>
      <c r="Q16" s="285">
        <v>2022</v>
      </c>
    </row>
    <row r="17" spans="1:17">
      <c r="A17" s="114"/>
      <c r="B17" s="114"/>
      <c r="C17" s="118"/>
      <c r="D17" s="205"/>
      <c r="E17" s="205"/>
      <c r="F17" s="205"/>
      <c r="G17" s="205"/>
      <c r="H17" s="205"/>
      <c r="I17" s="205"/>
      <c r="J17" s="205"/>
      <c r="K17" s="205"/>
      <c r="L17" s="205"/>
      <c r="M17" s="205"/>
      <c r="N17" s="205"/>
      <c r="O17" s="205"/>
      <c r="P17" s="114"/>
      <c r="Q17" s="114"/>
    </row>
    <row r="20" spans="1:17">
      <c r="B20" s="234"/>
      <c r="C20" s="251"/>
      <c r="D20" s="205"/>
      <c r="E20" s="205"/>
      <c r="F20" s="205"/>
      <c r="G20" s="205"/>
      <c r="H20" s="205"/>
      <c r="I20" s="205"/>
      <c r="J20" s="205"/>
      <c r="K20" s="205"/>
      <c r="L20" s="205"/>
      <c r="M20" s="205"/>
      <c r="N20" s="205"/>
      <c r="O20" s="762"/>
      <c r="P20" s="762"/>
    </row>
    <row r="21" spans="1:17" s="204" customFormat="1" ht="25">
      <c r="A21" s="244"/>
      <c r="B21" s="252"/>
      <c r="C21" s="366" t="s">
        <v>176</v>
      </c>
      <c r="D21" s="367"/>
      <c r="E21" s="367"/>
      <c r="F21" s="367"/>
      <c r="G21" s="367"/>
      <c r="H21" s="367"/>
      <c r="I21" s="367"/>
      <c r="J21" s="367"/>
      <c r="K21" s="367"/>
      <c r="L21" s="367"/>
      <c r="M21" s="367"/>
      <c r="N21" s="367"/>
      <c r="O21" s="368"/>
      <c r="P21" s="234"/>
      <c r="Q21" s="244"/>
    </row>
    <row r="22" spans="1:17" ht="33.5" customHeight="1">
      <c r="B22" s="234"/>
      <c r="C22" s="369"/>
      <c r="D22" s="370" t="s">
        <v>17</v>
      </c>
      <c r="E22" s="370" t="s">
        <v>18</v>
      </c>
      <c r="F22" s="370" t="s">
        <v>19</v>
      </c>
      <c r="G22" s="370" t="s">
        <v>20</v>
      </c>
      <c r="H22" s="370" t="s">
        <v>21</v>
      </c>
      <c r="I22" s="370" t="s">
        <v>22</v>
      </c>
      <c r="J22" s="370" t="s">
        <v>23</v>
      </c>
      <c r="K22" s="370" t="s">
        <v>24</v>
      </c>
      <c r="L22" s="370" t="s">
        <v>25</v>
      </c>
      <c r="M22" s="370" t="s">
        <v>26</v>
      </c>
      <c r="N22" s="370" t="s">
        <v>27</v>
      </c>
      <c r="O22" s="370" t="s">
        <v>28</v>
      </c>
      <c r="P22" s="362"/>
    </row>
    <row r="23" spans="1:17" ht="18">
      <c r="B23" s="234"/>
      <c r="C23" s="207" t="s">
        <v>98</v>
      </c>
      <c r="D23" s="364">
        <v>13608342</v>
      </c>
      <c r="E23" s="364">
        <v>12960163</v>
      </c>
      <c r="F23" s="364">
        <v>10778908</v>
      </c>
      <c r="G23" s="364">
        <v>12392021</v>
      </c>
      <c r="H23" s="364">
        <v>11748244</v>
      </c>
      <c r="I23" s="364">
        <v>12460944</v>
      </c>
      <c r="J23" s="364">
        <v>13190605</v>
      </c>
      <c r="K23" s="364">
        <v>10918175</v>
      </c>
      <c r="L23" s="364">
        <v>11393511</v>
      </c>
      <c r="M23" s="364">
        <v>11224834</v>
      </c>
      <c r="N23" s="364">
        <v>11154207</v>
      </c>
      <c r="O23" s="364">
        <v>10953073</v>
      </c>
      <c r="P23" s="114"/>
    </row>
    <row r="24" spans="1:17" ht="18">
      <c r="B24" s="234"/>
      <c r="C24" s="207" t="s">
        <v>143</v>
      </c>
      <c r="D24" s="364">
        <v>10440217</v>
      </c>
      <c r="E24" s="364">
        <v>9155023</v>
      </c>
      <c r="F24" s="364">
        <v>8557658</v>
      </c>
      <c r="G24" s="364">
        <v>9447885</v>
      </c>
      <c r="H24" s="364">
        <v>9416245</v>
      </c>
      <c r="I24" s="364">
        <v>7846939</v>
      </c>
      <c r="J24" s="364">
        <v>9627658</v>
      </c>
      <c r="K24" s="364">
        <v>9053379</v>
      </c>
      <c r="L24" s="364">
        <v>8128459</v>
      </c>
      <c r="M24" s="364">
        <v>8396816</v>
      </c>
      <c r="N24" s="364">
        <v>8382547</v>
      </c>
      <c r="O24" s="364">
        <v>7613729</v>
      </c>
      <c r="P24" s="114"/>
    </row>
    <row r="25" spans="1:17" ht="19">
      <c r="B25" s="234"/>
      <c r="C25" s="207"/>
      <c r="D25" s="347"/>
      <c r="E25" s="338"/>
      <c r="F25" s="338"/>
      <c r="G25" s="339"/>
      <c r="H25" s="338"/>
      <c r="I25" s="205"/>
      <c r="J25" s="205"/>
      <c r="K25" s="205"/>
      <c r="L25" s="205"/>
      <c r="M25" s="205"/>
      <c r="N25" s="205"/>
      <c r="O25" s="205"/>
      <c r="P25" s="114"/>
    </row>
    <row r="26" spans="1:17" ht="18">
      <c r="B26" s="234"/>
      <c r="C26" s="371" t="s">
        <v>181</v>
      </c>
      <c r="D26" s="363">
        <f>+D23-D24</f>
        <v>3168125</v>
      </c>
      <c r="E26" s="363">
        <f t="shared" ref="E26:O26" si="0">+E23-E24</f>
        <v>3805140</v>
      </c>
      <c r="F26" s="363">
        <f t="shared" si="0"/>
        <v>2221250</v>
      </c>
      <c r="G26" s="363">
        <f t="shared" si="0"/>
        <v>2944136</v>
      </c>
      <c r="H26" s="363">
        <f t="shared" si="0"/>
        <v>2331999</v>
      </c>
      <c r="I26" s="363">
        <f t="shared" si="0"/>
        <v>4614005</v>
      </c>
      <c r="J26" s="363">
        <f t="shared" si="0"/>
        <v>3562947</v>
      </c>
      <c r="K26" s="363">
        <f t="shared" si="0"/>
        <v>1864796</v>
      </c>
      <c r="L26" s="363">
        <f t="shared" si="0"/>
        <v>3265052</v>
      </c>
      <c r="M26" s="363">
        <f t="shared" si="0"/>
        <v>2828018</v>
      </c>
      <c r="N26" s="363">
        <f t="shared" si="0"/>
        <v>2771660</v>
      </c>
      <c r="O26" s="363">
        <f t="shared" si="0"/>
        <v>3339344</v>
      </c>
      <c r="P26" s="114"/>
    </row>
    <row r="27" spans="1:17" ht="18">
      <c r="B27" s="114"/>
      <c r="C27" s="207"/>
      <c r="D27" s="365">
        <f>D26/D23</f>
        <v>0.23280756759346583</v>
      </c>
      <c r="E27" s="365">
        <f>E26/E23</f>
        <v>0.2936027887920854</v>
      </c>
      <c r="F27" s="365">
        <f t="shared" ref="F27:O27" si="1">F26/F23</f>
        <v>0.2060737506990504</v>
      </c>
      <c r="G27" s="365">
        <f t="shared" si="1"/>
        <v>0.23758319970568159</v>
      </c>
      <c r="H27" s="365">
        <f t="shared" si="1"/>
        <v>0.19849766484250753</v>
      </c>
      <c r="I27" s="365">
        <f t="shared" si="1"/>
        <v>0.37027732409358394</v>
      </c>
      <c r="J27" s="365">
        <f t="shared" si="1"/>
        <v>0.27011247778248232</v>
      </c>
      <c r="K27" s="365">
        <f t="shared" si="1"/>
        <v>0.17079740890762421</v>
      </c>
      <c r="L27" s="365">
        <f t="shared" si="1"/>
        <v>0.28657118951304827</v>
      </c>
      <c r="M27" s="365">
        <f t="shared" si="1"/>
        <v>0.25194296859980292</v>
      </c>
      <c r="N27" s="365">
        <f t="shared" si="1"/>
        <v>0.24848561623430512</v>
      </c>
      <c r="O27" s="365">
        <f t="shared" si="1"/>
        <v>0.3048773618143511</v>
      </c>
      <c r="P27" s="114"/>
    </row>
    <row r="28" spans="1:17" ht="18">
      <c r="B28" s="114"/>
      <c r="C28" s="118"/>
      <c r="D28" s="348"/>
      <c r="E28" s="338"/>
      <c r="F28" s="338"/>
      <c r="G28" s="339"/>
      <c r="H28" s="338"/>
      <c r="I28" s="205"/>
      <c r="J28" s="205"/>
      <c r="K28" s="205"/>
      <c r="L28" s="205"/>
      <c r="M28" s="205"/>
      <c r="N28" s="205"/>
      <c r="O28" s="205"/>
      <c r="P28" s="114"/>
    </row>
    <row r="29" spans="1:17" ht="18">
      <c r="B29" s="234"/>
      <c r="C29" s="207" t="s">
        <v>157</v>
      </c>
      <c r="D29" s="364">
        <f>SUMIFS('Jounal entries final'!$H:$H,'Jounal entries final'!$E:$E,$C29,'Jounal entries final'!$B:$B,D$16,'Jounal entries final'!$C:$C,$Q$16)</f>
        <v>991135</v>
      </c>
      <c r="E29" s="364">
        <f>SUMIFS('Jounal entries final'!$H:$H,'Jounal entries final'!$E:$E,$C29,'Jounal entries final'!$B:$B,E$16,'Jounal entries final'!$C:$C,$Q$16)</f>
        <v>938597</v>
      </c>
      <c r="F29" s="364">
        <f>SUMIFS('Jounal entries final'!$H:$H,'Jounal entries final'!$E:$E,$C29,'Jounal entries final'!$B:$B,F$16,'Jounal entries final'!$C:$C,$Q$16)</f>
        <v>1007206</v>
      </c>
      <c r="G29" s="364">
        <f>SUMIFS('Jounal entries final'!$H:$H,'Jounal entries final'!$E:$E,$C29,'Jounal entries final'!$B:$B,G$16,'Jounal entries final'!$C:$C,$Q$16)</f>
        <v>1048028</v>
      </c>
      <c r="H29" s="364">
        <f>SUMIFS('Jounal entries final'!$H:$H,'Jounal entries final'!$E:$E,$C29,'Jounal entries final'!$B:$B,H$16,'Jounal entries final'!$C:$C,$Q$16)</f>
        <v>900412</v>
      </c>
      <c r="I29" s="364">
        <f>SUMIFS('Jounal entries final'!$H:$H,'Jounal entries final'!$E:$E,$C29,'Jounal entries final'!$B:$B,I$16,'Jounal entries final'!$C:$C,$Q$16)</f>
        <v>926816</v>
      </c>
      <c r="J29" s="364">
        <f>SUMIFS('Jounal entries final'!$H:$H,'Jounal entries final'!$E:$E,$C29,'Jounal entries final'!$B:$B,J$16,'Jounal entries final'!$C:$C,$Q$16)</f>
        <v>1130206</v>
      </c>
      <c r="K29" s="364">
        <f>SUMIFS('Jounal entries final'!$H:$H,'Jounal entries final'!$E:$E,$C29,'Jounal entries final'!$B:$B,K$16,'Jounal entries final'!$C:$C,$Q$16)</f>
        <v>1034305</v>
      </c>
      <c r="L29" s="364">
        <f>SUMIFS('Jounal entries final'!$H:$H,'Jounal entries final'!$E:$E,$C29,'Jounal entries final'!$B:$B,L$16,'Jounal entries final'!$C:$C,$Q$16)</f>
        <v>926975</v>
      </c>
      <c r="M29" s="364">
        <f>SUMIFS('Jounal entries final'!$H:$H,'Jounal entries final'!$E:$E,$C29,'Jounal entries final'!$B:$B,M$16,'Jounal entries final'!$C:$C,$Q$16)</f>
        <v>1071231</v>
      </c>
      <c r="N29" s="364">
        <f>SUMIFS('Jounal entries final'!$H:$H,'Jounal entries final'!$E:$E,$C29,'Jounal entries final'!$B:$B,N$16,'Jounal entries final'!$C:$C,$Q$16)</f>
        <v>1065789</v>
      </c>
      <c r="O29" s="364">
        <f>SUMIFS('Jounal entries final'!$H:$H,'Jounal entries final'!$E:$E,$C29,'Jounal entries final'!$B:$B,O$16,'Jounal entries final'!$C:$C,$Q$16)</f>
        <v>1033220</v>
      </c>
      <c r="P29" s="364">
        <f>SUMIFS('Jounal entries final'!$H:$H,'Jounal entries final'!$E:$E,$C29,'Jounal entries final'!$B:$B,P$16,'Jounal entries final'!$C:$C,$Q$16)</f>
        <v>0</v>
      </c>
    </row>
    <row r="30" spans="1:17" ht="22">
      <c r="B30" s="252"/>
      <c r="C30" s="207" t="s">
        <v>154</v>
      </c>
      <c r="D30" s="364">
        <f>SUMIFS('Jounal entries final'!$H:$H,'Jounal entries final'!$E:$E,$C30,'Jounal entries final'!$B:$B,D$16,'Jounal entries final'!$C:$C,$Q$16)</f>
        <v>778137</v>
      </c>
      <c r="E30" s="364">
        <f>SUMIFS('Jounal entries final'!$H:$H,'Jounal entries final'!$E:$E,$C30,'Jounal entries final'!$B:$B,E$16,'Jounal entries final'!$C:$C,$Q$16)</f>
        <v>783888</v>
      </c>
      <c r="F30" s="364">
        <f>SUMIFS('Jounal entries final'!$H:$H,'Jounal entries final'!$E:$E,$C30,'Jounal entries final'!$B:$B,F$16,'Jounal entries final'!$C:$C,$Q$16)</f>
        <v>804347</v>
      </c>
      <c r="G30" s="364">
        <f>SUMIFS('Jounal entries final'!$H:$H,'Jounal entries final'!$E:$E,$C30,'Jounal entries final'!$B:$B,G$16,'Jounal entries final'!$C:$C,$Q$16)</f>
        <v>797542</v>
      </c>
      <c r="H30" s="364">
        <f>SUMIFS('Jounal entries final'!$H:$H,'Jounal entries final'!$E:$E,$C30,'Jounal entries final'!$B:$B,H$16,'Jounal entries final'!$C:$C,$Q$16)</f>
        <v>791922</v>
      </c>
      <c r="I30" s="364">
        <f>SUMIFS('Jounal entries final'!$H:$H,'Jounal entries final'!$E:$E,$C30,'Jounal entries final'!$B:$B,I$16,'Jounal entries final'!$C:$C,$Q$16)</f>
        <v>781895</v>
      </c>
      <c r="J30" s="364">
        <f>SUMIFS('Jounal entries final'!$H:$H,'Jounal entries final'!$E:$E,$C30,'Jounal entries final'!$B:$B,J$16,'Jounal entries final'!$C:$C,$Q$16)</f>
        <v>784848</v>
      </c>
      <c r="K30" s="364">
        <f>SUMIFS('Jounal entries final'!$H:$H,'Jounal entries final'!$E:$E,$C30,'Jounal entries final'!$B:$B,K$16,'Jounal entries final'!$C:$C,$Q$16)</f>
        <v>804178</v>
      </c>
      <c r="L30" s="364">
        <f>SUMIFS('Jounal entries final'!$H:$H,'Jounal entries final'!$E:$E,$C30,'Jounal entries final'!$B:$B,L$16,'Jounal entries final'!$C:$C,$Q$16)</f>
        <v>776615</v>
      </c>
      <c r="M30" s="364">
        <f>SUMIFS('Jounal entries final'!$H:$H,'Jounal entries final'!$E:$E,$C30,'Jounal entries final'!$B:$B,M$16,'Jounal entries final'!$C:$C,$Q$16)</f>
        <v>789096</v>
      </c>
      <c r="N30" s="364">
        <f>SUMIFS('Jounal entries final'!$H:$H,'Jounal entries final'!$E:$E,$C30,'Jounal entries final'!$B:$B,N$16,'Jounal entries final'!$C:$C,$Q$16)</f>
        <v>797691</v>
      </c>
      <c r="O30" s="364">
        <f>SUMIFS('Jounal entries final'!$H:$H,'Jounal entries final'!$E:$E,$C30,'Jounal entries final'!$B:$B,O$16,'Jounal entries final'!$C:$C,$Q$16)</f>
        <v>804188</v>
      </c>
      <c r="P30" s="364">
        <f>SUMIFS('Jounal entries final'!$H:$H,'Jounal entries final'!$E:$E,$C30,'Jounal entries final'!$B:$B,P$16,'Jounal entries final'!$C:$C,$Q$16)</f>
        <v>0</v>
      </c>
    </row>
    <row r="31" spans="1:17" ht="18">
      <c r="B31" s="234"/>
      <c r="C31" s="207" t="s">
        <v>155</v>
      </c>
      <c r="D31" s="364">
        <f>SUMIFS('Jounal entries final'!$H:$H,'Jounal entries final'!$E:$E,$C31,'Jounal entries final'!$B:$B,D$16,'Jounal entries final'!$C:$C,$Q$16)</f>
        <v>795212</v>
      </c>
      <c r="E31" s="364">
        <f>SUMIFS('Jounal entries final'!$H:$H,'Jounal entries final'!$E:$E,$C31,'Jounal entries final'!$B:$B,E$16,'Jounal entries final'!$C:$C,$Q$16)</f>
        <v>790258</v>
      </c>
      <c r="F31" s="364">
        <f>SUMIFS('Jounal entries final'!$H:$H,'Jounal entries final'!$E:$E,$C31,'Jounal entries final'!$B:$B,F$16,'Jounal entries final'!$C:$C,$Q$16)</f>
        <v>802157</v>
      </c>
      <c r="G31" s="364">
        <f>SUMIFS('Jounal entries final'!$H:$H,'Jounal entries final'!$E:$E,$C31,'Jounal entries final'!$B:$B,G$16,'Jounal entries final'!$C:$C,$Q$16)</f>
        <v>794483</v>
      </c>
      <c r="H31" s="364">
        <f>SUMIFS('Jounal entries final'!$H:$H,'Jounal entries final'!$E:$E,$C31,'Jounal entries final'!$B:$B,H$16,'Jounal entries final'!$C:$C,$Q$16)</f>
        <v>784197</v>
      </c>
      <c r="I31" s="364">
        <f>SUMIFS('Jounal entries final'!$H:$H,'Jounal entries final'!$E:$E,$C31,'Jounal entries final'!$B:$B,I$16,'Jounal entries final'!$C:$C,$Q$16)</f>
        <v>794583</v>
      </c>
      <c r="J31" s="364">
        <f>SUMIFS('Jounal entries final'!$H:$H,'Jounal entries final'!$E:$E,$C31,'Jounal entries final'!$B:$B,J$16,'Jounal entries final'!$C:$C,$Q$16)</f>
        <v>796511</v>
      </c>
      <c r="K31" s="364">
        <f>SUMIFS('Jounal entries final'!$H:$H,'Jounal entries final'!$E:$E,$C31,'Jounal entries final'!$B:$B,K$16,'Jounal entries final'!$C:$C,$Q$16)</f>
        <v>803857</v>
      </c>
      <c r="L31" s="364">
        <f>SUMIFS('Jounal entries final'!$H:$H,'Jounal entries final'!$E:$E,$C31,'Jounal entries final'!$B:$B,L$16,'Jounal entries final'!$C:$C,$Q$16)</f>
        <v>789374</v>
      </c>
      <c r="M31" s="364">
        <f>SUMIFS('Jounal entries final'!$H:$H,'Jounal entries final'!$E:$E,$C31,'Jounal entries final'!$B:$B,M$16,'Jounal entries final'!$C:$C,$Q$16)</f>
        <v>796762</v>
      </c>
      <c r="N31" s="364">
        <f>SUMIFS('Jounal entries final'!$H:$H,'Jounal entries final'!$E:$E,$C31,'Jounal entries final'!$B:$B,N$16,'Jounal entries final'!$C:$C,$Q$16)</f>
        <v>793038</v>
      </c>
      <c r="O31" s="364">
        <f>SUMIFS('Jounal entries final'!$H:$H,'Jounal entries final'!$E:$E,$C31,'Jounal entries final'!$B:$B,O$16,'Jounal entries final'!$C:$C,$Q$16)</f>
        <v>796575</v>
      </c>
      <c r="P31" s="364">
        <f>SUMIFS('Jounal entries final'!$H:$H,'Jounal entries final'!$E:$E,$C31,'Jounal entries final'!$B:$B,P$16,'Jounal entries final'!$C:$C,$Q$16)</f>
        <v>0</v>
      </c>
    </row>
    <row r="32" spans="1:17" ht="18">
      <c r="B32" s="234"/>
      <c r="C32" s="207"/>
      <c r="D32" s="532">
        <f>SUM(D29:D31)</f>
        <v>2564484</v>
      </c>
      <c r="E32" s="532">
        <f t="shared" ref="E32:O32" si="2">SUM(E29:E31)</f>
        <v>2512743</v>
      </c>
      <c r="F32" s="532">
        <f t="shared" si="2"/>
        <v>2613710</v>
      </c>
      <c r="G32" s="532">
        <f t="shared" si="2"/>
        <v>2640053</v>
      </c>
      <c r="H32" s="532">
        <f t="shared" si="2"/>
        <v>2476531</v>
      </c>
      <c r="I32" s="532">
        <f t="shared" si="2"/>
        <v>2503294</v>
      </c>
      <c r="J32" s="532">
        <f t="shared" si="2"/>
        <v>2711565</v>
      </c>
      <c r="K32" s="532">
        <f t="shared" si="2"/>
        <v>2642340</v>
      </c>
      <c r="L32" s="532">
        <f t="shared" si="2"/>
        <v>2492964</v>
      </c>
      <c r="M32" s="532">
        <f t="shared" si="2"/>
        <v>2657089</v>
      </c>
      <c r="N32" s="532">
        <f t="shared" si="2"/>
        <v>2656518</v>
      </c>
      <c r="O32" s="532">
        <f t="shared" si="2"/>
        <v>2633983</v>
      </c>
      <c r="P32" s="234"/>
    </row>
    <row r="33" spans="2:16" ht="18">
      <c r="B33" s="234"/>
      <c r="C33" s="371" t="s">
        <v>182</v>
      </c>
      <c r="D33" s="363">
        <f>+D26-SUM(D29:D31)</f>
        <v>603641</v>
      </c>
      <c r="E33" s="363">
        <f t="shared" ref="E33:O33" si="3">+E26-SUM(E29:E31)</f>
        <v>1292397</v>
      </c>
      <c r="F33" s="363">
        <f t="shared" si="3"/>
        <v>-392460</v>
      </c>
      <c r="G33" s="363">
        <f t="shared" si="3"/>
        <v>304083</v>
      </c>
      <c r="H33" s="363">
        <f t="shared" si="3"/>
        <v>-144532</v>
      </c>
      <c r="I33" s="363">
        <f t="shared" si="3"/>
        <v>2110711</v>
      </c>
      <c r="J33" s="363">
        <f t="shared" si="3"/>
        <v>851382</v>
      </c>
      <c r="K33" s="363">
        <f t="shared" si="3"/>
        <v>-777544</v>
      </c>
      <c r="L33" s="363">
        <f t="shared" si="3"/>
        <v>772088</v>
      </c>
      <c r="M33" s="363">
        <f t="shared" si="3"/>
        <v>170929</v>
      </c>
      <c r="N33" s="363">
        <f t="shared" si="3"/>
        <v>115142</v>
      </c>
      <c r="O33" s="363">
        <f t="shared" si="3"/>
        <v>705361</v>
      </c>
      <c r="P33" s="234"/>
    </row>
    <row r="34" spans="2:16" ht="19">
      <c r="B34" s="234"/>
      <c r="C34" s="207"/>
      <c r="D34" s="346"/>
      <c r="E34" s="338"/>
      <c r="F34" s="338"/>
      <c r="G34" s="339"/>
      <c r="H34" s="338"/>
      <c r="I34" s="205"/>
      <c r="J34" s="345"/>
      <c r="K34" s="336"/>
      <c r="L34" s="349"/>
      <c r="M34" s="349"/>
      <c r="N34" s="350"/>
      <c r="O34" s="350"/>
      <c r="P34" s="234"/>
    </row>
    <row r="35" spans="2:16" ht="18">
      <c r="B35" s="234"/>
      <c r="C35" s="207" t="s">
        <v>158</v>
      </c>
      <c r="D35" s="364">
        <f>-SUMIFS('Jounal entries final'!$H:$H,'Jounal entries final'!$E:$E,$C35,'Jounal entries final'!$B:$B,D$16,'Jounal entries final'!$C:$C,$Q$16)</f>
        <v>1222608</v>
      </c>
      <c r="E35" s="364">
        <f>-SUMIFS('Jounal entries final'!$H:$H,'Jounal entries final'!$E:$E,$C35,'Jounal entries final'!$B:$B,E$16,'Jounal entries final'!$C:$C,$Q$16)</f>
        <v>1229651</v>
      </c>
      <c r="F35" s="364">
        <f>-SUMIFS('Jounal entries final'!$H:$H,'Jounal entries final'!$E:$E,$C35,'Jounal entries final'!$B:$B,F$16,'Jounal entries final'!$C:$C,$Q$16)</f>
        <v>1211408</v>
      </c>
      <c r="G35" s="364">
        <f>-SUMIFS('Jounal entries final'!$H:$H,'Jounal entries final'!$E:$E,$C35,'Jounal entries final'!$B:$B,G$16,'Jounal entries final'!$C:$C,$Q$16)</f>
        <v>1214453</v>
      </c>
      <c r="H35" s="364">
        <f>-SUMIFS('Jounal entries final'!$H:$H,'Jounal entries final'!$E:$E,$C35,'Jounal entries final'!$B:$B,H$16,'Jounal entries final'!$C:$C,$Q$16)</f>
        <v>1201645</v>
      </c>
      <c r="I35" s="364">
        <f>-SUMIFS('Jounal entries final'!$H:$H,'Jounal entries final'!$E:$E,$C35,'Jounal entries final'!$B:$B,I$16,'Jounal entries final'!$C:$C,$Q$16)</f>
        <v>1212469</v>
      </c>
      <c r="J35" s="364">
        <f>-SUMIFS('Jounal entries final'!$H:$H,'Jounal entries final'!$E:$E,$C35,'Jounal entries final'!$B:$B,J$16,'Jounal entries final'!$C:$C,$Q$16)</f>
        <v>1218014</v>
      </c>
      <c r="K35" s="364">
        <f>-SUMIFS('Jounal entries final'!$H:$H,'Jounal entries final'!$E:$E,$C35,'Jounal entries final'!$B:$B,K$16,'Jounal entries final'!$C:$C,$Q$16)</f>
        <v>1214125</v>
      </c>
      <c r="L35" s="364">
        <f>-SUMIFS('Jounal entries final'!$H:$H,'Jounal entries final'!$E:$E,$C35,'Jounal entries final'!$B:$B,L$16,'Jounal entries final'!$C:$C,$Q$16)</f>
        <v>1232767</v>
      </c>
      <c r="M35" s="364">
        <f>-SUMIFS('Jounal entries final'!$H:$H,'Jounal entries final'!$E:$E,$C35,'Jounal entries final'!$B:$B,M$16,'Jounal entries final'!$C:$C,$Q$16)</f>
        <v>1205676</v>
      </c>
      <c r="N35" s="364">
        <f>-SUMIFS('Jounal entries final'!$H:$H,'Jounal entries final'!$E:$E,$C35,'Jounal entries final'!$B:$B,N$16,'Jounal entries final'!$C:$C,$Q$16)</f>
        <v>1225635</v>
      </c>
      <c r="O35" s="364">
        <f>-SUMIFS('Jounal entries final'!$H:$H,'Jounal entries final'!$E:$E,$C35,'Jounal entries final'!$B:$B,O$16,'Jounal entries final'!$C:$C,$Q$16)</f>
        <v>1201981</v>
      </c>
      <c r="P35" s="234"/>
    </row>
    <row r="36" spans="2:16" ht="18">
      <c r="B36" s="114"/>
      <c r="C36" s="207" t="s">
        <v>159</v>
      </c>
      <c r="D36" s="364">
        <f>SUMIFS('Jounal entries final'!$H:$H,'Jounal entries final'!$E:$E,$C36,'Jounal entries final'!$B:$B,D$16,'Jounal entries final'!$C:$C,$Q$16)</f>
        <v>1223814</v>
      </c>
      <c r="E36" s="364">
        <f>SUMIFS('Jounal entries final'!$H:$H,'Jounal entries final'!$E:$E,$C36,'Jounal entries final'!$B:$B,E$16,'Jounal entries final'!$C:$C,$Q$16)</f>
        <v>1206806</v>
      </c>
      <c r="F36" s="364">
        <f>SUMIFS('Jounal entries final'!$H:$H,'Jounal entries final'!$E:$E,$C36,'Jounal entries final'!$B:$B,F$16,'Jounal entries final'!$C:$C,$Q$16)</f>
        <v>1206834</v>
      </c>
      <c r="G36" s="364">
        <f>SUMIFS('Jounal entries final'!$H:$H,'Jounal entries final'!$E:$E,$C36,'Jounal entries final'!$B:$B,G$16,'Jounal entries final'!$C:$C,$Q$16)</f>
        <v>1204994</v>
      </c>
      <c r="H36" s="364">
        <f>SUMIFS('Jounal entries final'!$H:$H,'Jounal entries final'!$E:$E,$C36,'Jounal entries final'!$B:$B,H$16,'Jounal entries final'!$C:$C,$Q$16)</f>
        <v>1229227</v>
      </c>
      <c r="I36" s="364">
        <f>SUMIFS('Jounal entries final'!$H:$H,'Jounal entries final'!$E:$E,$C36,'Jounal entries final'!$B:$B,I$16,'Jounal entries final'!$C:$C,$Q$16)</f>
        <v>1223784</v>
      </c>
      <c r="J36" s="364">
        <f>SUMIFS('Jounal entries final'!$H:$H,'Jounal entries final'!$E:$E,$C36,'Jounal entries final'!$B:$B,J$16,'Jounal entries final'!$C:$C,$Q$16)</f>
        <v>1209257</v>
      </c>
      <c r="K36" s="364">
        <f>SUMIFS('Jounal entries final'!$H:$H,'Jounal entries final'!$E:$E,$C36,'Jounal entries final'!$B:$B,K$16,'Jounal entries final'!$C:$C,$Q$16)</f>
        <v>1200455</v>
      </c>
      <c r="L36" s="364">
        <f>SUMIFS('Jounal entries final'!$H:$H,'Jounal entries final'!$E:$E,$C36,'Jounal entries final'!$B:$B,L$16,'Jounal entries final'!$C:$C,$Q$16)</f>
        <v>1223081</v>
      </c>
      <c r="M36" s="364">
        <f>SUMIFS('Jounal entries final'!$H:$H,'Jounal entries final'!$E:$E,$C36,'Jounal entries final'!$B:$B,M$16,'Jounal entries final'!$C:$C,$Q$16)</f>
        <v>1216045</v>
      </c>
      <c r="N36" s="364">
        <f>SUMIFS('Jounal entries final'!$H:$H,'Jounal entries final'!$E:$E,$C36,'Jounal entries final'!$B:$B,N$16,'Jounal entries final'!$C:$C,$Q$16)</f>
        <v>1232187</v>
      </c>
      <c r="O36" s="364">
        <f>SUMIFS('Jounal entries final'!$H:$H,'Jounal entries final'!$E:$E,$C36,'Jounal entries final'!$B:$B,O$16,'Jounal entries final'!$C:$C,$Q$16)</f>
        <v>1204389</v>
      </c>
      <c r="P36" s="234"/>
    </row>
    <row r="37" spans="2:16" ht="19">
      <c r="B37" s="114"/>
      <c r="C37" s="207"/>
      <c r="D37" s="346"/>
      <c r="E37" s="353"/>
      <c r="F37" s="353"/>
      <c r="G37" s="354"/>
      <c r="H37" s="353"/>
      <c r="I37" s="205"/>
      <c r="J37" s="345"/>
      <c r="K37" s="272"/>
      <c r="L37" s="272"/>
      <c r="M37" s="272"/>
      <c r="N37" s="272"/>
      <c r="O37" s="272"/>
      <c r="P37" s="234"/>
    </row>
    <row r="38" spans="2:16" ht="18">
      <c r="B38" s="234"/>
      <c r="C38" s="371" t="s">
        <v>183</v>
      </c>
      <c r="D38" s="363">
        <f>+D33+D35-D36</f>
        <v>602435</v>
      </c>
      <c r="E38" s="363">
        <f>+E33+E35-E36</f>
        <v>1315242</v>
      </c>
      <c r="F38" s="363">
        <f t="shared" ref="F38:O38" si="4">+F33+F35-F36</f>
        <v>-387886</v>
      </c>
      <c r="G38" s="363">
        <f t="shared" si="4"/>
        <v>313542</v>
      </c>
      <c r="H38" s="363">
        <f t="shared" si="4"/>
        <v>-172114</v>
      </c>
      <c r="I38" s="363">
        <f t="shared" si="4"/>
        <v>2099396</v>
      </c>
      <c r="J38" s="363">
        <f t="shared" si="4"/>
        <v>860139</v>
      </c>
      <c r="K38" s="363">
        <f t="shared" si="4"/>
        <v>-763874</v>
      </c>
      <c r="L38" s="363">
        <f t="shared" si="4"/>
        <v>781774</v>
      </c>
      <c r="M38" s="363">
        <f t="shared" si="4"/>
        <v>160560</v>
      </c>
      <c r="N38" s="363">
        <f t="shared" si="4"/>
        <v>108590</v>
      </c>
      <c r="O38" s="363">
        <f t="shared" si="4"/>
        <v>702953</v>
      </c>
      <c r="P38" s="234"/>
    </row>
    <row r="39" spans="2:16" ht="22">
      <c r="B39" s="252"/>
      <c r="C39" s="306"/>
      <c r="D39" s="336"/>
      <c r="E39" s="336"/>
      <c r="F39" s="352"/>
      <c r="G39" s="352"/>
      <c r="H39" s="352"/>
      <c r="I39" s="205"/>
      <c r="J39" s="345"/>
      <c r="K39" s="336"/>
      <c r="L39" s="351"/>
      <c r="M39" s="352"/>
      <c r="N39" s="345"/>
      <c r="O39" s="345"/>
      <c r="P39" s="234"/>
    </row>
    <row r="40" spans="2:16" ht="34">
      <c r="B40" s="293"/>
      <c r="C40" s="289"/>
      <c r="D40" s="301"/>
      <c r="E40" s="301"/>
      <c r="F40" s="355"/>
      <c r="G40" s="302"/>
      <c r="H40" s="355"/>
      <c r="J40" s="355"/>
      <c r="K40" s="781"/>
      <c r="L40" s="782"/>
      <c r="M40" s="782"/>
      <c r="N40" s="782"/>
      <c r="O40" s="782"/>
      <c r="P40" s="293"/>
    </row>
    <row r="41" spans="2:16" ht="19">
      <c r="B41" s="293"/>
      <c r="C41" s="249"/>
      <c r="D41" s="801"/>
      <c r="E41" s="801"/>
      <c r="F41" s="355"/>
      <c r="G41" s="355"/>
      <c r="H41" s="355"/>
      <c r="J41" s="355"/>
      <c r="K41" s="782"/>
      <c r="L41" s="782"/>
      <c r="M41" s="782"/>
      <c r="N41" s="782"/>
      <c r="O41" s="782"/>
      <c r="P41" s="293"/>
    </row>
    <row r="42" spans="2:16" ht="19">
      <c r="B42" s="293"/>
      <c r="C42" s="249"/>
      <c r="D42" s="801"/>
      <c r="E42" s="801"/>
      <c r="F42" s="355"/>
      <c r="G42" s="355"/>
      <c r="H42" s="355"/>
      <c r="J42" s="355"/>
      <c r="K42" s="782"/>
      <c r="L42" s="782"/>
      <c r="M42" s="782"/>
      <c r="N42" s="782"/>
      <c r="O42" s="782"/>
      <c r="P42" s="293"/>
    </row>
    <row r="43" spans="2:16" ht="19">
      <c r="B43" s="293"/>
      <c r="C43" s="249"/>
      <c r="D43" s="799"/>
      <c r="E43" s="799"/>
      <c r="F43" s="800"/>
      <c r="G43" s="800"/>
      <c r="H43" s="355"/>
      <c r="J43" s="355"/>
      <c r="K43" s="300"/>
      <c r="L43" s="799"/>
      <c r="M43" s="799"/>
      <c r="N43" s="800"/>
      <c r="O43" s="800"/>
      <c r="P43" s="293"/>
    </row>
    <row r="44" spans="2:16" ht="19">
      <c r="B44" s="293"/>
      <c r="C44" s="246"/>
      <c r="D44" s="357"/>
      <c r="E44" s="356"/>
      <c r="F44" s="355"/>
      <c r="G44" s="355"/>
      <c r="H44" s="355"/>
      <c r="J44" s="355"/>
      <c r="K44" s="300"/>
      <c r="L44" s="357"/>
      <c r="M44" s="356"/>
      <c r="N44" s="355"/>
      <c r="O44" s="355"/>
      <c r="P44" s="293"/>
    </row>
    <row r="47" spans="2:16" ht="18" customHeight="1">
      <c r="B47" s="293"/>
      <c r="C47" s="294"/>
      <c r="D47" s="355"/>
      <c r="E47" s="355"/>
      <c r="F47" s="355"/>
      <c r="G47" s="802"/>
      <c r="H47" s="802"/>
      <c r="J47" s="355"/>
      <c r="K47" s="358"/>
      <c r="L47" s="355"/>
      <c r="M47" s="355"/>
      <c r="N47" s="355"/>
      <c r="O47" s="752"/>
      <c r="P47" s="752"/>
    </row>
    <row r="48" spans="2:16" ht="22">
      <c r="B48" s="295"/>
      <c r="C48" s="737"/>
      <c r="D48" s="737"/>
      <c r="E48" s="737"/>
      <c r="F48" s="355"/>
      <c r="G48" s="355"/>
      <c r="H48" s="355"/>
      <c r="J48" s="340"/>
      <c r="K48" s="798"/>
      <c r="L48" s="798"/>
      <c r="M48" s="798"/>
      <c r="N48" s="355"/>
      <c r="O48" s="355"/>
      <c r="P48" s="293"/>
    </row>
    <row r="49" spans="2:16" ht="34">
      <c r="B49" s="293"/>
      <c r="C49" s="290"/>
      <c r="D49" s="359"/>
      <c r="E49" s="301"/>
      <c r="F49" s="355"/>
      <c r="G49" s="302"/>
      <c r="H49" s="355"/>
      <c r="J49" s="355"/>
      <c r="K49" s="781"/>
      <c r="L49" s="782"/>
      <c r="M49" s="782"/>
      <c r="N49" s="782"/>
      <c r="O49" s="782"/>
      <c r="P49" s="293"/>
    </row>
    <row r="50" spans="2:16" ht="13.25" customHeight="1">
      <c r="B50" s="293"/>
      <c r="C50" s="288"/>
      <c r="D50" s="341"/>
      <c r="E50" s="341"/>
      <c r="F50" s="355"/>
      <c r="G50" s="302"/>
      <c r="H50" s="355"/>
      <c r="J50" s="355"/>
      <c r="K50" s="781"/>
      <c r="L50" s="782"/>
      <c r="M50" s="782"/>
      <c r="N50" s="782"/>
      <c r="O50" s="782"/>
      <c r="P50" s="293"/>
    </row>
    <row r="51" spans="2:16" ht="18">
      <c r="B51" s="293"/>
      <c r="C51" s="249"/>
      <c r="D51" s="360"/>
      <c r="E51" s="360"/>
      <c r="F51" s="300"/>
      <c r="G51" s="361"/>
      <c r="H51" s="355"/>
      <c r="J51" s="355"/>
      <c r="K51" s="782"/>
      <c r="L51" s="782"/>
      <c r="M51" s="782"/>
      <c r="N51" s="782"/>
      <c r="O51" s="782"/>
      <c r="P51" s="293"/>
    </row>
    <row r="52" spans="2:16" ht="18">
      <c r="B52" s="293"/>
      <c r="C52" s="249"/>
      <c r="D52" s="360"/>
      <c r="E52" s="360"/>
      <c r="F52" s="300"/>
      <c r="G52" s="361"/>
      <c r="H52" s="355"/>
      <c r="J52" s="355"/>
      <c r="K52" s="782"/>
      <c r="L52" s="782"/>
      <c r="M52" s="782"/>
      <c r="N52" s="782"/>
      <c r="O52" s="782"/>
      <c r="P52" s="293"/>
    </row>
    <row r="53" spans="2:16" ht="19">
      <c r="B53" s="293"/>
      <c r="C53" s="249"/>
      <c r="D53" s="360"/>
      <c r="E53" s="360"/>
      <c r="F53" s="300"/>
      <c r="G53" s="361"/>
      <c r="H53" s="355"/>
      <c r="J53" s="355"/>
      <c r="K53" s="300"/>
      <c r="L53" s="799"/>
      <c r="M53" s="799"/>
      <c r="N53" s="800"/>
      <c r="O53" s="800"/>
      <c r="P53" s="293"/>
    </row>
    <row r="54" spans="2:16" ht="19">
      <c r="B54" s="293"/>
      <c r="C54" s="246"/>
      <c r="D54" s="357"/>
      <c r="E54" s="356"/>
      <c r="F54" s="355"/>
      <c r="G54" s="355"/>
      <c r="H54" s="355"/>
      <c r="J54" s="355"/>
      <c r="K54" s="300"/>
      <c r="L54" s="357"/>
      <c r="M54" s="356"/>
      <c r="N54" s="355"/>
      <c r="O54" s="355"/>
      <c r="P54" s="293"/>
    </row>
  </sheetData>
  <mergeCells count="15">
    <mergeCell ref="L53:M53"/>
    <mergeCell ref="N53:O53"/>
    <mergeCell ref="O20:P20"/>
    <mergeCell ref="K40:O42"/>
    <mergeCell ref="D41:E41"/>
    <mergeCell ref="D42:E42"/>
    <mergeCell ref="D43:E43"/>
    <mergeCell ref="F43:G43"/>
    <mergeCell ref="L43:M43"/>
    <mergeCell ref="N43:O43"/>
    <mergeCell ref="G47:H47"/>
    <mergeCell ref="O47:P47"/>
    <mergeCell ref="C48:E48"/>
    <mergeCell ref="K48:M48"/>
    <mergeCell ref="K49:O52"/>
  </mergeCells>
  <conditionalFormatting sqref="F40:G40">
    <cfRule type="iconSet" priority="3">
      <iconSet iconSet="3Arrows">
        <cfvo type="percent" val="0"/>
        <cfvo type="num" val="0"/>
        <cfvo type="num" val="9.9999999999999995E-8" gte="0"/>
      </iconSet>
    </cfRule>
  </conditionalFormatting>
  <conditionalFormatting sqref="F43:G43">
    <cfRule type="iconSet" priority="2">
      <iconSet iconSet="3Arrows">
        <cfvo type="percent" val="0"/>
        <cfvo type="num" val="0"/>
        <cfvo type="num" val="1E-25" gte="0"/>
      </iconSet>
    </cfRule>
  </conditionalFormatting>
  <conditionalFormatting sqref="F49:G50">
    <cfRule type="iconSet" priority="7">
      <iconSet iconSet="3Arrows">
        <cfvo type="percent" val="0"/>
        <cfvo type="num" val="0"/>
        <cfvo type="num" val="9.9999999999999995E-8" gte="0"/>
      </iconSet>
    </cfRule>
  </conditionalFormatting>
  <conditionalFormatting sqref="G53">
    <cfRule type="iconSet" priority="4">
      <iconSet iconSet="3Flags">
        <cfvo type="percent" val="0"/>
        <cfvo type="num" val="0"/>
        <cfvo type="num" val="1.0000000000000001E-17" gte="0"/>
      </iconSet>
    </cfRule>
  </conditionalFormatting>
  <conditionalFormatting sqref="N34:O34">
    <cfRule type="iconSet" priority="8">
      <iconSet iconSet="3Arrows">
        <cfvo type="percent" val="0"/>
        <cfvo type="num" val="0"/>
        <cfvo type="num" val="1E-25" gte="0"/>
      </iconSet>
    </cfRule>
  </conditionalFormatting>
  <conditionalFormatting sqref="N43:O43">
    <cfRule type="iconSet" priority="1">
      <iconSet iconSet="3Arrows">
        <cfvo type="percent" val="0"/>
        <cfvo type="num" val="0"/>
        <cfvo type="num" val="1E-25" gte="0"/>
      </iconSet>
    </cfRule>
  </conditionalFormatting>
  <conditionalFormatting sqref="N53:O53">
    <cfRule type="iconSet" priority="6">
      <iconSet iconSet="3Arrows">
        <cfvo type="percent" val="0"/>
        <cfvo type="num" val="0"/>
        <cfvo type="num" val="1E-25" gte="0"/>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5" id="{BBBC09C2-83E6-4B55-94DC-B0FE19E1D024}">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G51:G52</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D9EA2-2FE4-40DF-9A90-77D50E01C275}">
  <sheetPr codeName="Sheet22">
    <tabColor theme="4" tint="0.79998168889431442"/>
  </sheetPr>
  <dimension ref="A1:AE62"/>
  <sheetViews>
    <sheetView showGridLines="0" topLeftCell="C1" zoomScale="78" zoomScaleNormal="60" workbookViewId="0">
      <selection activeCell="D44" sqref="D44"/>
    </sheetView>
  </sheetViews>
  <sheetFormatPr baseColWidth="10" defaultColWidth="8.83203125" defaultRowHeight="15"/>
  <cols>
    <col min="1" max="1" width="2.83203125" style="236" customWidth="1"/>
    <col min="2" max="2" width="2.1640625" style="236" customWidth="1"/>
    <col min="3" max="3" width="44.83203125" style="243" bestFit="1" customWidth="1"/>
    <col min="4" max="4" width="15.6640625" style="344" bestFit="1" customWidth="1"/>
    <col min="5" max="14" width="12.1640625" style="344" customWidth="1"/>
    <col min="15" max="15" width="11" style="344" bestFit="1" customWidth="1"/>
    <col min="16" max="17" width="11.33203125" style="236" bestFit="1" customWidth="1"/>
    <col min="18" max="18" width="11.33203125" style="630" bestFit="1" customWidth="1"/>
    <col min="19" max="19" width="12.1640625" style="630" bestFit="1" customWidth="1"/>
    <col min="20" max="21" width="11.33203125" style="236" bestFit="1" customWidth="1"/>
    <col min="22" max="22" width="12.1640625" style="236" bestFit="1" customWidth="1"/>
    <col min="23" max="23" width="11.33203125" style="236" bestFit="1" customWidth="1"/>
    <col min="24" max="24" width="11.5" style="236" bestFit="1" customWidth="1"/>
    <col min="25" max="27" width="8.83203125" style="236"/>
    <col min="28" max="28" width="9.1640625" style="236" bestFit="1" customWidth="1"/>
    <col min="29" max="29" width="11.1640625" style="236" bestFit="1" customWidth="1"/>
    <col min="30" max="16384" width="8.83203125" style="236"/>
  </cols>
  <sheetData>
    <row r="1" spans="1:29" s="114" customFormat="1">
      <c r="C1" s="118"/>
      <c r="D1" s="205"/>
      <c r="E1" s="205"/>
      <c r="F1" s="205"/>
      <c r="G1" s="205"/>
      <c r="H1" s="205"/>
      <c r="I1" s="205"/>
      <c r="J1" s="205"/>
      <c r="K1" s="205"/>
      <c r="L1" s="205"/>
      <c r="M1" s="205"/>
      <c r="N1" s="205"/>
      <c r="O1" s="205"/>
      <c r="R1" s="630"/>
      <c r="S1" s="630"/>
      <c r="Y1" s="236"/>
      <c r="Z1" s="236"/>
      <c r="AA1" s="236"/>
    </row>
    <row r="2" spans="1:29" s="114" customFormat="1">
      <c r="C2" s="118"/>
      <c r="D2" s="205"/>
      <c r="E2" s="205"/>
      <c r="F2" s="205"/>
      <c r="G2" s="205"/>
      <c r="H2" s="205"/>
      <c r="I2" s="205"/>
      <c r="J2" s="205"/>
      <c r="K2" s="205"/>
      <c r="L2" s="205"/>
      <c r="M2" s="205"/>
      <c r="N2" s="205"/>
      <c r="O2" s="205"/>
      <c r="R2" s="630"/>
      <c r="S2" s="630"/>
      <c r="Y2" s="236"/>
      <c r="Z2" s="236"/>
      <c r="AA2" s="236"/>
    </row>
    <row r="3" spans="1:29" s="114" customFormat="1">
      <c r="C3" s="118"/>
      <c r="D3" s="205"/>
      <c r="E3" s="205"/>
      <c r="F3" s="205"/>
      <c r="G3" s="205"/>
      <c r="H3" s="205"/>
      <c r="I3" s="205"/>
      <c r="J3" s="205"/>
      <c r="K3" s="205"/>
      <c r="L3" s="205"/>
      <c r="M3" s="205"/>
      <c r="N3" s="205"/>
      <c r="O3" s="205"/>
      <c r="R3" s="630"/>
      <c r="S3" s="630"/>
      <c r="Y3" s="236"/>
      <c r="Z3" s="236"/>
      <c r="AA3" s="236"/>
    </row>
    <row r="4" spans="1:29" s="114" customFormat="1">
      <c r="C4" s="118"/>
      <c r="D4" s="205"/>
      <c r="E4" s="205"/>
      <c r="F4" s="205"/>
      <c r="G4" s="205"/>
      <c r="H4" s="205"/>
      <c r="I4" s="205"/>
      <c r="J4" s="205"/>
      <c r="K4" s="205"/>
      <c r="L4" s="205"/>
      <c r="M4" s="205"/>
      <c r="N4" s="205"/>
      <c r="O4" s="205"/>
      <c r="R4" s="630"/>
      <c r="S4" s="630"/>
      <c r="Y4" s="236"/>
      <c r="Z4" s="236"/>
      <c r="AA4" s="236"/>
    </row>
    <row r="5" spans="1:29" s="114" customFormat="1">
      <c r="C5" s="118"/>
      <c r="D5" s="205"/>
      <c r="E5" s="205"/>
      <c r="F5" s="205"/>
      <c r="G5" s="205"/>
      <c r="H5" s="205"/>
      <c r="I5" s="205"/>
      <c r="J5" s="205"/>
      <c r="K5" s="205"/>
      <c r="L5" s="205"/>
      <c r="M5" s="205"/>
      <c r="N5" s="205"/>
      <c r="O5" s="205"/>
      <c r="R5" s="630"/>
      <c r="S5" s="630"/>
      <c r="Y5" s="236"/>
      <c r="Z5" s="236"/>
      <c r="AA5" s="236"/>
    </row>
    <row r="6" spans="1:29" s="114" customFormat="1">
      <c r="C6" s="118"/>
      <c r="D6" s="205"/>
      <c r="E6" s="205"/>
      <c r="F6" s="205"/>
      <c r="G6" s="205"/>
      <c r="H6" s="205"/>
      <c r="I6" s="205"/>
      <c r="J6" s="205"/>
      <c r="K6" s="205"/>
      <c r="L6" s="205"/>
      <c r="M6" s="205"/>
      <c r="N6" s="205"/>
      <c r="O6" s="205"/>
      <c r="R6" s="630"/>
      <c r="S6" s="630"/>
      <c r="Y6" s="236"/>
      <c r="Z6" s="236"/>
      <c r="AA6" s="236"/>
    </row>
    <row r="7" spans="1:29" s="114" customFormat="1">
      <c r="C7" s="118"/>
      <c r="D7" s="205"/>
      <c r="E7" s="205"/>
      <c r="F7" s="205"/>
      <c r="G7" s="205"/>
      <c r="H7" s="205"/>
      <c r="I7" s="205"/>
      <c r="J7" s="205"/>
      <c r="K7" s="205"/>
      <c r="L7" s="205"/>
      <c r="M7" s="205"/>
      <c r="N7" s="205"/>
      <c r="O7" s="205"/>
      <c r="R7" s="630"/>
      <c r="S7" s="630"/>
      <c r="Y7" s="236"/>
      <c r="Z7" s="236"/>
      <c r="AA7" s="236"/>
    </row>
    <row r="8" spans="1:29" s="114" customFormat="1">
      <c r="C8" s="118"/>
      <c r="D8" s="205"/>
      <c r="E8" s="205"/>
      <c r="F8" s="205"/>
      <c r="G8" s="205"/>
      <c r="H8" s="205"/>
      <c r="I8" s="205"/>
      <c r="J8" s="205"/>
      <c r="K8" s="205"/>
      <c r="L8" s="205"/>
      <c r="M8" s="205"/>
      <c r="N8" s="205"/>
      <c r="O8" s="205"/>
      <c r="R8" s="630"/>
      <c r="S8" s="630"/>
      <c r="Y8" s="236"/>
      <c r="Z8" s="236"/>
      <c r="AA8" s="236"/>
    </row>
    <row r="9" spans="1:29" s="114" customFormat="1">
      <c r="C9" s="118"/>
      <c r="D9" s="205"/>
      <c r="E9" s="205"/>
      <c r="F9" s="205"/>
      <c r="G9" s="205"/>
      <c r="H9" s="205"/>
      <c r="I9" s="205"/>
      <c r="J9" s="205"/>
      <c r="K9" s="205"/>
      <c r="L9" s="205"/>
      <c r="M9" s="205"/>
      <c r="N9" s="205"/>
      <c r="O9" s="205"/>
      <c r="R9" s="630"/>
      <c r="S9" s="630"/>
      <c r="Y9" s="236"/>
      <c r="Z9" s="236"/>
      <c r="AA9" s="236"/>
    </row>
    <row r="10" spans="1:29" s="114" customFormat="1" ht="16" thickBot="1">
      <c r="C10" s="118"/>
      <c r="D10" s="205"/>
      <c r="E10" s="205"/>
      <c r="F10" s="205"/>
      <c r="G10" s="205"/>
      <c r="H10" s="205"/>
      <c r="I10" s="205"/>
      <c r="J10" s="205"/>
      <c r="K10" s="205"/>
      <c r="L10" s="205"/>
      <c r="M10" s="205"/>
      <c r="N10" s="205"/>
      <c r="O10" s="205"/>
      <c r="R10" s="630"/>
      <c r="S10" s="630"/>
      <c r="Y10" s="236"/>
      <c r="Z10" s="236"/>
      <c r="AA10" s="236"/>
    </row>
    <row r="11" spans="1:29" s="114" customFormat="1" ht="19" thickBot="1">
      <c r="C11" s="118"/>
      <c r="D11" s="205"/>
      <c r="E11" s="205"/>
      <c r="F11" s="205"/>
      <c r="G11" s="205"/>
      <c r="H11" s="205"/>
      <c r="I11" s="205"/>
      <c r="J11" s="205"/>
      <c r="K11" s="205"/>
      <c r="L11" s="205"/>
      <c r="M11" s="205"/>
      <c r="N11" s="205"/>
      <c r="O11" s="205"/>
      <c r="R11" s="630"/>
      <c r="S11" s="630"/>
      <c r="Y11" s="236"/>
      <c r="Z11" s="236"/>
      <c r="AA11" s="236"/>
      <c r="AC11" s="285">
        <v>2023</v>
      </c>
    </row>
    <row r="12" spans="1:29" s="114" customFormat="1">
      <c r="C12" s="118"/>
      <c r="D12" s="205"/>
      <c r="E12" s="205"/>
      <c r="F12" s="205"/>
      <c r="G12" s="205"/>
      <c r="H12" s="205"/>
      <c r="I12" s="205"/>
      <c r="J12" s="205"/>
      <c r="K12" s="205"/>
      <c r="L12" s="205"/>
      <c r="M12" s="205"/>
      <c r="N12" s="205"/>
      <c r="O12" s="205"/>
      <c r="R12" s="630"/>
      <c r="S12" s="630"/>
      <c r="Y12" s="236"/>
      <c r="Z12" s="236"/>
      <c r="AA12" s="236"/>
    </row>
    <row r="13" spans="1:29" ht="19">
      <c r="A13" s="114"/>
      <c r="B13" s="114"/>
      <c r="C13" s="118"/>
      <c r="D13" s="121"/>
      <c r="E13" s="121"/>
      <c r="F13" s="121"/>
      <c r="G13" s="205"/>
      <c r="H13" s="205"/>
      <c r="I13" s="205"/>
      <c r="J13" s="205"/>
      <c r="K13" s="205"/>
      <c r="L13" s="342" t="s">
        <v>258</v>
      </c>
      <c r="M13" s="342" t="s">
        <v>256</v>
      </c>
      <c r="N13" s="342" t="s">
        <v>259</v>
      </c>
      <c r="O13" s="342" t="s">
        <v>257</v>
      </c>
      <c r="P13" s="114"/>
      <c r="Q13" s="114"/>
    </row>
    <row r="14" spans="1:29">
      <c r="A14" s="114"/>
      <c r="B14" s="114"/>
      <c r="C14" s="114"/>
      <c r="D14" s="205"/>
      <c r="E14" s="205"/>
      <c r="F14" s="205"/>
      <c r="G14" s="205"/>
      <c r="H14" s="205"/>
      <c r="I14" s="205"/>
      <c r="J14" s="343"/>
      <c r="K14" s="205"/>
      <c r="L14" s="205"/>
      <c r="M14" s="205"/>
      <c r="N14" s="205"/>
      <c r="O14" s="205"/>
      <c r="P14" s="114"/>
      <c r="Q14" s="114"/>
    </row>
    <row r="15" spans="1:29" s="563" customFormat="1" ht="26.5" hidden="1" customHeight="1" thickBot="1">
      <c r="A15" s="287"/>
      <c r="B15" s="287"/>
      <c r="C15" s="281" t="s">
        <v>174</v>
      </c>
      <c r="D15" s="285">
        <v>1</v>
      </c>
      <c r="E15" s="285">
        <v>2</v>
      </c>
      <c r="F15" s="285">
        <v>3</v>
      </c>
      <c r="G15" s="285">
        <v>4</v>
      </c>
      <c r="H15" s="285">
        <v>5</v>
      </c>
      <c r="I15" s="285">
        <v>6</v>
      </c>
      <c r="J15" s="285">
        <v>7</v>
      </c>
      <c r="K15" s="285">
        <v>8</v>
      </c>
      <c r="L15" s="285">
        <v>9</v>
      </c>
      <c r="M15" s="285">
        <v>10</v>
      </c>
      <c r="N15" s="285">
        <v>11</v>
      </c>
      <c r="O15" s="285">
        <v>12</v>
      </c>
      <c r="P15" s="285">
        <v>13</v>
      </c>
      <c r="Q15" s="285">
        <v>14</v>
      </c>
      <c r="R15" s="285">
        <v>15</v>
      </c>
      <c r="S15" s="285">
        <v>16</v>
      </c>
      <c r="T15" s="285">
        <v>17</v>
      </c>
      <c r="U15" s="285">
        <v>18</v>
      </c>
      <c r="V15" s="285">
        <v>19</v>
      </c>
      <c r="W15" s="285">
        <v>20</v>
      </c>
      <c r="X15" s="285">
        <v>21</v>
      </c>
    </row>
    <row r="16" spans="1:29" hidden="1">
      <c r="A16" s="114"/>
      <c r="B16" s="114"/>
      <c r="C16" s="118"/>
      <c r="D16" s="205"/>
      <c r="E16" s="205"/>
      <c r="F16" s="205"/>
      <c r="G16" s="205"/>
      <c r="H16" s="205"/>
      <c r="I16" s="205"/>
      <c r="J16" s="205"/>
      <c r="K16" s="205"/>
      <c r="L16" s="205"/>
      <c r="M16" s="205"/>
      <c r="N16" s="205"/>
      <c r="O16" s="205"/>
      <c r="P16" s="114"/>
      <c r="Q16" s="114"/>
    </row>
    <row r="17" spans="2:31" hidden="1"/>
    <row r="18" spans="2:31" s="344" customFormat="1"/>
    <row r="19" spans="2:31" ht="16" thickBot="1">
      <c r="B19" s="234"/>
      <c r="C19" s="251"/>
      <c r="D19" s="205"/>
      <c r="E19" s="205"/>
      <c r="F19" s="205"/>
      <c r="G19" s="205"/>
      <c r="H19" s="205"/>
      <c r="I19" s="205"/>
      <c r="J19" s="205"/>
      <c r="K19" s="205"/>
      <c r="L19" s="205"/>
      <c r="M19" s="205"/>
      <c r="N19" s="205"/>
      <c r="O19" s="762"/>
      <c r="P19" s="762"/>
      <c r="Q19" s="762"/>
      <c r="R19" s="762"/>
      <c r="S19" s="762"/>
      <c r="T19" s="762"/>
      <c r="U19" s="762"/>
      <c r="V19" s="762"/>
      <c r="W19" s="762"/>
      <c r="X19" s="762"/>
    </row>
    <row r="20" spans="2:31" s="244" customFormat="1" ht="26" thickBot="1">
      <c r="B20" s="252"/>
      <c r="C20" s="366" t="s">
        <v>452</v>
      </c>
      <c r="D20" s="367"/>
      <c r="E20" s="367"/>
      <c r="F20" s="367"/>
      <c r="G20" s="562" t="s">
        <v>453</v>
      </c>
      <c r="H20" s="804" t="s">
        <v>454</v>
      </c>
      <c r="I20" s="805"/>
      <c r="J20" s="806"/>
      <c r="K20" s="367"/>
      <c r="L20" s="367"/>
      <c r="M20" s="367"/>
      <c r="N20" s="367"/>
      <c r="O20" s="368"/>
      <c r="P20" s="674">
        <v>2025</v>
      </c>
      <c r="Q20" s="368"/>
      <c r="R20" s="234"/>
      <c r="S20" s="368"/>
      <c r="T20" s="234"/>
      <c r="U20" s="368"/>
      <c r="V20" s="234"/>
      <c r="W20" s="368"/>
      <c r="X20" s="234"/>
    </row>
    <row r="21" spans="2:31" ht="33.5" customHeight="1">
      <c r="B21" s="234"/>
      <c r="C21" s="369"/>
      <c r="D21" s="370" t="s">
        <v>17</v>
      </c>
      <c r="E21" s="370" t="s">
        <v>18</v>
      </c>
      <c r="F21" s="370" t="s">
        <v>19</v>
      </c>
      <c r="G21" s="370" t="s">
        <v>20</v>
      </c>
      <c r="H21" s="370" t="s">
        <v>21</v>
      </c>
      <c r="I21" s="370" t="s">
        <v>22</v>
      </c>
      <c r="J21" s="370" t="s">
        <v>23</v>
      </c>
      <c r="K21" s="370" t="s">
        <v>24</v>
      </c>
      <c r="L21" s="370" t="s">
        <v>25</v>
      </c>
      <c r="M21" s="370" t="s">
        <v>26</v>
      </c>
      <c r="N21" s="370" t="s">
        <v>27</v>
      </c>
      <c r="O21" s="370" t="s">
        <v>28</v>
      </c>
      <c r="P21" s="668" t="s">
        <v>17</v>
      </c>
      <c r="Q21" s="370" t="s">
        <v>18</v>
      </c>
      <c r="R21" s="370" t="s">
        <v>19</v>
      </c>
      <c r="S21" s="370" t="s">
        <v>20</v>
      </c>
      <c r="T21" s="370" t="s">
        <v>21</v>
      </c>
      <c r="U21" s="370" t="s">
        <v>22</v>
      </c>
      <c r="V21" s="370" t="s">
        <v>23</v>
      </c>
      <c r="W21" s="370" t="s">
        <v>24</v>
      </c>
      <c r="X21" s="370" t="s">
        <v>25</v>
      </c>
      <c r="AA21" s="704"/>
      <c r="AB21" s="705" t="s">
        <v>455</v>
      </c>
      <c r="AC21" s="705" t="s">
        <v>456</v>
      </c>
    </row>
    <row r="22" spans="2:31" ht="18">
      <c r="B22" s="234"/>
      <c r="C22" s="207" t="s">
        <v>98</v>
      </c>
      <c r="D22" s="364">
        <f t="shared" ref="D22:O22" si="0">$AB$22*D15+$AC$22</f>
        <v>12872828.641025642</v>
      </c>
      <c r="E22" s="364">
        <f t="shared" si="0"/>
        <v>12703599.85780886</v>
      </c>
      <c r="F22" s="364">
        <f t="shared" si="0"/>
        <v>12534371.074592076</v>
      </c>
      <c r="G22" s="364">
        <f t="shared" si="0"/>
        <v>12365142.291375292</v>
      </c>
      <c r="H22" s="364">
        <f t="shared" si="0"/>
        <v>12195913.508158509</v>
      </c>
      <c r="I22" s="364">
        <f t="shared" si="0"/>
        <v>12026684.724941727</v>
      </c>
      <c r="J22" s="364">
        <f t="shared" si="0"/>
        <v>11857455.941724943</v>
      </c>
      <c r="K22" s="364">
        <f t="shared" si="0"/>
        <v>11688227.158508159</v>
      </c>
      <c r="L22" s="364">
        <f t="shared" si="0"/>
        <v>11518998.375291377</v>
      </c>
      <c r="M22" s="364">
        <f t="shared" si="0"/>
        <v>11349769.592074594</v>
      </c>
      <c r="N22" s="364">
        <f t="shared" si="0"/>
        <v>11180540.80885781</v>
      </c>
      <c r="O22" s="364">
        <f t="shared" si="0"/>
        <v>11011312.025641028</v>
      </c>
      <c r="P22" s="669">
        <f t="shared" ref="P22:U22" si="1">$AB$22*P15+$AC$22</f>
        <v>10842083.242424244</v>
      </c>
      <c r="Q22" s="364">
        <f t="shared" si="1"/>
        <v>10672854.45920746</v>
      </c>
      <c r="R22" s="364">
        <f t="shared" si="1"/>
        <v>10503625.675990678</v>
      </c>
      <c r="S22" s="364">
        <f t="shared" si="1"/>
        <v>10334396.892773895</v>
      </c>
      <c r="T22" s="364">
        <f t="shared" si="1"/>
        <v>10165168.109557111</v>
      </c>
      <c r="U22" s="364">
        <f t="shared" si="1"/>
        <v>9995939.326340327</v>
      </c>
      <c r="V22" s="364">
        <f t="shared" ref="V22:X22" si="2">$AB$22*V15+$AC$22</f>
        <v>9826710.5431235451</v>
      </c>
      <c r="W22" s="364">
        <f t="shared" si="2"/>
        <v>9657481.7599067613</v>
      </c>
      <c r="X22" s="364">
        <f t="shared" si="2"/>
        <v>9488252.9766899776</v>
      </c>
      <c r="Y22" s="564"/>
      <c r="Z22" s="564"/>
      <c r="AA22" s="706"/>
      <c r="AB22" s="707" cm="1">
        <f t="array" ref="AB22:AC22">LINEST('LTM P&amp;L'!D24:O24,'LTM P&amp;L'!$D$17:$O$17)</f>
        <v>-169228.78321678322</v>
      </c>
      <c r="AC22" s="707">
        <v>13042057.424242426</v>
      </c>
      <c r="AD22" s="564"/>
      <c r="AE22" s="564"/>
    </row>
    <row r="23" spans="2:31" ht="18">
      <c r="B23" s="234"/>
      <c r="C23" s="207" t="s">
        <v>143</v>
      </c>
      <c r="D23" s="364">
        <f t="shared" ref="D23:O23" si="3">$AB$23*D15+$AC$23</f>
        <v>9679329.8470769264</v>
      </c>
      <c r="E23" s="364">
        <f t="shared" si="3"/>
        <v>9531057.6940629389</v>
      </c>
      <c r="F23" s="364">
        <f t="shared" si="3"/>
        <v>9382785.5410489533</v>
      </c>
      <c r="G23" s="364">
        <f t="shared" si="3"/>
        <v>9234513.3880349658</v>
      </c>
      <c r="H23" s="364">
        <f t="shared" si="3"/>
        <v>9086241.2350209802</v>
      </c>
      <c r="I23" s="364">
        <f t="shared" si="3"/>
        <v>8937969.0820069946</v>
      </c>
      <c r="J23" s="364">
        <f t="shared" si="3"/>
        <v>8789696.9289930072</v>
      </c>
      <c r="K23" s="364">
        <f t="shared" si="3"/>
        <v>8641424.7759790216</v>
      </c>
      <c r="L23" s="364">
        <f t="shared" si="3"/>
        <v>8493152.6229650341</v>
      </c>
      <c r="M23" s="364">
        <f t="shared" si="3"/>
        <v>8344880.4699510485</v>
      </c>
      <c r="N23" s="364">
        <f t="shared" si="3"/>
        <v>8196608.3169370629</v>
      </c>
      <c r="O23" s="364">
        <f t="shared" si="3"/>
        <v>8048336.1639230754</v>
      </c>
      <c r="P23" s="669">
        <f t="shared" ref="P23:U23" si="4">$AB$23*P15+$AC$23</f>
        <v>7900064.0109090898</v>
      </c>
      <c r="Q23" s="364">
        <f t="shared" si="4"/>
        <v>7751791.8578951033</v>
      </c>
      <c r="R23" s="364">
        <f t="shared" si="4"/>
        <v>7603519.7048811167</v>
      </c>
      <c r="S23" s="364">
        <f t="shared" si="4"/>
        <v>7455247.5518671311</v>
      </c>
      <c r="T23" s="364">
        <f t="shared" si="4"/>
        <v>7306975.3988531437</v>
      </c>
      <c r="U23" s="364">
        <f t="shared" si="4"/>
        <v>7158703.2458391581</v>
      </c>
      <c r="V23" s="364">
        <f t="shared" ref="V23:X23" si="5">$AB$23*V15+$AC$23</f>
        <v>7010431.0928251715</v>
      </c>
      <c r="W23" s="364">
        <f t="shared" si="5"/>
        <v>6862158.939811185</v>
      </c>
      <c r="X23" s="364">
        <f t="shared" si="5"/>
        <v>6713886.7867971994</v>
      </c>
      <c r="Y23" s="564"/>
      <c r="Z23" s="564"/>
      <c r="AA23" s="706"/>
      <c r="AB23" s="707" cm="1">
        <f t="array" ref="AB23:AC23">LINEST('LTM P&amp;L'!D25:O25,'LTM P&amp;L'!$D$17:$O$17)</f>
        <v>-148272.15301398633</v>
      </c>
      <c r="AC23" s="707">
        <v>9827602.000090912</v>
      </c>
      <c r="AD23" s="564"/>
      <c r="AE23" s="564"/>
    </row>
    <row r="24" spans="2:31" ht="19">
      <c r="B24" s="234"/>
      <c r="C24" s="207"/>
      <c r="D24" s="347"/>
      <c r="E24" s="338"/>
      <c r="F24" s="338"/>
      <c r="G24" s="339"/>
      <c r="H24" s="338"/>
      <c r="I24" s="205"/>
      <c r="J24" s="205"/>
      <c r="K24" s="205"/>
      <c r="L24" s="205"/>
      <c r="M24" s="205"/>
      <c r="N24" s="205"/>
      <c r="O24" s="205"/>
      <c r="P24" s="670"/>
      <c r="Q24" s="205"/>
      <c r="R24" s="114"/>
      <c r="S24" s="205"/>
      <c r="T24" s="114"/>
      <c r="U24" s="205"/>
      <c r="V24" s="114"/>
      <c r="W24" s="205"/>
      <c r="X24" s="114"/>
      <c r="AA24" s="704"/>
      <c r="AB24" s="708"/>
      <c r="AC24" s="708"/>
    </row>
    <row r="25" spans="2:31" ht="18">
      <c r="B25" s="234"/>
      <c r="C25" s="371" t="s">
        <v>181</v>
      </c>
      <c r="D25" s="363">
        <f>+D22-D23</f>
        <v>3193498.7939487156</v>
      </c>
      <c r="E25" s="363">
        <f t="shared" ref="E25:X25" si="6">+E22-E23</f>
        <v>3172542.1637459211</v>
      </c>
      <c r="F25" s="363">
        <f t="shared" si="6"/>
        <v>3151585.5335431229</v>
      </c>
      <c r="G25" s="363">
        <f t="shared" si="6"/>
        <v>3130628.9033403266</v>
      </c>
      <c r="H25" s="363">
        <f t="shared" si="6"/>
        <v>3109672.2731375284</v>
      </c>
      <c r="I25" s="363">
        <f t="shared" si="6"/>
        <v>3088715.6429347321</v>
      </c>
      <c r="J25" s="363">
        <f t="shared" si="6"/>
        <v>3067759.0127319358</v>
      </c>
      <c r="K25" s="363">
        <f t="shared" si="6"/>
        <v>3046802.3825291377</v>
      </c>
      <c r="L25" s="363">
        <f t="shared" si="6"/>
        <v>3025845.7523263432</v>
      </c>
      <c r="M25" s="363">
        <f t="shared" si="6"/>
        <v>3004889.122123545</v>
      </c>
      <c r="N25" s="363">
        <f t="shared" si="6"/>
        <v>2983932.4919207469</v>
      </c>
      <c r="O25" s="363">
        <f t="shared" si="6"/>
        <v>2962975.8617179524</v>
      </c>
      <c r="P25" s="671">
        <f t="shared" si="6"/>
        <v>2942019.2315151542</v>
      </c>
      <c r="Q25" s="363">
        <f t="shared" si="6"/>
        <v>2921062.601312357</v>
      </c>
      <c r="R25" s="363">
        <f t="shared" si="6"/>
        <v>2900105.9711095616</v>
      </c>
      <c r="S25" s="363">
        <f t="shared" si="6"/>
        <v>2879149.3409067634</v>
      </c>
      <c r="T25" s="363">
        <f t="shared" si="6"/>
        <v>2858192.7107039671</v>
      </c>
      <c r="U25" s="363">
        <f t="shared" si="6"/>
        <v>2837236.080501169</v>
      </c>
      <c r="V25" s="363">
        <f t="shared" si="6"/>
        <v>2816279.4502983736</v>
      </c>
      <c r="W25" s="363">
        <f t="shared" si="6"/>
        <v>2795322.8200955763</v>
      </c>
      <c r="X25" s="363">
        <f t="shared" si="6"/>
        <v>2774366.1898927782</v>
      </c>
      <c r="AA25" s="704"/>
      <c r="AB25" s="708"/>
      <c r="AC25" s="708"/>
    </row>
    <row r="26" spans="2:31" ht="18">
      <c r="B26" s="114"/>
      <c r="C26" s="207"/>
      <c r="D26" s="365">
        <f>D25/D22</f>
        <v>0.24808057987900581</v>
      </c>
      <c r="E26" s="365">
        <f>E25/E22</f>
        <v>0.24973568116566347</v>
      </c>
      <c r="F26" s="365">
        <f t="shared" ref="F26:U26" si="7">F25/F22</f>
        <v>0.25143547408865025</v>
      </c>
      <c r="G26" s="365">
        <f t="shared" si="7"/>
        <v>0.25318179359116194</v>
      </c>
      <c r="H26" s="365">
        <f t="shared" si="7"/>
        <v>0.25497657646205019</v>
      </c>
      <c r="I26" s="365">
        <f t="shared" si="7"/>
        <v>0.25682186850122973</v>
      </c>
      <c r="J26" s="365">
        <f t="shared" si="7"/>
        <v>0.25871983229866918</v>
      </c>
      <c r="K26" s="365">
        <f t="shared" si="7"/>
        <v>0.26067275568915449</v>
      </c>
      <c r="L26" s="365">
        <f t="shared" si="7"/>
        <v>0.2626830609523203</v>
      </c>
      <c r="M26" s="365">
        <f t="shared" si="7"/>
        <v>0.26475331483573222</v>
      </c>
      <c r="N26" s="365">
        <f t="shared" si="7"/>
        <v>0.26688623948822937</v>
      </c>
      <c r="O26" s="365">
        <f t="shared" si="7"/>
        <v>0.26908472440144676</v>
      </c>
      <c r="P26" s="672">
        <f t="shared" si="7"/>
        <v>0.27135183946967478</v>
      </c>
      <c r="Q26" s="365">
        <f t="shared" si="7"/>
        <v>0.27369084929218346</v>
      </c>
      <c r="R26" s="365">
        <f t="shared" si="7"/>
        <v>0.27610522885813238</v>
      </c>
      <c r="S26" s="365">
        <f t="shared" si="7"/>
        <v>0.27859868077255162</v>
      </c>
      <c r="T26" s="365">
        <f t="shared" si="7"/>
        <v>0.28117515420298311</v>
      </c>
      <c r="U26" s="365">
        <f t="shared" si="7"/>
        <v>0.28383886575069145</v>
      </c>
      <c r="V26" s="114"/>
      <c r="W26" s="365"/>
      <c r="X26" s="114"/>
      <c r="AA26" s="704"/>
      <c r="AB26" s="708"/>
      <c r="AC26" s="708"/>
    </row>
    <row r="27" spans="2:31" ht="18">
      <c r="B27" s="114"/>
      <c r="C27" s="118"/>
      <c r="D27" s="348"/>
      <c r="E27" s="338"/>
      <c r="F27" s="338"/>
      <c r="G27" s="339"/>
      <c r="H27" s="338"/>
      <c r="I27" s="205"/>
      <c r="J27" s="205"/>
      <c r="K27" s="205"/>
      <c r="L27" s="205"/>
      <c r="M27" s="205"/>
      <c r="N27" s="205"/>
      <c r="O27" s="205"/>
      <c r="P27" s="670"/>
      <c r="Q27" s="205"/>
      <c r="R27" s="114"/>
      <c r="S27" s="205"/>
      <c r="T27" s="114"/>
      <c r="U27" s="205"/>
      <c r="V27" s="114"/>
      <c r="W27" s="205"/>
      <c r="X27" s="114"/>
      <c r="AA27" s="704"/>
      <c r="AB27" s="708"/>
      <c r="AC27" s="708"/>
    </row>
    <row r="28" spans="2:31" ht="18">
      <c r="B28" s="234"/>
      <c r="C28" s="207" t="s">
        <v>157</v>
      </c>
      <c r="D28" s="364">
        <f t="shared" ref="D28:O28" si="8">$AB$28*D15+$AC$28</f>
        <v>966628.42307692312</v>
      </c>
      <c r="E28" s="364">
        <f t="shared" si="8"/>
        <v>973815.98251748248</v>
      </c>
      <c r="F28" s="364">
        <f t="shared" si="8"/>
        <v>981003.54195804195</v>
      </c>
      <c r="G28" s="364">
        <f t="shared" si="8"/>
        <v>988191.10139860143</v>
      </c>
      <c r="H28" s="364">
        <f t="shared" si="8"/>
        <v>995378.6608391609</v>
      </c>
      <c r="I28" s="364">
        <f t="shared" si="8"/>
        <v>1002566.2202797203</v>
      </c>
      <c r="J28" s="364">
        <f t="shared" si="8"/>
        <v>1009753.7797202797</v>
      </c>
      <c r="K28" s="364">
        <f t="shared" si="8"/>
        <v>1016941.3391608392</v>
      </c>
      <c r="L28" s="364">
        <f t="shared" si="8"/>
        <v>1024128.8986013986</v>
      </c>
      <c r="M28" s="364">
        <f t="shared" si="8"/>
        <v>1031316.458041958</v>
      </c>
      <c r="N28" s="364">
        <f t="shared" si="8"/>
        <v>1038504.0174825175</v>
      </c>
      <c r="O28" s="364">
        <f t="shared" si="8"/>
        <v>1045691.576923077</v>
      </c>
      <c r="P28" s="669">
        <f t="shared" ref="P28:U28" si="9">$AB$28*P15+$AC$28</f>
        <v>1052879.1363636365</v>
      </c>
      <c r="Q28" s="364">
        <f t="shared" si="9"/>
        <v>1060066.6958041959</v>
      </c>
      <c r="R28" s="364">
        <f t="shared" si="9"/>
        <v>1067254.2552447552</v>
      </c>
      <c r="S28" s="364">
        <f t="shared" si="9"/>
        <v>1074441.8146853147</v>
      </c>
      <c r="T28" s="364">
        <f t="shared" si="9"/>
        <v>1081629.3741258741</v>
      </c>
      <c r="U28" s="364">
        <f t="shared" si="9"/>
        <v>1088816.9335664336</v>
      </c>
      <c r="V28" s="364">
        <f t="shared" ref="V28:X28" si="10">$AB$28*V15+$AC$28</f>
        <v>1096004.4930069931</v>
      </c>
      <c r="W28" s="364">
        <f t="shared" si="10"/>
        <v>1103192.0524475526</v>
      </c>
      <c r="X28" s="364">
        <f t="shared" si="10"/>
        <v>1110379.611888112</v>
      </c>
      <c r="AA28" s="704"/>
      <c r="AB28" s="707" cm="1">
        <f t="array" ref="AB28:AC28">LINEST('LTM P&amp;L'!D30:O30,'LTM P&amp;L'!$D$17:$O$17)</f>
        <v>7187.5594405594411</v>
      </c>
      <c r="AC28" s="707">
        <v>959440.86363636365</v>
      </c>
    </row>
    <row r="29" spans="2:31" ht="22">
      <c r="B29" s="252"/>
      <c r="C29" s="207" t="s">
        <v>154</v>
      </c>
      <c r="D29" s="364">
        <f t="shared" ref="D29:O29" si="11">$AB$29*D15+$AC$29</f>
        <v>786597.1794871795</v>
      </c>
      <c r="E29" s="364">
        <f t="shared" si="11"/>
        <v>787433.25291375292</v>
      </c>
      <c r="F29" s="364">
        <f t="shared" si="11"/>
        <v>788269.32634032634</v>
      </c>
      <c r="G29" s="364">
        <f t="shared" si="11"/>
        <v>789105.39976689976</v>
      </c>
      <c r="H29" s="364">
        <f t="shared" si="11"/>
        <v>789941.47319347318</v>
      </c>
      <c r="I29" s="364">
        <f t="shared" si="11"/>
        <v>790777.5466200466</v>
      </c>
      <c r="J29" s="364">
        <f t="shared" si="11"/>
        <v>791613.62004662002</v>
      </c>
      <c r="K29" s="364">
        <f t="shared" si="11"/>
        <v>792449.69347319345</v>
      </c>
      <c r="L29" s="364">
        <f t="shared" si="11"/>
        <v>793285.76689976687</v>
      </c>
      <c r="M29" s="364">
        <f t="shared" si="11"/>
        <v>794121.84032634029</v>
      </c>
      <c r="N29" s="364">
        <f t="shared" si="11"/>
        <v>794957.91375291382</v>
      </c>
      <c r="O29" s="364">
        <f t="shared" si="11"/>
        <v>795793.98717948725</v>
      </c>
      <c r="P29" s="669">
        <f t="shared" ref="P29:U29" si="12">$AB$29*P15+$AC$29</f>
        <v>796630.06060606067</v>
      </c>
      <c r="Q29" s="364">
        <f t="shared" si="12"/>
        <v>797466.13403263409</v>
      </c>
      <c r="R29" s="364">
        <f t="shared" si="12"/>
        <v>798302.20745920751</v>
      </c>
      <c r="S29" s="364">
        <f t="shared" si="12"/>
        <v>799138.28088578093</v>
      </c>
      <c r="T29" s="364">
        <f t="shared" si="12"/>
        <v>799974.35431235435</v>
      </c>
      <c r="U29" s="364">
        <f t="shared" si="12"/>
        <v>800810.42773892777</v>
      </c>
      <c r="V29" s="364">
        <f t="shared" ref="V29:X29" si="13">$AB$29*V15+$AC$29</f>
        <v>801646.50116550119</v>
      </c>
      <c r="W29" s="364">
        <f t="shared" si="13"/>
        <v>802482.57459207461</v>
      </c>
      <c r="X29" s="364">
        <f t="shared" si="13"/>
        <v>803318.64801864803</v>
      </c>
      <c r="AA29" s="704"/>
      <c r="AB29" s="707" cm="1">
        <f t="array" ref="AB29:AC29">LINEST('LTM P&amp;L'!D31:O31,'LTM P&amp;L'!$D$17:$O$17)</f>
        <v>836.07342657342645</v>
      </c>
      <c r="AC29" s="707">
        <v>785761.10606060608</v>
      </c>
    </row>
    <row r="30" spans="2:31" ht="18">
      <c r="B30" s="234"/>
      <c r="C30" s="207" t="s">
        <v>155</v>
      </c>
      <c r="D30" s="364">
        <f t="shared" ref="D30:O30" si="14">$AB$30*D15+$AC$30</f>
        <v>794027.29487179499</v>
      </c>
      <c r="E30" s="364">
        <f t="shared" si="14"/>
        <v>794158.80186480191</v>
      </c>
      <c r="F30" s="364">
        <f t="shared" si="14"/>
        <v>794290.30885780894</v>
      </c>
      <c r="G30" s="364">
        <f t="shared" si="14"/>
        <v>794421.81585081597</v>
      </c>
      <c r="H30" s="364">
        <f t="shared" si="14"/>
        <v>794553.32284382288</v>
      </c>
      <c r="I30" s="364">
        <f t="shared" si="14"/>
        <v>794684.82983682991</v>
      </c>
      <c r="J30" s="364">
        <f t="shared" si="14"/>
        <v>794816.33682983695</v>
      </c>
      <c r="K30" s="364">
        <f t="shared" si="14"/>
        <v>794947.84382284386</v>
      </c>
      <c r="L30" s="364">
        <f t="shared" si="14"/>
        <v>795079.35081585089</v>
      </c>
      <c r="M30" s="364">
        <f t="shared" si="14"/>
        <v>795210.85780885792</v>
      </c>
      <c r="N30" s="364">
        <f t="shared" si="14"/>
        <v>795342.36480186484</v>
      </c>
      <c r="O30" s="364">
        <f t="shared" si="14"/>
        <v>795473.87179487187</v>
      </c>
      <c r="P30" s="669">
        <f t="shared" ref="P30:U30" si="15">$AB$30*P15+$AC$30</f>
        <v>795605.3787878789</v>
      </c>
      <c r="Q30" s="364">
        <f t="shared" si="15"/>
        <v>795736.88578088582</v>
      </c>
      <c r="R30" s="364">
        <f t="shared" si="15"/>
        <v>795868.39277389285</v>
      </c>
      <c r="S30" s="364">
        <f t="shared" si="15"/>
        <v>795999.89976689988</v>
      </c>
      <c r="T30" s="364">
        <f t="shared" si="15"/>
        <v>796131.40675990679</v>
      </c>
      <c r="U30" s="364">
        <f t="shared" si="15"/>
        <v>796262.91375291382</v>
      </c>
      <c r="V30" s="364">
        <f t="shared" ref="V30:X30" si="16">$AB$30*V15+$AC$30</f>
        <v>796394.42074592086</v>
      </c>
      <c r="W30" s="364">
        <f t="shared" si="16"/>
        <v>796525.92773892777</v>
      </c>
      <c r="X30" s="364">
        <f t="shared" si="16"/>
        <v>796657.4347319348</v>
      </c>
      <c r="AA30" s="704"/>
      <c r="AB30" s="707" cm="1">
        <f t="array" ref="AB30:AC30">LINEST('LTM P&amp;L'!D32:O32,'LTM P&amp;L'!$D$17:$O$17)</f>
        <v>131.50699300699316</v>
      </c>
      <c r="AC30" s="707">
        <v>793895.78787878796</v>
      </c>
    </row>
    <row r="31" spans="2:31" ht="18">
      <c r="B31" s="234"/>
      <c r="C31" s="207"/>
      <c r="D31" s="532">
        <f>SUM(D28:D30)</f>
        <v>2547252.8974358975</v>
      </c>
      <c r="E31" s="532">
        <f t="shared" ref="E31:O31" si="17">SUM(E28:E30)</f>
        <v>2555408.0372960372</v>
      </c>
      <c r="F31" s="532">
        <f t="shared" si="17"/>
        <v>2563563.1771561773</v>
      </c>
      <c r="G31" s="532">
        <f t="shared" si="17"/>
        <v>2571718.3170163175</v>
      </c>
      <c r="H31" s="532">
        <f t="shared" si="17"/>
        <v>2579873.4568764567</v>
      </c>
      <c r="I31" s="532">
        <f t="shared" si="17"/>
        <v>2588028.5967365969</v>
      </c>
      <c r="J31" s="532">
        <f t="shared" si="17"/>
        <v>2596183.7365967366</v>
      </c>
      <c r="K31" s="532">
        <f t="shared" si="17"/>
        <v>2604338.8764568763</v>
      </c>
      <c r="L31" s="532">
        <f t="shared" si="17"/>
        <v>2612494.0163170164</v>
      </c>
      <c r="M31" s="532">
        <f t="shared" si="17"/>
        <v>2620649.1561771566</v>
      </c>
      <c r="N31" s="532">
        <f t="shared" si="17"/>
        <v>2628804.2960372958</v>
      </c>
      <c r="O31" s="532">
        <f t="shared" si="17"/>
        <v>2636959.435897436</v>
      </c>
      <c r="P31" s="673"/>
      <c r="Q31" s="532"/>
      <c r="R31" s="234"/>
      <c r="S31" s="532"/>
      <c r="T31" s="234"/>
      <c r="U31" s="532"/>
      <c r="V31" s="234"/>
      <c r="W31" s="532"/>
      <c r="X31" s="234"/>
      <c r="AA31" s="704"/>
      <c r="AB31" s="708"/>
      <c r="AC31" s="707"/>
    </row>
    <row r="32" spans="2:31" ht="18">
      <c r="B32" s="234"/>
      <c r="C32" s="371" t="s">
        <v>182</v>
      </c>
      <c r="D32" s="363">
        <f>+D25-SUM(D28:D30)</f>
        <v>646245.89651281806</v>
      </c>
      <c r="E32" s="363">
        <f>+E25-SUM(E28:E30)</f>
        <v>617134.12644988392</v>
      </c>
      <c r="F32" s="363">
        <f t="shared" ref="F32:X32" si="18">+F25-SUM(F28:F30)</f>
        <v>588022.35638694558</v>
      </c>
      <c r="G32" s="363">
        <f t="shared" si="18"/>
        <v>558910.58632400911</v>
      </c>
      <c r="H32" s="363">
        <f t="shared" si="18"/>
        <v>529798.81626107171</v>
      </c>
      <c r="I32" s="363">
        <f t="shared" si="18"/>
        <v>500687.04619813524</v>
      </c>
      <c r="J32" s="363">
        <f t="shared" si="18"/>
        <v>471575.27613519924</v>
      </c>
      <c r="K32" s="363">
        <f t="shared" si="18"/>
        <v>442463.50607226137</v>
      </c>
      <c r="L32" s="363">
        <f t="shared" si="18"/>
        <v>413351.73600932676</v>
      </c>
      <c r="M32" s="363">
        <f t="shared" si="18"/>
        <v>384239.96594638843</v>
      </c>
      <c r="N32" s="363">
        <f t="shared" si="18"/>
        <v>355128.19588345103</v>
      </c>
      <c r="O32" s="363">
        <f t="shared" si="18"/>
        <v>326016.42582051642</v>
      </c>
      <c r="P32" s="671">
        <f t="shared" si="18"/>
        <v>296904.65575757809</v>
      </c>
      <c r="Q32" s="363">
        <f t="shared" si="18"/>
        <v>267792.88569464115</v>
      </c>
      <c r="R32" s="363">
        <f t="shared" si="18"/>
        <v>238681.11563170608</v>
      </c>
      <c r="S32" s="363">
        <f t="shared" si="18"/>
        <v>209569.34556876775</v>
      </c>
      <c r="T32" s="363">
        <f t="shared" si="18"/>
        <v>180457.57550583221</v>
      </c>
      <c r="U32" s="363">
        <f t="shared" si="18"/>
        <v>151345.80544289388</v>
      </c>
      <c r="V32" s="363">
        <f t="shared" si="18"/>
        <v>122234.03537995834</v>
      </c>
      <c r="W32" s="363">
        <f t="shared" si="18"/>
        <v>93122.265317021403</v>
      </c>
      <c r="X32" s="363">
        <f t="shared" si="18"/>
        <v>64010.495254083537</v>
      </c>
      <c r="AA32" s="704"/>
      <c r="AB32" s="708"/>
      <c r="AC32" s="707"/>
    </row>
    <row r="33" spans="2:31" ht="19">
      <c r="B33" s="234"/>
      <c r="C33" s="207"/>
      <c r="D33" s="346"/>
      <c r="E33" s="338"/>
      <c r="F33" s="338"/>
      <c r="G33" s="339"/>
      <c r="H33" s="338"/>
      <c r="I33" s="205"/>
      <c r="J33" s="345"/>
      <c r="K33" s="336"/>
      <c r="L33" s="349"/>
      <c r="M33" s="349"/>
      <c r="N33" s="350"/>
      <c r="O33" s="350"/>
      <c r="P33" s="673"/>
      <c r="Q33" s="350"/>
      <c r="R33" s="234"/>
      <c r="S33" s="350"/>
      <c r="T33" s="234"/>
      <c r="U33" s="350"/>
      <c r="V33" s="234"/>
      <c r="W33" s="350"/>
      <c r="X33" s="234"/>
      <c r="AA33" s="704"/>
      <c r="AB33" s="708"/>
      <c r="AC33" s="707"/>
    </row>
    <row r="34" spans="2:31" ht="18">
      <c r="B34" s="234"/>
      <c r="C34" s="207" t="s">
        <v>158</v>
      </c>
      <c r="D34" s="364">
        <f t="shared" ref="D34:O34" si="19">$AB$34*D15+$AC$34</f>
        <v>1219111.8333333333</v>
      </c>
      <c r="E34" s="364">
        <f t="shared" si="19"/>
        <v>1218522.2878787878</v>
      </c>
      <c r="F34" s="364">
        <f t="shared" si="19"/>
        <v>1217932.7424242422</v>
      </c>
      <c r="G34" s="364">
        <f t="shared" si="19"/>
        <v>1217343.1969696968</v>
      </c>
      <c r="H34" s="364">
        <f t="shared" si="19"/>
        <v>1216753.6515151514</v>
      </c>
      <c r="I34" s="364">
        <f t="shared" si="19"/>
        <v>1216164.106060606</v>
      </c>
      <c r="J34" s="364">
        <f t="shared" si="19"/>
        <v>1215574.5606060605</v>
      </c>
      <c r="K34" s="364">
        <f t="shared" si="19"/>
        <v>1214985.0151515151</v>
      </c>
      <c r="L34" s="364">
        <f t="shared" si="19"/>
        <v>1214395.4696969695</v>
      </c>
      <c r="M34" s="364">
        <f t="shared" si="19"/>
        <v>1213805.9242424241</v>
      </c>
      <c r="N34" s="364">
        <f t="shared" si="19"/>
        <v>1213216.3787878787</v>
      </c>
      <c r="O34" s="364">
        <f t="shared" si="19"/>
        <v>1212626.8333333333</v>
      </c>
      <c r="P34" s="669">
        <f t="shared" ref="P34:X34" si="20">$AB$34*P15+$AC$34</f>
        <v>1212037.2878787878</v>
      </c>
      <c r="Q34" s="364">
        <f t="shared" si="20"/>
        <v>1211447.7424242422</v>
      </c>
      <c r="R34" s="364">
        <f t="shared" si="20"/>
        <v>1210858.1969696968</v>
      </c>
      <c r="S34" s="364">
        <f t="shared" si="20"/>
        <v>1210268.6515151514</v>
      </c>
      <c r="T34" s="364">
        <f t="shared" si="20"/>
        <v>1209679.106060606</v>
      </c>
      <c r="U34" s="364">
        <f t="shared" si="20"/>
        <v>1209089.5606060605</v>
      </c>
      <c r="V34" s="364">
        <f t="shared" si="20"/>
        <v>1208500.0151515151</v>
      </c>
      <c r="W34" s="364">
        <f t="shared" si="20"/>
        <v>1207910.4696969695</v>
      </c>
      <c r="X34" s="364">
        <f t="shared" si="20"/>
        <v>1207320.9242424241</v>
      </c>
      <c r="AA34" s="704"/>
      <c r="AB34" s="707" cm="1">
        <f t="array" ref="AB34:AC34">LINEST('LTM P&amp;L'!D36:O36,'LTM P&amp;L'!$D$17:$O$17)</f>
        <v>-589.54545454545439</v>
      </c>
      <c r="AC34" s="707">
        <v>1219701.3787878787</v>
      </c>
    </row>
    <row r="35" spans="2:31" ht="18">
      <c r="B35" s="114"/>
      <c r="C35" s="207" t="s">
        <v>159</v>
      </c>
      <c r="D35" s="364">
        <f t="shared" ref="D35:O35" si="21">$AB$35*D15+$AC$35</f>
        <v>1213749.2307692308</v>
      </c>
      <c r="E35" s="364">
        <f t="shared" si="21"/>
        <v>1213989.8706293704</v>
      </c>
      <c r="F35" s="364">
        <f t="shared" si="21"/>
        <v>1214230.5104895104</v>
      </c>
      <c r="G35" s="364">
        <f t="shared" si="21"/>
        <v>1214471.1503496503</v>
      </c>
      <c r="H35" s="364">
        <f t="shared" si="21"/>
        <v>1214711.7902097902</v>
      </c>
      <c r="I35" s="364">
        <f t="shared" si="21"/>
        <v>1214952.4300699299</v>
      </c>
      <c r="J35" s="364">
        <f t="shared" si="21"/>
        <v>1215193.0699300698</v>
      </c>
      <c r="K35" s="364">
        <f t="shared" si="21"/>
        <v>1215433.7097902098</v>
      </c>
      <c r="L35" s="364">
        <f t="shared" si="21"/>
        <v>1215674.3496503495</v>
      </c>
      <c r="M35" s="364">
        <f t="shared" si="21"/>
        <v>1215914.9895104894</v>
      </c>
      <c r="N35" s="364">
        <f t="shared" si="21"/>
        <v>1216155.6293706293</v>
      </c>
      <c r="O35" s="364">
        <f t="shared" si="21"/>
        <v>1216396.2692307692</v>
      </c>
      <c r="P35" s="669">
        <f t="shared" ref="P35:X35" si="22">$AB$35*P15+$AC$35</f>
        <v>1216636.9090909089</v>
      </c>
      <c r="Q35" s="364">
        <f t="shared" si="22"/>
        <v>1216877.5489510489</v>
      </c>
      <c r="R35" s="364">
        <f t="shared" si="22"/>
        <v>1217118.1888111888</v>
      </c>
      <c r="S35" s="364">
        <f t="shared" si="22"/>
        <v>1217358.8286713285</v>
      </c>
      <c r="T35" s="364">
        <f t="shared" si="22"/>
        <v>1217599.4685314684</v>
      </c>
      <c r="U35" s="364">
        <f t="shared" si="22"/>
        <v>1217840.1083916083</v>
      </c>
      <c r="V35" s="364">
        <f t="shared" si="22"/>
        <v>1218080.7482517483</v>
      </c>
      <c r="W35" s="364">
        <f t="shared" si="22"/>
        <v>1218321.388111888</v>
      </c>
      <c r="X35" s="364">
        <f t="shared" si="22"/>
        <v>1218562.0279720279</v>
      </c>
      <c r="AA35" s="704"/>
      <c r="AB35" s="707" cm="1">
        <f t="array" ref="AB35:AC35">LINEST('LTM P&amp;L'!D37:O37,'LTM P&amp;L'!$D$17:$O$17)</f>
        <v>240.63986013986047</v>
      </c>
      <c r="AC35" s="707">
        <v>1213508.5909090908</v>
      </c>
    </row>
    <row r="36" spans="2:31" ht="19">
      <c r="B36" s="114"/>
      <c r="C36" s="207"/>
      <c r="D36" s="346"/>
      <c r="E36" s="353"/>
      <c r="F36" s="353"/>
      <c r="G36" s="354"/>
      <c r="H36" s="353"/>
      <c r="I36" s="205"/>
      <c r="J36" s="345"/>
      <c r="K36" s="272"/>
      <c r="L36" s="272"/>
      <c r="M36" s="272"/>
      <c r="N36" s="272"/>
      <c r="O36" s="272"/>
      <c r="P36" s="673"/>
      <c r="Q36" s="272"/>
      <c r="R36" s="234"/>
      <c r="S36" s="272"/>
      <c r="T36" s="234"/>
      <c r="U36" s="272"/>
      <c r="V36" s="234"/>
      <c r="W36" s="272"/>
      <c r="X36" s="234"/>
      <c r="AA36" s="704"/>
      <c r="AB36" s="708"/>
      <c r="AC36" s="707"/>
    </row>
    <row r="37" spans="2:31" ht="18">
      <c r="B37" s="234"/>
      <c r="C37" s="371" t="s">
        <v>183</v>
      </c>
      <c r="D37" s="363">
        <f>+D32+D34-D35</f>
        <v>651608.49907692056</v>
      </c>
      <c r="E37" s="363">
        <f>+E32+E34-E35</f>
        <v>621666.54369930131</v>
      </c>
      <c r="F37" s="363">
        <f t="shared" ref="F37:X37" si="23">+F32+F34-F35</f>
        <v>591724.58832167741</v>
      </c>
      <c r="G37" s="363">
        <f t="shared" si="23"/>
        <v>561782.6329440556</v>
      </c>
      <c r="H37" s="363">
        <f t="shared" si="23"/>
        <v>531840.67756643286</v>
      </c>
      <c r="I37" s="363">
        <f t="shared" si="23"/>
        <v>501898.72218881128</v>
      </c>
      <c r="J37" s="363">
        <f t="shared" si="23"/>
        <v>471956.76681118994</v>
      </c>
      <c r="K37" s="363">
        <f t="shared" si="23"/>
        <v>442014.81143356673</v>
      </c>
      <c r="L37" s="363">
        <f t="shared" si="23"/>
        <v>412072.85605594679</v>
      </c>
      <c r="M37" s="363">
        <f t="shared" si="23"/>
        <v>382130.90067832312</v>
      </c>
      <c r="N37" s="363">
        <f t="shared" si="23"/>
        <v>352188.94530070038</v>
      </c>
      <c r="O37" s="363">
        <f t="shared" si="23"/>
        <v>322246.98992308043</v>
      </c>
      <c r="P37" s="671">
        <f t="shared" si="23"/>
        <v>292305.03454545699</v>
      </c>
      <c r="Q37" s="363">
        <f t="shared" si="23"/>
        <v>262363.07916783448</v>
      </c>
      <c r="R37" s="363">
        <f t="shared" si="23"/>
        <v>232421.12379021407</v>
      </c>
      <c r="S37" s="363">
        <f t="shared" si="23"/>
        <v>202479.16841259063</v>
      </c>
      <c r="T37" s="363">
        <f t="shared" si="23"/>
        <v>172537.21303496975</v>
      </c>
      <c r="U37" s="363">
        <f t="shared" si="23"/>
        <v>142595.25765734608</v>
      </c>
      <c r="V37" s="363">
        <f t="shared" si="23"/>
        <v>112653.30227972521</v>
      </c>
      <c r="W37" s="363">
        <f t="shared" si="23"/>
        <v>82711.34690210293</v>
      </c>
      <c r="X37" s="363">
        <f t="shared" si="23"/>
        <v>52769.391524479724</v>
      </c>
      <c r="AA37" s="704"/>
      <c r="AB37" s="709"/>
      <c r="AC37" s="709"/>
    </row>
    <row r="38" spans="2:31" ht="22">
      <c r="B38" s="252"/>
      <c r="C38" s="306"/>
      <c r="D38" s="336"/>
      <c r="E38" s="336"/>
      <c r="F38" s="352"/>
      <c r="G38" s="352"/>
      <c r="H38" s="352"/>
      <c r="I38" s="205"/>
      <c r="J38" s="345"/>
      <c r="K38" s="336"/>
      <c r="L38" s="351"/>
      <c r="M38" s="352"/>
      <c r="N38" s="345"/>
      <c r="O38" s="345"/>
      <c r="P38" s="234"/>
      <c r="Q38" s="345"/>
      <c r="R38" s="234"/>
      <c r="S38" s="345"/>
      <c r="T38" s="234"/>
      <c r="U38" s="345"/>
      <c r="V38" s="234"/>
      <c r="W38" s="345"/>
      <c r="X38" s="234"/>
      <c r="AA38" s="704"/>
      <c r="AB38" s="709"/>
      <c r="AC38" s="709"/>
    </row>
    <row r="39" spans="2:31" s="344" customFormat="1"/>
    <row r="40" spans="2:31" s="344" customFormat="1"/>
    <row r="41" spans="2:31" s="114" customFormat="1" ht="16" thickBot="1">
      <c r="B41" s="234"/>
      <c r="C41" s="251"/>
      <c r="D41" s="205"/>
      <c r="E41" s="205"/>
      <c r="F41" s="205"/>
      <c r="G41" s="205"/>
      <c r="H41" s="205"/>
      <c r="I41" s="205"/>
      <c r="J41" s="205"/>
      <c r="K41" s="205"/>
      <c r="L41" s="205"/>
      <c r="M41" s="205"/>
      <c r="N41" s="205"/>
      <c r="O41" s="762"/>
      <c r="P41" s="762"/>
      <c r="R41" s="630"/>
      <c r="S41" s="630"/>
      <c r="Y41" s="236"/>
      <c r="Z41" s="236"/>
      <c r="AA41" s="236"/>
    </row>
    <row r="42" spans="2:31" s="204" customFormat="1" ht="26" thickBot="1">
      <c r="B42" s="252"/>
      <c r="C42" s="366" t="s">
        <v>452</v>
      </c>
      <c r="D42" s="367"/>
      <c r="E42" s="367"/>
      <c r="F42" s="367"/>
      <c r="G42" s="562" t="s">
        <v>453</v>
      </c>
      <c r="H42" s="804" t="s">
        <v>457</v>
      </c>
      <c r="I42" s="805"/>
      <c r="J42" s="806"/>
      <c r="K42" s="367"/>
      <c r="L42" s="367"/>
      <c r="M42" s="367"/>
      <c r="N42" s="367"/>
      <c r="O42" s="368"/>
      <c r="P42" s="231">
        <v>2025</v>
      </c>
      <c r="R42" s="652"/>
      <c r="S42" s="652"/>
      <c r="Y42" s="244"/>
      <c r="Z42" s="244"/>
      <c r="AA42" s="244"/>
    </row>
    <row r="43" spans="2:31" ht="33.5" customHeight="1">
      <c r="B43" s="234"/>
      <c r="C43" s="369"/>
      <c r="D43" s="370" t="s">
        <v>17</v>
      </c>
      <c r="E43" s="370" t="s">
        <v>18</v>
      </c>
      <c r="F43" s="370" t="s">
        <v>19</v>
      </c>
      <c r="G43" s="370" t="s">
        <v>20</v>
      </c>
      <c r="H43" s="370" t="s">
        <v>21</v>
      </c>
      <c r="I43" s="370" t="s">
        <v>22</v>
      </c>
      <c r="J43" s="370" t="s">
        <v>23</v>
      </c>
      <c r="K43" s="370" t="s">
        <v>24</v>
      </c>
      <c r="L43" s="370" t="s">
        <v>25</v>
      </c>
      <c r="M43" s="370" t="s">
        <v>26</v>
      </c>
      <c r="N43" s="370" t="s">
        <v>27</v>
      </c>
      <c r="O43" s="370" t="s">
        <v>28</v>
      </c>
      <c r="P43" s="370" t="s">
        <v>17</v>
      </c>
      <c r="Q43" s="370" t="s">
        <v>18</v>
      </c>
      <c r="R43" s="370" t="s">
        <v>19</v>
      </c>
      <c r="S43" s="370" t="s">
        <v>20</v>
      </c>
      <c r="T43" s="370" t="s">
        <v>21</v>
      </c>
      <c r="U43" s="370" t="s">
        <v>22</v>
      </c>
      <c r="V43" s="370" t="s">
        <v>23</v>
      </c>
      <c r="W43" s="370" t="s">
        <v>24</v>
      </c>
      <c r="X43" s="370" t="s">
        <v>25</v>
      </c>
    </row>
    <row r="44" spans="2:31" ht="18">
      <c r="B44" s="234"/>
      <c r="C44" s="207" t="s">
        <v>98</v>
      </c>
      <c r="D44" s="364">
        <f>+_xlfn.FORECAST.ETS(D15,'LTM P&amp;L'!$D24:$O24,'LTM P&amp;L'!$D17:$O17)</f>
        <v>12910887.443330614</v>
      </c>
      <c r="E44" s="364">
        <f>+_xlfn.FORECAST.ETS(E15,'LTM P&amp;L'!$D24:$O24,'LTM P&amp;L'!$D17:$O17)</f>
        <v>12738282.052311489</v>
      </c>
      <c r="F44" s="364">
        <f>+_xlfn.FORECAST.ETS(F15,'LTM P&amp;L'!$D24:$O24,'LTM P&amp;L'!$D17:$O17)</f>
        <v>12565676.661292363</v>
      </c>
      <c r="G44" s="364">
        <f>+_xlfn.FORECAST.ETS(G15,'LTM P&amp;L'!$D24:$O24,'LTM P&amp;L'!$D17:$O17)</f>
        <v>12393071.270273238</v>
      </c>
      <c r="H44" s="364">
        <f>+_xlfn.FORECAST.ETS(H15,'LTM P&amp;L'!$D24:$O24,'LTM P&amp;L'!$D17:$O17)</f>
        <v>12220465.879254114</v>
      </c>
      <c r="I44" s="364">
        <f>+_xlfn.FORECAST.ETS(I15,'LTM P&amp;L'!$D24:$O24,'LTM P&amp;L'!$D17:$O17)</f>
        <v>12047860.488234989</v>
      </c>
      <c r="J44" s="364">
        <f>+_xlfn.FORECAST.ETS(J15,'LTM P&amp;L'!$D24:$O24,'LTM P&amp;L'!$D17:$O17)</f>
        <v>11875255.097215865</v>
      </c>
      <c r="K44" s="364">
        <f>+_xlfn.FORECAST.ETS(K15,'LTM P&amp;L'!$D24:$O24,'LTM P&amp;L'!$D17:$O17)</f>
        <v>11702649.70619674</v>
      </c>
      <c r="L44" s="364">
        <f>+_xlfn.FORECAST.ETS(L15,'LTM P&amp;L'!$D24:$O24,'LTM P&amp;L'!$D17:$O17)</f>
        <v>11530044.315177616</v>
      </c>
      <c r="M44" s="364">
        <f>+_xlfn.FORECAST.ETS(M15,'LTM P&amp;L'!$D24:$O24,'LTM P&amp;L'!$D17:$O17)</f>
        <v>11357438.924158491</v>
      </c>
      <c r="N44" s="364">
        <f>+_xlfn.FORECAST.ETS(N15,'LTM P&amp;L'!$D24:$O24,'LTM P&amp;L'!$D17:$O17)</f>
        <v>11184833.533139367</v>
      </c>
      <c r="O44" s="364">
        <f>+_xlfn.FORECAST.ETS(O15,'LTM P&amp;L'!$D24:$O24,'LTM P&amp;L'!$D17:$O17)</f>
        <v>11012228.142120242</v>
      </c>
      <c r="P44" s="364">
        <f>+_xlfn.FORECAST.ETS(P15,'LTM P&amp;L'!$D24:$O24,'LTM P&amp;L'!$D17:$O17)</f>
        <v>10839622.751101118</v>
      </c>
      <c r="Q44" s="364">
        <f>+_xlfn.FORECAST.ETS(Q15,'LTM P&amp;L'!$D24:$O24,'LTM P&amp;L'!$D17:$O17)</f>
        <v>10667017.360081993</v>
      </c>
      <c r="R44" s="364">
        <f>+_xlfn.FORECAST.ETS(R15,'LTM P&amp;L'!$D24:$O24,'LTM P&amp;L'!$D17:$O17)</f>
        <v>10494411.969062869</v>
      </c>
      <c r="S44" s="364">
        <f>+_xlfn.FORECAST.ETS(S15,'LTM P&amp;L'!$D24:$O24,'LTM P&amp;L'!$D17:$O17)</f>
        <v>10321806.578043744</v>
      </c>
      <c r="T44" s="364">
        <f>+_xlfn.FORECAST.ETS(T15,'LTM P&amp;L'!$D24:$O24,'LTM P&amp;L'!$D17:$O17)</f>
        <v>10149201.187024619</v>
      </c>
      <c r="U44" s="364">
        <f>+_xlfn.FORECAST.ETS(U15,'LTM P&amp;L'!$D24:$O24,'LTM P&amp;L'!$D17:$O17)</f>
        <v>9976595.7960054949</v>
      </c>
      <c r="V44" s="364">
        <f>+_xlfn.FORECAST.ETS(V15,'LTM P&amp;L'!$D24:$O24,'LTM P&amp;L'!$D17:$O17)</f>
        <v>9803990.4049863704</v>
      </c>
      <c r="W44" s="364">
        <f>+_xlfn.FORECAST.ETS(W15,'LTM P&amp;L'!$D24:$O24,'LTM P&amp;L'!$D17:$O17)</f>
        <v>9631385.0139672458</v>
      </c>
      <c r="X44" s="364">
        <f>+_xlfn.FORECAST.ETS(X15,'LTM P&amp;L'!$D24:$O24,'LTM P&amp;L'!$D17:$O17)</f>
        <v>9458779.6229481213</v>
      </c>
      <c r="Y44" s="564"/>
      <c r="Z44" s="564"/>
      <c r="AA44" s="564"/>
      <c r="AB44" s="564"/>
      <c r="AC44" s="564"/>
      <c r="AD44" s="564"/>
      <c r="AE44" s="564"/>
    </row>
    <row r="45" spans="2:31" ht="18">
      <c r="B45" s="234"/>
      <c r="C45" s="207" t="s">
        <v>143</v>
      </c>
      <c r="D45" s="364">
        <f>+_xlfn.FORECAST.ETS(D$15,'LTM P&amp;L'!$D25:$O25,'LTM P&amp;L'!$D$17:$O$17)</f>
        <v>10231171.003311593</v>
      </c>
      <c r="E45" s="364">
        <f>+_xlfn.FORECAST.ETS(E15,'LTM P&amp;L'!$D25:$O25,'LTM P&amp;L'!$D17:$O17)</f>
        <v>9487823.7334452998</v>
      </c>
      <c r="F45" s="364">
        <f>+_xlfn.FORECAST.ETS(F15,'LTM P&amp;L'!$D25:$O25,'LTM P&amp;L'!$D17:$O17)</f>
        <v>8361606.0150489639</v>
      </c>
      <c r="G45" s="364">
        <f>+_xlfn.FORECAST.ETS(G15,'LTM P&amp;L'!$D25:$O25,'LTM P&amp;L'!$D17:$O17)</f>
        <v>9922150.4618521687</v>
      </c>
      <c r="H45" s="364">
        <f>+_xlfn.FORECAST.ETS(H15,'LTM P&amp;L'!$D25:$O25,'LTM P&amp;L'!$D17:$O17)</f>
        <v>9178803.1919858754</v>
      </c>
      <c r="I45" s="364">
        <f>+_xlfn.FORECAST.ETS(I15,'LTM P&amp;L'!$D25:$O25,'LTM P&amp;L'!$D17:$O17)</f>
        <v>8052585.4735895395</v>
      </c>
      <c r="J45" s="364">
        <f>+_xlfn.FORECAST.ETS(J15,'LTM P&amp;L'!$D25:$O25,'LTM P&amp;L'!$D17:$O17)</f>
        <v>9613129.9203927442</v>
      </c>
      <c r="K45" s="364">
        <f>+_xlfn.FORECAST.ETS(K15,'LTM P&amp;L'!$D25:$O25,'LTM P&amp;L'!$D17:$O17)</f>
        <v>8869782.6505264491</v>
      </c>
      <c r="L45" s="364">
        <f>+_xlfn.FORECAST.ETS(L15,'LTM P&amp;L'!$D25:$O25,'LTM P&amp;L'!$D17:$O17)</f>
        <v>7743564.9321301151</v>
      </c>
      <c r="M45" s="364">
        <f>+_xlfn.FORECAST.ETS(M15,'LTM P&amp;L'!$D25:$O25,'LTM P&amp;L'!$D17:$O17)</f>
        <v>9304109.3789333198</v>
      </c>
      <c r="N45" s="364">
        <f>+_xlfn.FORECAST.ETS(N15,'LTM P&amp;L'!$D25:$O25,'LTM P&amp;L'!$D17:$O17)</f>
        <v>8560762.1090670247</v>
      </c>
      <c r="O45" s="364">
        <f>+_xlfn.FORECAST.ETS(O15,'LTM P&amp;L'!$D25:$O25,'LTM P&amp;L'!$D17:$O17)</f>
        <v>7434544.3906706898</v>
      </c>
      <c r="P45" s="364">
        <f>+_xlfn.FORECAST.ETS(P15,'LTM P&amp;L'!$D25:$O25,'LTM P&amp;L'!$D17:$O17)</f>
        <v>8995088.8374738954</v>
      </c>
      <c r="Q45" s="364">
        <f>+_xlfn.FORECAST.ETS(Q15,'LTM P&amp;L'!$D25:$O25,'LTM P&amp;L'!$D17:$O17)</f>
        <v>8251741.5676076012</v>
      </c>
      <c r="R45" s="364">
        <f>+_xlfn.FORECAST.ETS(R15,'LTM P&amp;L'!$D25:$O25,'LTM P&amp;L'!$D17:$O17)</f>
        <v>7125523.8492112653</v>
      </c>
      <c r="S45" s="364">
        <f>+_xlfn.FORECAST.ETS(S15,'LTM P&amp;L'!$D25:$O25,'LTM P&amp;L'!$D17:$O17)</f>
        <v>8686068.2960144691</v>
      </c>
      <c r="T45" s="364">
        <f>+_xlfn.FORECAST.ETS(T15,'LTM P&amp;L'!$D25:$O25,'LTM P&amp;L'!$D17:$O17)</f>
        <v>7942721.0261481768</v>
      </c>
      <c r="U45" s="364">
        <f>+_xlfn.FORECAST.ETS(U15,'LTM P&amp;L'!$D25:$O25,'LTM P&amp;L'!$D17:$O17)</f>
        <v>6816503.30775184</v>
      </c>
      <c r="V45" s="364">
        <f>+_xlfn.FORECAST.ETS(V15,'LTM P&amp;L'!$D25:$O25,'LTM P&amp;L'!$D17:$O17)</f>
        <v>8377047.7545550447</v>
      </c>
      <c r="W45" s="364">
        <f>+_xlfn.FORECAST.ETS(W15,'LTM P&amp;L'!$D25:$O25,'LTM P&amp;L'!$D17:$O17)</f>
        <v>7633700.4846887523</v>
      </c>
      <c r="X45" s="364">
        <f>+_xlfn.FORECAST.ETS(X15,'LTM P&amp;L'!$D25:$O25,'LTM P&amp;L'!$D17:$O17)</f>
        <v>6507482.7662924156</v>
      </c>
      <c r="Y45" s="564"/>
      <c r="Z45" s="564"/>
      <c r="AA45" s="564"/>
      <c r="AB45" s="564"/>
      <c r="AC45" s="564"/>
      <c r="AD45" s="564"/>
      <c r="AE45" s="564"/>
    </row>
    <row r="46" spans="2:31" ht="19">
      <c r="B46" s="234"/>
      <c r="C46" s="207"/>
      <c r="D46" s="347"/>
      <c r="E46" s="338"/>
      <c r="F46" s="338"/>
      <c r="G46" s="339"/>
      <c r="H46" s="338"/>
      <c r="I46" s="205"/>
      <c r="J46" s="205"/>
      <c r="K46" s="205"/>
      <c r="L46" s="205"/>
      <c r="M46" s="205"/>
      <c r="N46" s="205"/>
      <c r="O46" s="205"/>
      <c r="P46" s="205"/>
      <c r="Q46" s="205"/>
      <c r="R46" s="205"/>
      <c r="S46" s="205"/>
      <c r="T46" s="205"/>
      <c r="U46" s="205"/>
      <c r="V46" s="205"/>
      <c r="W46" s="205"/>
      <c r="X46" s="205"/>
    </row>
    <row r="47" spans="2:31" ht="18">
      <c r="B47" s="234"/>
      <c r="C47" s="371" t="s">
        <v>181</v>
      </c>
      <c r="D47" s="363">
        <f>+D44-D45</f>
        <v>2679716.4400190208</v>
      </c>
      <c r="E47" s="363">
        <f t="shared" ref="E47:X47" si="24">+E44-E45</f>
        <v>3250458.3188661896</v>
      </c>
      <c r="F47" s="363">
        <f t="shared" si="24"/>
        <v>4204070.646243399</v>
      </c>
      <c r="G47" s="363">
        <f t="shared" si="24"/>
        <v>2470920.8084210698</v>
      </c>
      <c r="H47" s="363">
        <f t="shared" si="24"/>
        <v>3041662.6872682385</v>
      </c>
      <c r="I47" s="363">
        <f t="shared" si="24"/>
        <v>3995275.0146454498</v>
      </c>
      <c r="J47" s="363">
        <f t="shared" si="24"/>
        <v>2262125.1768231206</v>
      </c>
      <c r="K47" s="363">
        <f t="shared" si="24"/>
        <v>2832867.0556702912</v>
      </c>
      <c r="L47" s="363">
        <f t="shared" si="24"/>
        <v>3786479.3830475006</v>
      </c>
      <c r="M47" s="363">
        <f t="shared" si="24"/>
        <v>2053329.5452251714</v>
      </c>
      <c r="N47" s="363">
        <f t="shared" si="24"/>
        <v>2624071.424072342</v>
      </c>
      <c r="O47" s="363">
        <f t="shared" si="24"/>
        <v>3577683.7514495524</v>
      </c>
      <c r="P47" s="363">
        <f t="shared" si="24"/>
        <v>1844533.9136272222</v>
      </c>
      <c r="Q47" s="363">
        <f t="shared" si="24"/>
        <v>2415275.7924743919</v>
      </c>
      <c r="R47" s="363">
        <f t="shared" si="24"/>
        <v>3368888.1198516032</v>
      </c>
      <c r="S47" s="363">
        <f t="shared" si="24"/>
        <v>1635738.2820292749</v>
      </c>
      <c r="T47" s="363">
        <f t="shared" si="24"/>
        <v>2206480.1608764427</v>
      </c>
      <c r="U47" s="363">
        <f t="shared" si="24"/>
        <v>3160092.4882536549</v>
      </c>
      <c r="V47" s="363">
        <f t="shared" si="24"/>
        <v>1426942.6504313257</v>
      </c>
      <c r="W47" s="363">
        <f t="shared" si="24"/>
        <v>1997684.5292784935</v>
      </c>
      <c r="X47" s="363">
        <f t="shared" si="24"/>
        <v>2951296.8566557057</v>
      </c>
    </row>
    <row r="48" spans="2:31" ht="18">
      <c r="B48" s="114"/>
      <c r="C48" s="207"/>
      <c r="D48" s="365">
        <f>D47/D44</f>
        <v>0.20755478287461052</v>
      </c>
      <c r="E48" s="365">
        <f>E47/E44</f>
        <v>0.25517242478363567</v>
      </c>
      <c r="F48" s="365">
        <f t="shared" ref="F48:X48" si="25">F47/F44</f>
        <v>0.33456778807572912</v>
      </c>
      <c r="G48" s="365">
        <f t="shared" si="25"/>
        <v>0.1993792139603012</v>
      </c>
      <c r="H48" s="365">
        <f t="shared" si="25"/>
        <v>0.24889907777017489</v>
      </c>
      <c r="I48" s="365">
        <f t="shared" si="25"/>
        <v>0.33161697203805829</v>
      </c>
      <c r="J48" s="365">
        <f t="shared" si="25"/>
        <v>0.19049065963673253</v>
      </c>
      <c r="K48" s="365">
        <f t="shared" si="25"/>
        <v>0.24207056750320766</v>
      </c>
      <c r="L48" s="365">
        <f t="shared" si="25"/>
        <v>0.328401112740144</v>
      </c>
      <c r="M48" s="365">
        <f t="shared" si="25"/>
        <v>0.18079159913926715</v>
      </c>
      <c r="N48" s="365">
        <f t="shared" si="25"/>
        <v>0.23460978800422216</v>
      </c>
      <c r="O48" s="365">
        <f t="shared" si="25"/>
        <v>0.32488282164854626</v>
      </c>
      <c r="P48" s="365">
        <f t="shared" si="25"/>
        <v>0.17016587716946602</v>
      </c>
      <c r="Q48" s="365">
        <f t="shared" si="25"/>
        <v>0.22642466126593297</v>
      </c>
      <c r="R48" s="365">
        <f t="shared" si="25"/>
        <v>0.32101733091696405</v>
      </c>
      <c r="S48" s="365">
        <f t="shared" si="25"/>
        <v>0.15847402968282426</v>
      </c>
      <c r="T48" s="365">
        <f t="shared" si="25"/>
        <v>0.21740431785876374</v>
      </c>
      <c r="U48" s="365">
        <f t="shared" si="25"/>
        <v>0.31675057834045123</v>
      </c>
      <c r="V48" s="365">
        <f t="shared" si="25"/>
        <v>0.14554712841268935</v>
      </c>
      <c r="W48" s="365">
        <f t="shared" si="25"/>
        <v>0.20741404547544207</v>
      </c>
      <c r="X48" s="365">
        <f t="shared" si="25"/>
        <v>0.31201666328027239</v>
      </c>
    </row>
    <row r="49" spans="2:24" ht="18">
      <c r="B49" s="114"/>
      <c r="C49" s="118"/>
      <c r="D49" s="348"/>
      <c r="E49" s="338"/>
      <c r="F49" s="338"/>
      <c r="G49" s="339"/>
      <c r="H49" s="338"/>
      <c r="I49" s="205"/>
      <c r="J49" s="205"/>
      <c r="K49" s="205"/>
      <c r="L49" s="205"/>
      <c r="M49" s="205"/>
      <c r="N49" s="205"/>
      <c r="O49" s="205"/>
      <c r="P49" s="205"/>
      <c r="Q49" s="205"/>
      <c r="R49" s="205"/>
      <c r="S49" s="205"/>
      <c r="T49" s="205"/>
      <c r="U49" s="205"/>
      <c r="V49" s="205"/>
      <c r="W49" s="205"/>
      <c r="X49" s="205"/>
    </row>
    <row r="50" spans="2:24" ht="18">
      <c r="B50" s="234"/>
      <c r="C50" s="207" t="s">
        <v>157</v>
      </c>
      <c r="D50" s="364">
        <f>+_xlfn.FORECAST.ETS(D$15,'LTM P&amp;L'!$D30:$O30,'LTM P&amp;L'!$D$17:$O$17)</f>
        <v>992101.43393515318</v>
      </c>
      <c r="E50" s="364">
        <f>+_xlfn.FORECAST.ETS(E$15,'LTM P&amp;L'!$D30:$O30,'LTM P&amp;L'!$D$17:$O$17)</f>
        <v>999004.72735064279</v>
      </c>
      <c r="F50" s="364">
        <f>+_xlfn.FORECAST.ETS(F$15,'LTM P&amp;L'!$D30:$O30,'LTM P&amp;L'!$D$17:$O$17)</f>
        <v>1005908.0207661325</v>
      </c>
      <c r="G50" s="364">
        <f>+_xlfn.FORECAST.ETS(G$15,'LTM P&amp;L'!$D30:$O30,'LTM P&amp;L'!$D$17:$O$17)</f>
        <v>1012811.3141816221</v>
      </c>
      <c r="H50" s="364">
        <f>+_xlfn.FORECAST.ETS(H$15,'LTM P&amp;L'!$D30:$O30,'LTM P&amp;L'!$D$17:$O$17)</f>
        <v>1019714.6075971117</v>
      </c>
      <c r="I50" s="364">
        <f>+_xlfn.FORECAST.ETS(I$15,'LTM P&amp;L'!$D30:$O30,'LTM P&amp;L'!$D$17:$O$17)</f>
        <v>1026617.9010126013</v>
      </c>
      <c r="J50" s="364">
        <f>+_xlfn.FORECAST.ETS(J$15,'LTM P&amp;L'!$D30:$O30,'LTM P&amp;L'!$D$17:$O$17)</f>
        <v>1033521.1944280911</v>
      </c>
      <c r="K50" s="364">
        <f>+_xlfn.FORECAST.ETS(K$15,'LTM P&amp;L'!$D30:$O30,'LTM P&amp;L'!$D$17:$O$17)</f>
        <v>1040424.4878435807</v>
      </c>
      <c r="L50" s="364">
        <f>+_xlfn.FORECAST.ETS(L$15,'LTM P&amp;L'!$D30:$O30,'LTM P&amp;L'!$D$17:$O$17)</f>
        <v>1047327.7812590703</v>
      </c>
      <c r="M50" s="364">
        <f>+_xlfn.FORECAST.ETS(M$15,'LTM P&amp;L'!$D30:$O30,'LTM P&amp;L'!$D$17:$O$17)</f>
        <v>1054231.07467456</v>
      </c>
      <c r="N50" s="364">
        <f>+_xlfn.FORECAST.ETS(N$15,'LTM P&amp;L'!$D30:$O30,'LTM P&amp;L'!$D$17:$O$17)</f>
        <v>1061134.3680900496</v>
      </c>
      <c r="O50" s="364">
        <f>+_xlfn.FORECAST.ETS(O$15,'LTM P&amp;L'!$D30:$O30,'LTM P&amp;L'!$D$17:$O$17)</f>
        <v>1068037.6615055392</v>
      </c>
      <c r="P50" s="364">
        <f>+_xlfn.FORECAST.ETS(P$15,'LTM P&amp;L'!$D30:$O30,'LTM P&amp;L'!$D$17:$O$17)</f>
        <v>1074940.9549210288</v>
      </c>
      <c r="Q50" s="364">
        <f>+_xlfn.FORECAST.ETS(Q$15,'LTM P&amp;L'!$D30:$O30,'LTM P&amp;L'!$D$17:$O$17)</f>
        <v>1081844.2483365184</v>
      </c>
      <c r="R50" s="364">
        <f>+_xlfn.FORECAST.ETS(R$15,'LTM P&amp;L'!$D30:$O30,'LTM P&amp;L'!$D$17:$O$17)</f>
        <v>1088747.541752008</v>
      </c>
      <c r="S50" s="364">
        <f>+_xlfn.FORECAST.ETS(S$15,'LTM P&amp;L'!$D30:$O30,'LTM P&amp;L'!$D$17:$O$17)</f>
        <v>1095650.8351674979</v>
      </c>
      <c r="T50" s="364">
        <f>+_xlfn.FORECAST.ETS(T$15,'LTM P&amp;L'!$D30:$O30,'LTM P&amp;L'!$D$17:$O$17)</f>
        <v>1102554.1285829875</v>
      </c>
      <c r="U50" s="364">
        <f>+_xlfn.FORECAST.ETS(U$15,'LTM P&amp;L'!$D30:$O30,'LTM P&amp;L'!$D$17:$O$17)</f>
        <v>1109457.4219984771</v>
      </c>
      <c r="V50" s="364">
        <f>+_xlfn.FORECAST.ETS(V$15,'LTM P&amp;L'!$D30:$O30,'LTM P&amp;L'!$D$17:$O$17)</f>
        <v>1116360.7154139667</v>
      </c>
      <c r="W50" s="364">
        <f>+_xlfn.FORECAST.ETS(W$15,'LTM P&amp;L'!$D30:$O30,'LTM P&amp;L'!$D$17:$O$17)</f>
        <v>1123264.0088294563</v>
      </c>
      <c r="X50" s="364">
        <f>+_xlfn.FORECAST.ETS(X$15,'LTM P&amp;L'!$D30:$O30,'LTM P&amp;L'!$D$17:$O$17)</f>
        <v>1130167.3022449459</v>
      </c>
    </row>
    <row r="51" spans="2:24" ht="22">
      <c r="B51" s="252"/>
      <c r="C51" s="207" t="s">
        <v>154</v>
      </c>
      <c r="D51" s="364">
        <f>+_xlfn.FORECAST.ETS(D$15,'LTM P&amp;L'!$D31:$O31,'LTM P&amp;L'!$D$17:$O$17)</f>
        <v>786560.3533822184</v>
      </c>
      <c r="E51" s="364">
        <f>+_xlfn.FORECAST.ETS(E$15,'LTM P&amp;L'!$D31:$O31,'LTM P&amp;L'!$D$17:$O$17)</f>
        <v>785355.39960307465</v>
      </c>
      <c r="F51" s="364">
        <f>+_xlfn.FORECAST.ETS(F$15,'LTM P&amp;L'!$D31:$O31,'LTM P&amp;L'!$D$17:$O$17)</f>
        <v>795316.01402939751</v>
      </c>
      <c r="G51" s="364">
        <f>+_xlfn.FORECAST.ETS(G$15,'LTM P&amp;L'!$D31:$O31,'LTM P&amp;L'!$D$17:$O$17)</f>
        <v>800109.63776721759</v>
      </c>
      <c r="H51" s="364">
        <f>+_xlfn.FORECAST.ETS(H$15,'LTM P&amp;L'!$D31:$O31,'LTM P&amp;L'!$D$17:$O$17)</f>
        <v>787324.53510858258</v>
      </c>
      <c r="I51" s="364">
        <f>+_xlfn.FORECAST.ETS(I$15,'LTM P&amp;L'!$D31:$O31,'LTM P&amp;L'!$D$17:$O$17)</f>
        <v>786119.58132943884</v>
      </c>
      <c r="J51" s="364">
        <f>+_xlfn.FORECAST.ETS(J$15,'LTM P&amp;L'!$D31:$O31,'LTM P&amp;L'!$D$17:$O$17)</f>
        <v>796080.1957557617</v>
      </c>
      <c r="K51" s="364">
        <f>+_xlfn.FORECAST.ETS(K$15,'LTM P&amp;L'!$D31:$O31,'LTM P&amp;L'!$D$17:$O$17)</f>
        <v>800873.81949358177</v>
      </c>
      <c r="L51" s="364">
        <f>+_xlfn.FORECAST.ETS(L$15,'LTM P&amp;L'!$D31:$O31,'LTM P&amp;L'!$D$17:$O$17)</f>
        <v>788088.71683494677</v>
      </c>
      <c r="M51" s="364">
        <f>+_xlfn.FORECAST.ETS(M$15,'LTM P&amp;L'!$D31:$O31,'LTM P&amp;L'!$D$17:$O$17)</f>
        <v>786883.76305580302</v>
      </c>
      <c r="N51" s="364">
        <f>+_xlfn.FORECAST.ETS(N$15,'LTM P&amp;L'!$D31:$O31,'LTM P&amp;L'!$D$17:$O$17)</f>
        <v>796844.37748212588</v>
      </c>
      <c r="O51" s="364">
        <f>+_xlfn.FORECAST.ETS(O$15,'LTM P&amp;L'!$D31:$O31,'LTM P&amp;L'!$D$17:$O$17)</f>
        <v>801638.00121994596</v>
      </c>
      <c r="P51" s="364">
        <f>+_xlfn.FORECAST.ETS(P$15,'LTM P&amp;L'!$D31:$O31,'LTM P&amp;L'!$D$17:$O$17)</f>
        <v>788852.89856131107</v>
      </c>
      <c r="Q51" s="364">
        <f>+_xlfn.FORECAST.ETS(Q$15,'LTM P&amp;L'!$D31:$O31,'LTM P&amp;L'!$D$17:$O$17)</f>
        <v>787647.94478216721</v>
      </c>
      <c r="R51" s="364">
        <f>+_xlfn.FORECAST.ETS(R$15,'LTM P&amp;L'!$D31:$O31,'LTM P&amp;L'!$D$17:$O$17)</f>
        <v>797608.55920849019</v>
      </c>
      <c r="S51" s="364">
        <f>+_xlfn.FORECAST.ETS(S$15,'LTM P&amp;L'!$D31:$O31,'LTM P&amp;L'!$D$17:$O$17)</f>
        <v>802402.18294631015</v>
      </c>
      <c r="T51" s="364">
        <f>+_xlfn.FORECAST.ETS(T$15,'LTM P&amp;L'!$D31:$O31,'LTM P&amp;L'!$D$17:$O$17)</f>
        <v>789617.08028767526</v>
      </c>
      <c r="U51" s="364">
        <f>+_xlfn.FORECAST.ETS(U$15,'LTM P&amp;L'!$D31:$O31,'LTM P&amp;L'!$D$17:$O$17)</f>
        <v>788412.12650853139</v>
      </c>
      <c r="V51" s="364">
        <f>+_xlfn.FORECAST.ETS(V$15,'LTM P&amp;L'!$D31:$O31,'LTM P&amp;L'!$D$17:$O$17)</f>
        <v>798372.74093485437</v>
      </c>
      <c r="W51" s="364">
        <f>+_xlfn.FORECAST.ETS(W$15,'LTM P&amp;L'!$D31:$O31,'LTM P&amp;L'!$D$17:$O$17)</f>
        <v>803166.36467267433</v>
      </c>
      <c r="X51" s="364">
        <f>+_xlfn.FORECAST.ETS(X$15,'LTM P&amp;L'!$D31:$O31,'LTM P&amp;L'!$D$17:$O$17)</f>
        <v>790381.26201403944</v>
      </c>
    </row>
    <row r="52" spans="2:24" ht="18">
      <c r="B52" s="234"/>
      <c r="C52" s="207" t="s">
        <v>155</v>
      </c>
      <c r="D52" s="364">
        <f>+_xlfn.FORECAST.ETS(D$15,'LTM P&amp;L'!$D32:$O32,'LTM P&amp;L'!$D$17:$O$17)</f>
        <v>795258.70170439628</v>
      </c>
      <c r="E52" s="364">
        <f>+_xlfn.FORECAST.ETS(E$15,'LTM P&amp;L'!$D32:$O32,'LTM P&amp;L'!$D$17:$O$17)</f>
        <v>795376.47107508266</v>
      </c>
      <c r="F52" s="364">
        <f>+_xlfn.FORECAST.ETS(F$15,'LTM P&amp;L'!$D32:$O32,'LTM P&amp;L'!$D$17:$O$17)</f>
        <v>795494.24044576904</v>
      </c>
      <c r="G52" s="364">
        <f>+_xlfn.FORECAST.ETS(G$15,'LTM P&amp;L'!$D32:$O32,'LTM P&amp;L'!$D$17:$O$17)</f>
        <v>795612.00981645542</v>
      </c>
      <c r="H52" s="364">
        <f>+_xlfn.FORECAST.ETS(H$15,'LTM P&amp;L'!$D32:$O32,'LTM P&amp;L'!$D$17:$O$17)</f>
        <v>795729.77918714168</v>
      </c>
      <c r="I52" s="364">
        <f>+_xlfn.FORECAST.ETS(I$15,'LTM P&amp;L'!$D32:$O32,'LTM P&amp;L'!$D$17:$O$17)</f>
        <v>795847.54855782806</v>
      </c>
      <c r="J52" s="364">
        <f>+_xlfn.FORECAST.ETS(J$15,'LTM P&amp;L'!$D32:$O32,'LTM P&amp;L'!$D$17:$O$17)</f>
        <v>795965.31792851444</v>
      </c>
      <c r="K52" s="364">
        <f>+_xlfn.FORECAST.ETS(K$15,'LTM P&amp;L'!$D32:$O32,'LTM P&amp;L'!$D$17:$O$17)</f>
        <v>796083.08729920082</v>
      </c>
      <c r="L52" s="364">
        <f>+_xlfn.FORECAST.ETS(L$15,'LTM P&amp;L'!$D32:$O32,'LTM P&amp;L'!$D$17:$O$17)</f>
        <v>796200.8566698872</v>
      </c>
      <c r="M52" s="364">
        <f>+_xlfn.FORECAST.ETS(M$15,'LTM P&amp;L'!$D32:$O32,'LTM P&amp;L'!$D$17:$O$17)</f>
        <v>796318.62604057346</v>
      </c>
      <c r="N52" s="364">
        <f>+_xlfn.FORECAST.ETS(N$15,'LTM P&amp;L'!$D32:$O32,'LTM P&amp;L'!$D$17:$O$17)</f>
        <v>796436.39541125984</v>
      </c>
      <c r="O52" s="364">
        <f>+_xlfn.FORECAST.ETS(O$15,'LTM P&amp;L'!$D32:$O32,'LTM P&amp;L'!$D$17:$O$17)</f>
        <v>796554.16478194622</v>
      </c>
      <c r="P52" s="364">
        <f>+_xlfn.FORECAST.ETS(P$15,'LTM P&amp;L'!$D32:$O32,'LTM P&amp;L'!$D$17:$O$17)</f>
        <v>796671.9341526326</v>
      </c>
      <c r="Q52" s="364">
        <f>+_xlfn.FORECAST.ETS(Q$15,'LTM P&amp;L'!$D32:$O32,'LTM P&amp;L'!$D$17:$O$17)</f>
        <v>796789.70352331898</v>
      </c>
      <c r="R52" s="364">
        <f>+_xlfn.FORECAST.ETS(R$15,'LTM P&amp;L'!$D32:$O32,'LTM P&amp;L'!$D$17:$O$17)</f>
        <v>796907.47289400524</v>
      </c>
      <c r="S52" s="364">
        <f>+_xlfn.FORECAST.ETS(S$15,'LTM P&amp;L'!$D32:$O32,'LTM P&amp;L'!$D$17:$O$17)</f>
        <v>797025.24226469162</v>
      </c>
      <c r="T52" s="364">
        <f>+_xlfn.FORECAST.ETS(T$15,'LTM P&amp;L'!$D32:$O32,'LTM P&amp;L'!$D$17:$O$17)</f>
        <v>797143.011635378</v>
      </c>
      <c r="U52" s="364">
        <f>+_xlfn.FORECAST.ETS(U$15,'LTM P&amp;L'!$D32:$O32,'LTM P&amp;L'!$D$17:$O$17)</f>
        <v>797260.78100606438</v>
      </c>
      <c r="V52" s="364">
        <f>+_xlfn.FORECAST.ETS(V$15,'LTM P&amp;L'!$D32:$O32,'LTM P&amp;L'!$D$17:$O$17)</f>
        <v>797378.55037675076</v>
      </c>
      <c r="W52" s="364">
        <f>+_xlfn.FORECAST.ETS(W$15,'LTM P&amp;L'!$D32:$O32,'LTM P&amp;L'!$D$17:$O$17)</f>
        <v>797496.31974743702</v>
      </c>
      <c r="X52" s="364">
        <f>+_xlfn.FORECAST.ETS(X$15,'LTM P&amp;L'!$D32:$O32,'LTM P&amp;L'!$D$17:$O$17)</f>
        <v>797614.0891181234</v>
      </c>
    </row>
    <row r="53" spans="2:24" ht="18">
      <c r="B53" s="234"/>
      <c r="C53" s="207"/>
      <c r="D53" s="532">
        <f>SUM(D50:D52)</f>
        <v>2573920.4890217679</v>
      </c>
      <c r="E53" s="532">
        <f t="shared" ref="E53" si="26">SUM(E50:E52)</f>
        <v>2579736.5980288</v>
      </c>
      <c r="F53" s="532">
        <f t="shared" ref="F53" si="27">SUM(F50:F52)</f>
        <v>2596718.2752412991</v>
      </c>
      <c r="G53" s="532">
        <f t="shared" ref="G53" si="28">SUM(G50:G52)</f>
        <v>2608532.9617652949</v>
      </c>
      <c r="H53" s="532">
        <f t="shared" ref="H53" si="29">SUM(H50:H52)</f>
        <v>2602768.9218928358</v>
      </c>
      <c r="I53" s="532">
        <f t="shared" ref="I53" si="30">SUM(I50:I52)</f>
        <v>2608585.0308998683</v>
      </c>
      <c r="J53" s="532">
        <f t="shared" ref="J53" si="31">SUM(J50:J52)</f>
        <v>2625566.7081123674</v>
      </c>
      <c r="K53" s="532">
        <f t="shared" ref="K53" si="32">SUM(K50:K52)</f>
        <v>2637381.3946363633</v>
      </c>
      <c r="L53" s="532">
        <f t="shared" ref="L53" si="33">SUM(L50:L52)</f>
        <v>2631617.3547639046</v>
      </c>
      <c r="M53" s="532">
        <f t="shared" ref="M53" si="34">SUM(M50:M52)</f>
        <v>2637433.4637709362</v>
      </c>
      <c r="N53" s="532">
        <f t="shared" ref="N53" si="35">SUM(N50:N52)</f>
        <v>2654415.1409834353</v>
      </c>
      <c r="O53" s="532">
        <f t="shared" ref="O53" si="36">SUM(O50:O52)</f>
        <v>2666229.8275074316</v>
      </c>
      <c r="P53" s="532"/>
      <c r="Q53" s="532"/>
      <c r="R53" s="532"/>
      <c r="S53" s="532"/>
      <c r="T53" s="532"/>
      <c r="U53" s="532"/>
      <c r="V53" s="532"/>
      <c r="W53" s="532"/>
      <c r="X53" s="532"/>
    </row>
    <row r="54" spans="2:24" ht="18">
      <c r="B54" s="234"/>
      <c r="C54" s="371" t="s">
        <v>182</v>
      </c>
      <c r="D54" s="363">
        <f>+D47-SUM(D50:D52)</f>
        <v>105795.95099725295</v>
      </c>
      <c r="E54" s="363">
        <f>+E47-SUM(E50:E52)</f>
        <v>670721.72083738958</v>
      </c>
      <c r="F54" s="363">
        <f t="shared" ref="F54:X54" si="37">+F47-SUM(F50:F52)</f>
        <v>1607352.3710020999</v>
      </c>
      <c r="G54" s="363">
        <f t="shared" si="37"/>
        <v>-137612.15334422514</v>
      </c>
      <c r="H54" s="363">
        <f t="shared" si="37"/>
        <v>438893.76537540276</v>
      </c>
      <c r="I54" s="363">
        <f t="shared" si="37"/>
        <v>1386689.9837455815</v>
      </c>
      <c r="J54" s="363">
        <f t="shared" si="37"/>
        <v>-363441.53128924686</v>
      </c>
      <c r="K54" s="363">
        <f t="shared" si="37"/>
        <v>195485.66103392793</v>
      </c>
      <c r="L54" s="363">
        <f t="shared" si="37"/>
        <v>1154862.028283596</v>
      </c>
      <c r="M54" s="363">
        <f t="shared" si="37"/>
        <v>-584103.91854576487</v>
      </c>
      <c r="N54" s="363">
        <f>+N47-SUM(N50:N52)</f>
        <v>-30343.716911093332</v>
      </c>
      <c r="O54" s="363">
        <f t="shared" si="37"/>
        <v>911453.92394212075</v>
      </c>
      <c r="P54" s="363">
        <f t="shared" si="37"/>
        <v>-815931.8740077503</v>
      </c>
      <c r="Q54" s="363">
        <f t="shared" si="37"/>
        <v>-251006.10416761274</v>
      </c>
      <c r="R54" s="363">
        <f t="shared" si="37"/>
        <v>685624.54599709995</v>
      </c>
      <c r="S54" s="363">
        <f t="shared" si="37"/>
        <v>-1059339.9783492247</v>
      </c>
      <c r="T54" s="363">
        <f t="shared" si="37"/>
        <v>-482834.05962959817</v>
      </c>
      <c r="U54" s="363">
        <f t="shared" si="37"/>
        <v>464962.15874058194</v>
      </c>
      <c r="V54" s="363">
        <f t="shared" si="37"/>
        <v>-1285169.3562942464</v>
      </c>
      <c r="W54" s="363">
        <f t="shared" si="37"/>
        <v>-726242.16397107393</v>
      </c>
      <c r="X54" s="363">
        <f t="shared" si="37"/>
        <v>233134.20327859698</v>
      </c>
    </row>
    <row r="55" spans="2:24" ht="19">
      <c r="B55" s="234"/>
      <c r="C55" s="207"/>
      <c r="D55" s="346"/>
      <c r="E55" s="338"/>
      <c r="F55" s="338"/>
      <c r="G55" s="339"/>
      <c r="H55" s="338"/>
      <c r="I55" s="205"/>
      <c r="J55" s="345"/>
      <c r="K55" s="336"/>
      <c r="L55" s="349"/>
      <c r="M55" s="349"/>
      <c r="N55" s="350"/>
      <c r="O55" s="350"/>
      <c r="P55" s="350"/>
      <c r="Q55" s="350"/>
      <c r="R55" s="350"/>
      <c r="S55" s="350"/>
      <c r="T55" s="350"/>
      <c r="U55" s="350"/>
      <c r="V55" s="350"/>
      <c r="W55" s="350"/>
      <c r="X55" s="350"/>
    </row>
    <row r="56" spans="2:24" ht="18">
      <c r="B56" s="234"/>
      <c r="C56" s="207" t="s">
        <v>158</v>
      </c>
      <c r="D56" s="364">
        <f>+_xlfn.FORECAST.ETS(D$15,'LTM P&amp;L'!$D36:$O36,'LTM P&amp;L'!$D$17:$O$17)</f>
        <v>1232383.5895232542</v>
      </c>
      <c r="E56" s="364">
        <f>+_xlfn.FORECAST.ETS(E$15,'LTM P&amp;L'!$D36:$O36,'LTM P&amp;L'!$D$17:$O$17)</f>
        <v>1209115.7728161963</v>
      </c>
      <c r="F56" s="364">
        <f>+_xlfn.FORECAST.ETS(F$15,'LTM P&amp;L'!$D36:$O36,'LTM P&amp;L'!$D$17:$O$17)</f>
        <v>1230956.9462399476</v>
      </c>
      <c r="G56" s="364">
        <f>+_xlfn.FORECAST.ETS(G$15,'LTM P&amp;L'!$D36:$O36,'LTM P&amp;L'!$D$17:$O$17)</f>
        <v>1207689.1295328899</v>
      </c>
      <c r="H56" s="364">
        <f>+_xlfn.FORECAST.ETS(H$15,'LTM P&amp;L'!$D36:$O36,'LTM P&amp;L'!$D$17:$O$17)</f>
        <v>1229530.3029566412</v>
      </c>
      <c r="I56" s="364">
        <f>+_xlfn.FORECAST.ETS(I$15,'LTM P&amp;L'!$D36:$O36,'LTM P&amp;L'!$D$17:$O$17)</f>
        <v>1206262.4862495835</v>
      </c>
      <c r="J56" s="364">
        <f>+_xlfn.FORECAST.ETS(J$15,'LTM P&amp;L'!$D36:$O36,'LTM P&amp;L'!$D$17:$O$17)</f>
        <v>1228103.6596733348</v>
      </c>
      <c r="K56" s="364">
        <f>+_xlfn.FORECAST.ETS(K$15,'LTM P&amp;L'!$D36:$O36,'LTM P&amp;L'!$D$17:$O$17)</f>
        <v>1204835.8429662769</v>
      </c>
      <c r="L56" s="364">
        <f>+_xlfn.FORECAST.ETS(L$15,'LTM P&amp;L'!$D36:$O36,'LTM P&amp;L'!$D$17:$O$17)</f>
        <v>1226677.0163900284</v>
      </c>
      <c r="M56" s="364">
        <f>+_xlfn.FORECAST.ETS(M$15,'LTM P&amp;L'!$D36:$O36,'LTM P&amp;L'!$D$17:$O$17)</f>
        <v>1203409.1996829705</v>
      </c>
      <c r="N56" s="364">
        <f>+_xlfn.FORECAST.ETS(N$15,'LTM P&amp;L'!$D36:$O36,'LTM P&amp;L'!$D$17:$O$17)</f>
        <v>1225250.373106722</v>
      </c>
      <c r="O56" s="364">
        <f>+_xlfn.FORECAST.ETS(O$15,'LTM P&amp;L'!$D36:$O36,'LTM P&amp;L'!$D$17:$O$17)</f>
        <v>1201982.5563996641</v>
      </c>
      <c r="P56" s="364">
        <f>+_xlfn.FORECAST.ETS(P$15,'LTM P&amp;L'!$D36:$O36,'LTM P&amp;L'!$D$17:$O$17)</f>
        <v>1223823.7298234154</v>
      </c>
      <c r="Q56" s="364">
        <f>+_xlfn.FORECAST.ETS(Q$15,'LTM P&amp;L'!$D36:$O36,'LTM P&amp;L'!$D$17:$O$17)</f>
        <v>1200555.9131163578</v>
      </c>
      <c r="R56" s="364">
        <f>+_xlfn.FORECAST.ETS(R$15,'LTM P&amp;L'!$D36:$O36,'LTM P&amp;L'!$D$17:$O$17)</f>
        <v>1222397.086540109</v>
      </c>
      <c r="S56" s="364">
        <f>+_xlfn.FORECAST.ETS(S$15,'LTM P&amp;L'!$D36:$O36,'LTM P&amp;L'!$D$17:$O$17)</f>
        <v>1199129.2698330514</v>
      </c>
      <c r="T56" s="364">
        <f>+_xlfn.FORECAST.ETS(T$15,'LTM P&amp;L'!$D36:$O36,'LTM P&amp;L'!$D$17:$O$17)</f>
        <v>1220970.4432568026</v>
      </c>
      <c r="U56" s="364">
        <f>+_xlfn.FORECAST.ETS(U$15,'LTM P&amp;L'!$D36:$O36,'LTM P&amp;L'!$D$17:$O$17)</f>
        <v>1197702.6265497447</v>
      </c>
      <c r="V56" s="364">
        <f>+_xlfn.FORECAST.ETS(V$15,'LTM P&amp;L'!$D36:$O36,'LTM P&amp;L'!$D$17:$O$17)</f>
        <v>1219543.7999734962</v>
      </c>
      <c r="W56" s="364">
        <f>+_xlfn.FORECAST.ETS(W$15,'LTM P&amp;L'!$D36:$O36,'LTM P&amp;L'!$D$17:$O$17)</f>
        <v>1196275.9832664384</v>
      </c>
      <c r="X56" s="364">
        <f>+_xlfn.FORECAST.ETS(X$15,'LTM P&amp;L'!$D36:$O36,'LTM P&amp;L'!$D$17:$O$17)</f>
        <v>1218117.1566901898</v>
      </c>
    </row>
    <row r="57" spans="2:24" ht="18">
      <c r="B57" s="114"/>
      <c r="C57" s="207" t="s">
        <v>159</v>
      </c>
      <c r="D57" s="364">
        <f>+_xlfn.FORECAST.ETS(D$15,'LTM P&amp;L'!$D37:$O37,'LTM P&amp;L'!$D$17:$O$17)</f>
        <v>1223032.3113556765</v>
      </c>
      <c r="E57" s="364">
        <f>+_xlfn.FORECAST.ETS(E$15,'LTM P&amp;L'!$D37:$O37,'LTM P&amp;L'!$D$17:$O$17)</f>
        <v>1212639.4004545056</v>
      </c>
      <c r="F57" s="364">
        <f>+_xlfn.FORECAST.ETS(F$15,'LTM P&amp;L'!$D37:$O37,'LTM P&amp;L'!$D$17:$O$17)</f>
        <v>1208548.6081795206</v>
      </c>
      <c r="G57" s="364">
        <f>+_xlfn.FORECAST.ETS(G$15,'LTM P&amp;L'!$D37:$O37,'LTM P&amp;L'!$D$17:$O$17)</f>
        <v>1203427.1414496489</v>
      </c>
      <c r="H57" s="364">
        <f>+_xlfn.FORECAST.ETS(H$15,'LTM P&amp;L'!$D37:$O37,'LTM P&amp;L'!$D$17:$O$17)</f>
        <v>1226603.6571324561</v>
      </c>
      <c r="I57" s="364">
        <f>+_xlfn.FORECAST.ETS(I$15,'LTM P&amp;L'!$D37:$O37,'LTM P&amp;L'!$D$17:$O$17)</f>
        <v>1216210.7462312854</v>
      </c>
      <c r="J57" s="364">
        <f>+_xlfn.FORECAST.ETS(J$15,'LTM P&amp;L'!$D37:$O37,'LTM P&amp;L'!$D$17:$O$17)</f>
        <v>1212119.9539563004</v>
      </c>
      <c r="K57" s="364">
        <f>+_xlfn.FORECAST.ETS(K$15,'LTM P&amp;L'!$D37:$O37,'LTM P&amp;L'!$D$17:$O$17)</f>
        <v>1206998.4872264287</v>
      </c>
      <c r="L57" s="364">
        <f>+_xlfn.FORECAST.ETS(L$15,'LTM P&amp;L'!$D37:$O37,'LTM P&amp;L'!$D$17:$O$17)</f>
        <v>1230175.0029092359</v>
      </c>
      <c r="M57" s="364">
        <f>+_xlfn.FORECAST.ETS(M$15,'LTM P&amp;L'!$D37:$O37,'LTM P&amp;L'!$D$17:$O$17)</f>
        <v>1219782.0920080652</v>
      </c>
      <c r="N57" s="364">
        <f>+_xlfn.FORECAST.ETS(N$15,'LTM P&amp;L'!$D37:$O37,'LTM P&amp;L'!$D$17:$O$17)</f>
        <v>1215691.2997330802</v>
      </c>
      <c r="O57" s="364">
        <f>+_xlfn.FORECAST.ETS(O$15,'LTM P&amp;L'!$D37:$O37,'LTM P&amp;L'!$D$17:$O$17)</f>
        <v>1210569.8330032085</v>
      </c>
      <c r="P57" s="364">
        <f>+_xlfn.FORECAST.ETS(P$15,'LTM P&amp;L'!$D37:$O37,'LTM P&amp;L'!$D$17:$O$17)</f>
        <v>1233746.3486860157</v>
      </c>
      <c r="Q57" s="364">
        <f>+_xlfn.FORECAST.ETS(Q$15,'LTM P&amp;L'!$D37:$O37,'LTM P&amp;L'!$D$17:$O$17)</f>
        <v>1223353.4377848448</v>
      </c>
      <c r="R57" s="364">
        <f>+_xlfn.FORECAST.ETS(R$15,'LTM P&amp;L'!$D37:$O37,'LTM P&amp;L'!$D$17:$O$17)</f>
        <v>1219262.64550986</v>
      </c>
      <c r="S57" s="364">
        <f>+_xlfn.FORECAST.ETS(S$15,'LTM P&amp;L'!$D37:$O37,'LTM P&amp;L'!$D$17:$O$17)</f>
        <v>1214141.1787799883</v>
      </c>
      <c r="T57" s="364">
        <f>+_xlfn.FORECAST.ETS(T$15,'LTM P&amp;L'!$D37:$O37,'LTM P&amp;L'!$D$17:$O$17)</f>
        <v>1237317.6944627955</v>
      </c>
      <c r="U57" s="364">
        <f>+_xlfn.FORECAST.ETS(U$15,'LTM P&amp;L'!$D37:$O37,'LTM P&amp;L'!$D$17:$O$17)</f>
        <v>1226924.7835616246</v>
      </c>
      <c r="V57" s="364">
        <f>+_xlfn.FORECAST.ETS(V$15,'LTM P&amp;L'!$D37:$O37,'LTM P&amp;L'!$D$17:$O$17)</f>
        <v>1222833.9912866398</v>
      </c>
      <c r="W57" s="364">
        <f>+_xlfn.FORECAST.ETS(W$15,'LTM P&amp;L'!$D37:$O37,'LTM P&amp;L'!$D$17:$O$17)</f>
        <v>1217712.5245567681</v>
      </c>
      <c r="X57" s="364">
        <f>+_xlfn.FORECAST.ETS(X$15,'LTM P&amp;L'!$D37:$O37,'LTM P&amp;L'!$D$17:$O$17)</f>
        <v>1240889.0402395753</v>
      </c>
    </row>
    <row r="58" spans="2:24" ht="19">
      <c r="B58" s="114"/>
      <c r="C58" s="207"/>
      <c r="D58" s="346"/>
      <c r="E58" s="353"/>
      <c r="F58" s="353"/>
      <c r="G58" s="354"/>
      <c r="H58" s="353"/>
      <c r="I58" s="205"/>
      <c r="J58" s="345"/>
      <c r="K58" s="272"/>
      <c r="L58" s="272"/>
      <c r="M58" s="272"/>
      <c r="N58" s="272"/>
      <c r="O58" s="272"/>
      <c r="P58" s="272"/>
      <c r="Q58" s="272"/>
      <c r="R58" s="272"/>
      <c r="S58" s="272"/>
      <c r="T58" s="272"/>
      <c r="U58" s="272"/>
      <c r="V58" s="272"/>
      <c r="W58" s="272"/>
      <c r="X58" s="272"/>
    </row>
    <row r="59" spans="2:24" ht="18">
      <c r="B59" s="234"/>
      <c r="C59" s="371" t="s">
        <v>183</v>
      </c>
      <c r="D59" s="363">
        <f>+D54+D56-D57</f>
        <v>115147.22916483064</v>
      </c>
      <c r="E59" s="363">
        <f>+E54+E56-E57</f>
        <v>667198.09319908032</v>
      </c>
      <c r="F59" s="363">
        <f t="shared" ref="F59:X59" si="38">+F54+F56-F57</f>
        <v>1629760.7090625272</v>
      </c>
      <c r="G59" s="363">
        <f t="shared" si="38"/>
        <v>-133350.1652609841</v>
      </c>
      <c r="H59" s="363">
        <f t="shared" si="38"/>
        <v>441820.41119958786</v>
      </c>
      <c r="I59" s="363">
        <f t="shared" si="38"/>
        <v>1376741.7237638799</v>
      </c>
      <c r="J59" s="363">
        <f t="shared" si="38"/>
        <v>-347457.82557221246</v>
      </c>
      <c r="K59" s="363">
        <f t="shared" si="38"/>
        <v>193323.01677377615</v>
      </c>
      <c r="L59" s="363">
        <f t="shared" si="38"/>
        <v>1151364.0417643886</v>
      </c>
      <c r="M59" s="363">
        <f t="shared" si="38"/>
        <v>-600476.81087085954</v>
      </c>
      <c r="N59" s="363">
        <f t="shared" si="38"/>
        <v>-20784.643537451513</v>
      </c>
      <c r="O59" s="363">
        <f t="shared" si="38"/>
        <v>902866.64733857615</v>
      </c>
      <c r="P59" s="363">
        <f t="shared" si="38"/>
        <v>-825854.4928703506</v>
      </c>
      <c r="Q59" s="363">
        <f t="shared" si="38"/>
        <v>-273803.62883609976</v>
      </c>
      <c r="R59" s="363">
        <f t="shared" si="38"/>
        <v>688758.98702734895</v>
      </c>
      <c r="S59" s="363">
        <f t="shared" si="38"/>
        <v>-1074351.8872961616</v>
      </c>
      <c r="T59" s="363">
        <f t="shared" si="38"/>
        <v>-499181.31083559105</v>
      </c>
      <c r="U59" s="363">
        <f t="shared" si="38"/>
        <v>435740.0017287021</v>
      </c>
      <c r="V59" s="363">
        <f t="shared" si="38"/>
        <v>-1288459.54760739</v>
      </c>
      <c r="W59" s="363">
        <f t="shared" si="38"/>
        <v>-747678.70526140369</v>
      </c>
      <c r="X59" s="363">
        <f t="shared" si="38"/>
        <v>210362.31972921151</v>
      </c>
    </row>
    <row r="60" spans="2:24" ht="22">
      <c r="B60" s="252"/>
      <c r="C60" s="306"/>
      <c r="D60" s="336"/>
      <c r="E60" s="336"/>
      <c r="F60" s="352"/>
      <c r="G60" s="352"/>
      <c r="H60" s="352"/>
      <c r="I60" s="205"/>
      <c r="J60" s="345"/>
      <c r="K60" s="336"/>
      <c r="L60" s="351"/>
      <c r="M60" s="352"/>
      <c r="N60" s="345"/>
      <c r="O60" s="345"/>
      <c r="P60" s="370"/>
      <c r="Q60" s="370"/>
      <c r="R60" s="370"/>
      <c r="S60" s="370"/>
      <c r="T60" s="370"/>
      <c r="U60" s="370"/>
      <c r="V60" s="370"/>
      <c r="W60" s="370"/>
      <c r="X60" s="370"/>
    </row>
    <row r="61" spans="2:24" ht="34">
      <c r="B61" s="293"/>
      <c r="C61" s="289"/>
      <c r="D61" s="301"/>
      <c r="E61" s="301"/>
      <c r="F61" s="355"/>
      <c r="G61" s="302"/>
      <c r="H61" s="355"/>
      <c r="J61" s="355"/>
      <c r="K61" s="311"/>
      <c r="L61" s="312"/>
      <c r="M61" s="312"/>
      <c r="N61" s="312"/>
      <c r="O61" s="312"/>
      <c r="P61" s="293"/>
      <c r="R61" s="659"/>
      <c r="S61" s="659"/>
    </row>
    <row r="62" spans="2:24">
      <c r="R62" s="659"/>
      <c r="S62" s="659"/>
    </row>
  </sheetData>
  <mergeCells count="8">
    <mergeCell ref="S19:T19"/>
    <mergeCell ref="U19:V19"/>
    <mergeCell ref="W19:X19"/>
    <mergeCell ref="O41:P41"/>
    <mergeCell ref="H42:J42"/>
    <mergeCell ref="H20:J20"/>
    <mergeCell ref="O19:P19"/>
    <mergeCell ref="Q19:R19"/>
  </mergeCells>
  <conditionalFormatting sqref="F39:G39">
    <cfRule type="iconSet" priority="6">
      <iconSet iconSet="3Arrows">
        <cfvo type="percent" val="0"/>
        <cfvo type="num" val="0"/>
        <cfvo type="num" val="9.9999999999999995E-8" gte="0"/>
      </iconSet>
    </cfRule>
  </conditionalFormatting>
  <conditionalFormatting sqref="F61:G61">
    <cfRule type="iconSet" priority="2">
      <iconSet iconSet="3Arrows">
        <cfvo type="percent" val="0"/>
        <cfvo type="num" val="0"/>
        <cfvo type="num" val="9.9999999999999995E-8" gte="0"/>
      </iconSet>
    </cfRule>
  </conditionalFormatting>
  <conditionalFormatting sqref="N33:O33">
    <cfRule type="iconSet" priority="11">
      <iconSet iconSet="3Arrows">
        <cfvo type="percent" val="0"/>
        <cfvo type="num" val="0"/>
        <cfvo type="num" val="1E-25" gte="0"/>
      </iconSet>
    </cfRule>
  </conditionalFormatting>
  <conditionalFormatting sqref="N55:X55">
    <cfRule type="iconSet" priority="3">
      <iconSet iconSet="3Arrows">
        <cfvo type="percent" val="0"/>
        <cfvo type="num" val="0"/>
        <cfvo type="num" val="1E-25" gte="0"/>
      </iconSet>
    </cfRule>
  </conditionalFormatting>
  <conditionalFormatting sqref="Q33 S33 U33 W33">
    <cfRule type="iconSet" priority="1">
      <iconSet iconSet="3Arrows">
        <cfvo type="percent" val="0"/>
        <cfvo type="num" val="0"/>
        <cfvo type="num" val="1E-25" gte="0"/>
      </iconSet>
    </cfRule>
  </conditionalFormatting>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5021-DF2E-41A7-B97C-E3C8C05BC169}">
  <sheetPr codeName="Sheet2">
    <tabColor theme="4" tint="0.79998168889431442"/>
  </sheetPr>
  <dimension ref="A1:DK443"/>
  <sheetViews>
    <sheetView showGridLines="0" topLeftCell="D1" zoomScale="90" zoomScaleNormal="90" workbookViewId="0">
      <selection activeCell="O54" sqref="O54"/>
    </sheetView>
  </sheetViews>
  <sheetFormatPr baseColWidth="10" defaultColWidth="8.83203125" defaultRowHeight="15"/>
  <cols>
    <col min="1" max="1" width="2.1640625" style="7" hidden="1" customWidth="1"/>
    <col min="2" max="2" width="33.1640625" style="7" hidden="1" customWidth="1"/>
    <col min="3" max="3" width="2.83203125" style="7" hidden="1" customWidth="1"/>
    <col min="4" max="5" width="2.1640625" style="236" customWidth="1"/>
    <col min="6" max="6" width="26.83203125" style="243" bestFit="1" customWidth="1"/>
    <col min="7" max="7" width="14.5" style="236" bestFit="1" customWidth="1"/>
    <col min="8" max="8" width="17" style="236" bestFit="1" customWidth="1"/>
    <col min="9" max="9" width="21" style="236" bestFit="1" customWidth="1"/>
    <col min="10" max="10" width="11.6640625" style="236" customWidth="1"/>
    <col min="11" max="11" width="10.5" style="265" customWidth="1"/>
    <col min="12" max="12" width="21.1640625" style="236" customWidth="1"/>
    <col min="13" max="13" width="2.1640625" style="236" customWidth="1"/>
    <col min="14" max="14" width="2.6640625" style="236" customWidth="1"/>
    <col min="15" max="15" width="12" style="236" customWidth="1"/>
    <col min="16" max="16" width="9.5" style="236" bestFit="1" customWidth="1"/>
    <col min="17" max="17" width="13.1640625" style="236" bestFit="1" customWidth="1"/>
    <col min="18" max="18" width="4.5" style="236" customWidth="1"/>
    <col min="19" max="19" width="3.1640625" style="236" customWidth="1"/>
    <col min="20" max="20" width="26.1640625" style="236" customWidth="1"/>
    <col min="21" max="21" width="14.83203125" style="114" bestFit="1" customWidth="1"/>
    <col min="22" max="22" width="4.33203125" style="114" customWidth="1"/>
    <col min="23" max="23" width="13.6640625" style="114" bestFit="1" customWidth="1"/>
    <col min="24" max="24" width="8.83203125" style="114"/>
    <col min="25" max="25" width="5.83203125" style="114" customWidth="1"/>
    <col min="26" max="26" width="3.1640625" style="114" customWidth="1"/>
    <col min="27" max="27" width="9.1640625" style="114" customWidth="1"/>
    <col min="28" max="115" width="8.83203125" style="236"/>
    <col min="116" max="16384" width="8.83203125" style="114"/>
  </cols>
  <sheetData>
    <row r="1" spans="1:115">
      <c r="A1" s="114"/>
      <c r="B1" s="114"/>
      <c r="C1" s="114"/>
      <c r="D1" s="114"/>
      <c r="E1" s="114"/>
      <c r="F1" s="118"/>
      <c r="G1" s="114"/>
      <c r="H1" s="114"/>
      <c r="I1" s="114"/>
      <c r="J1" s="114"/>
      <c r="K1" s="114"/>
      <c r="L1" s="114"/>
      <c r="M1" s="114"/>
      <c r="N1" s="114"/>
      <c r="O1" s="114"/>
      <c r="P1" s="114"/>
      <c r="Q1" s="114"/>
      <c r="R1" s="114"/>
      <c r="S1" s="114"/>
      <c r="T1" s="114"/>
    </row>
    <row r="2" spans="1:115">
      <c r="A2" s="114"/>
      <c r="B2" s="114"/>
      <c r="C2" s="114"/>
      <c r="D2" s="114"/>
      <c r="E2" s="114"/>
      <c r="F2" s="118"/>
      <c r="G2" s="114"/>
      <c r="H2" s="114"/>
      <c r="I2" s="114"/>
      <c r="J2" s="114"/>
      <c r="K2" s="114"/>
      <c r="L2" s="114"/>
      <c r="M2" s="114"/>
      <c r="N2" s="114"/>
      <c r="O2" s="114"/>
      <c r="P2" s="114"/>
      <c r="Q2" s="114"/>
      <c r="R2" s="114"/>
      <c r="S2" s="114"/>
      <c r="T2" s="114"/>
    </row>
    <row r="3" spans="1:115">
      <c r="A3" s="114"/>
      <c r="B3" s="114"/>
      <c r="C3" s="114"/>
      <c r="D3" s="114"/>
      <c r="E3" s="114"/>
      <c r="F3" s="118"/>
      <c r="G3" s="114"/>
      <c r="H3" s="114"/>
      <c r="I3" s="114"/>
      <c r="J3" s="114"/>
      <c r="K3" s="114"/>
      <c r="L3" s="114"/>
      <c r="M3" s="114"/>
      <c r="N3" s="114"/>
      <c r="O3" s="114"/>
      <c r="P3" s="114"/>
      <c r="Q3" s="114"/>
      <c r="R3" s="114"/>
      <c r="S3" s="114"/>
      <c r="T3" s="114"/>
    </row>
    <row r="4" spans="1:115">
      <c r="A4" s="114"/>
      <c r="B4" s="114"/>
      <c r="C4" s="114"/>
      <c r="D4" s="114"/>
      <c r="E4" s="114"/>
      <c r="F4" s="118"/>
      <c r="G4" s="114"/>
      <c r="H4" s="114"/>
      <c r="I4" s="114"/>
      <c r="J4" s="114"/>
      <c r="K4" s="114"/>
      <c r="L4" s="114"/>
      <c r="M4" s="114"/>
      <c r="N4" s="114"/>
      <c r="O4" s="114"/>
      <c r="P4" s="114"/>
      <c r="Q4" s="114"/>
      <c r="R4" s="114"/>
      <c r="S4" s="114"/>
      <c r="T4" s="114"/>
    </row>
    <row r="5" spans="1:115">
      <c r="A5" s="114"/>
      <c r="B5" s="114"/>
      <c r="C5" s="114"/>
      <c r="D5" s="114"/>
      <c r="E5" s="114"/>
      <c r="F5" s="118"/>
      <c r="G5" s="114"/>
      <c r="H5" s="114"/>
      <c r="I5" s="114"/>
      <c r="J5" s="114"/>
      <c r="K5" s="114"/>
      <c r="L5" s="114"/>
      <c r="M5" s="114"/>
      <c r="N5" s="114"/>
      <c r="O5" s="114"/>
      <c r="P5" s="114"/>
      <c r="Q5" s="114"/>
      <c r="R5" s="114"/>
      <c r="S5" s="114"/>
      <c r="T5" s="114"/>
    </row>
    <row r="6" spans="1:115" s="234" customFormat="1">
      <c r="F6" s="251"/>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row>
    <row r="7" spans="1:115" s="234" customFormat="1">
      <c r="A7" s="645"/>
      <c r="B7" s="645"/>
      <c r="C7" s="645"/>
      <c r="D7" s="293"/>
      <c r="E7" s="293"/>
      <c r="F7" s="294"/>
      <c r="G7" s="293"/>
      <c r="H7" s="293"/>
      <c r="I7" s="293"/>
      <c r="J7" s="293"/>
      <c r="K7" s="293"/>
      <c r="L7" s="293"/>
      <c r="M7" s="293"/>
      <c r="N7" s="293"/>
      <c r="O7" s="293"/>
      <c r="P7" s="293"/>
      <c r="Q7" s="293"/>
      <c r="R7" s="293"/>
      <c r="S7" s="293"/>
      <c r="T7" s="293"/>
      <c r="AB7" s="293"/>
      <c r="AC7" s="293"/>
      <c r="AD7" s="293"/>
      <c r="AE7" s="293"/>
      <c r="AF7" s="293"/>
      <c r="AG7" s="293"/>
      <c r="AH7" s="293"/>
      <c r="AI7" s="293"/>
      <c r="AJ7" s="293"/>
      <c r="AK7" s="293"/>
      <c r="AL7" s="293"/>
      <c r="AM7" s="293"/>
      <c r="AN7" s="293"/>
      <c r="AO7" s="293"/>
      <c r="AP7" s="293"/>
      <c r="AQ7" s="293"/>
      <c r="AR7" s="293"/>
      <c r="AS7" s="293"/>
      <c r="AT7" s="293"/>
      <c r="AU7" s="293"/>
      <c r="AV7" s="293"/>
      <c r="AW7" s="293"/>
      <c r="AX7" s="293"/>
      <c r="AY7" s="293"/>
      <c r="AZ7" s="293"/>
      <c r="BA7" s="293"/>
      <c r="BB7" s="293"/>
      <c r="BC7" s="293"/>
      <c r="BD7" s="293"/>
      <c r="BE7" s="293"/>
      <c r="BF7" s="293"/>
      <c r="BG7" s="293"/>
      <c r="BH7" s="293"/>
      <c r="BI7" s="293"/>
      <c r="BJ7" s="293"/>
      <c r="BK7" s="293"/>
      <c r="BL7" s="293"/>
      <c r="BM7" s="293"/>
      <c r="BN7" s="293"/>
      <c r="BO7" s="293"/>
      <c r="BP7" s="293"/>
      <c r="BQ7" s="293"/>
      <c r="BR7" s="293"/>
      <c r="BS7" s="293"/>
      <c r="BT7" s="293"/>
      <c r="BU7" s="293"/>
      <c r="BV7" s="293"/>
      <c r="BW7" s="293"/>
      <c r="BX7" s="293"/>
      <c r="BY7" s="293"/>
      <c r="BZ7" s="293"/>
      <c r="CA7" s="293"/>
      <c r="CB7" s="293"/>
      <c r="CC7" s="293"/>
      <c r="CD7" s="293"/>
      <c r="CE7" s="293"/>
      <c r="CF7" s="293"/>
      <c r="CG7" s="293"/>
      <c r="CH7" s="293"/>
      <c r="CI7" s="293"/>
      <c r="CJ7" s="293"/>
      <c r="CK7" s="293"/>
      <c r="CL7" s="293"/>
      <c r="CM7" s="293"/>
      <c r="CN7" s="293"/>
      <c r="CO7" s="293"/>
      <c r="CP7" s="293"/>
      <c r="CQ7" s="293"/>
      <c r="CR7" s="293"/>
      <c r="CS7" s="293"/>
      <c r="CT7" s="293"/>
      <c r="CU7" s="293"/>
      <c r="CV7" s="293"/>
      <c r="CW7" s="293"/>
      <c r="CX7" s="293"/>
      <c r="CY7" s="293"/>
      <c r="CZ7" s="293"/>
      <c r="DA7" s="293"/>
      <c r="DB7" s="293"/>
      <c r="DC7" s="293"/>
      <c r="DD7" s="293"/>
      <c r="DE7" s="293"/>
      <c r="DF7" s="293"/>
      <c r="DG7" s="293"/>
      <c r="DH7" s="293"/>
      <c r="DI7" s="293"/>
      <c r="DJ7" s="293"/>
      <c r="DK7" s="293"/>
    </row>
    <row r="8" spans="1:115" s="234" customFormat="1">
      <c r="A8" s="645"/>
      <c r="B8" s="645"/>
      <c r="C8" s="645"/>
      <c r="D8" s="293"/>
      <c r="E8" s="293"/>
      <c r="F8" s="294"/>
      <c r="G8" s="293"/>
      <c r="H8" s="293"/>
      <c r="I8" s="293"/>
      <c r="J8" s="293"/>
      <c r="K8" s="293"/>
      <c r="L8" s="293"/>
      <c r="M8" s="293"/>
      <c r="N8" s="293"/>
      <c r="O8" s="293"/>
      <c r="P8" s="293"/>
      <c r="Q8" s="293"/>
      <c r="R8" s="293"/>
      <c r="S8" s="293"/>
      <c r="T8" s="293"/>
      <c r="AB8" s="293"/>
      <c r="AC8" s="293"/>
      <c r="AD8" s="293"/>
      <c r="AE8" s="293"/>
      <c r="AF8" s="293"/>
      <c r="AG8" s="293"/>
      <c r="AH8" s="293"/>
      <c r="AI8" s="293"/>
      <c r="AJ8" s="293"/>
      <c r="AK8" s="293"/>
      <c r="AL8" s="293"/>
      <c r="AM8" s="293"/>
      <c r="AN8" s="293"/>
      <c r="AO8" s="293"/>
      <c r="AP8" s="293"/>
      <c r="AQ8" s="293"/>
      <c r="AR8" s="293"/>
      <c r="AS8" s="293"/>
      <c r="AT8" s="293"/>
      <c r="AU8" s="293"/>
      <c r="AV8" s="293"/>
      <c r="AW8" s="293"/>
      <c r="AX8" s="293"/>
      <c r="AY8" s="293"/>
      <c r="AZ8" s="293"/>
      <c r="BA8" s="293"/>
      <c r="BB8" s="293"/>
      <c r="BC8" s="293"/>
      <c r="BD8" s="293"/>
      <c r="BE8" s="293"/>
      <c r="BF8" s="293"/>
      <c r="BG8" s="293"/>
      <c r="BH8" s="293"/>
      <c r="BI8" s="293"/>
      <c r="BJ8" s="293"/>
      <c r="BK8" s="293"/>
      <c r="BL8" s="293"/>
      <c r="BM8" s="293"/>
      <c r="BN8" s="293"/>
      <c r="BO8" s="293"/>
      <c r="BP8" s="293"/>
      <c r="BQ8" s="293"/>
      <c r="BR8" s="293"/>
      <c r="BS8" s="293"/>
      <c r="BT8" s="293"/>
      <c r="BU8" s="293"/>
      <c r="BV8" s="293"/>
      <c r="BW8" s="293"/>
      <c r="BX8" s="293"/>
      <c r="BY8" s="293"/>
      <c r="BZ8" s="293"/>
      <c r="CA8" s="293"/>
      <c r="CB8" s="293"/>
      <c r="CC8" s="293"/>
      <c r="CD8" s="293"/>
      <c r="CE8" s="293"/>
      <c r="CF8" s="293"/>
      <c r="CG8" s="293"/>
      <c r="CH8" s="293"/>
      <c r="CI8" s="293"/>
      <c r="CJ8" s="293"/>
      <c r="CK8" s="293"/>
      <c r="CL8" s="293"/>
      <c r="CM8" s="293"/>
      <c r="CN8" s="293"/>
      <c r="CO8" s="293"/>
      <c r="CP8" s="293"/>
      <c r="CQ8" s="293"/>
      <c r="CR8" s="293"/>
      <c r="CS8" s="293"/>
      <c r="CT8" s="293"/>
      <c r="CU8" s="293"/>
      <c r="CV8" s="293"/>
      <c r="CW8" s="293"/>
      <c r="CX8" s="293"/>
      <c r="CY8" s="293"/>
      <c r="CZ8" s="293"/>
      <c r="DA8" s="293"/>
      <c r="DB8" s="293"/>
      <c r="DC8" s="293"/>
      <c r="DD8" s="293"/>
      <c r="DE8" s="293"/>
      <c r="DF8" s="293"/>
      <c r="DG8" s="293"/>
      <c r="DH8" s="293"/>
      <c r="DI8" s="293"/>
      <c r="DJ8" s="293"/>
      <c r="DK8" s="293"/>
    </row>
    <row r="9" spans="1:115" s="234" customFormat="1">
      <c r="A9" s="645"/>
      <c r="B9" s="645"/>
      <c r="C9" s="645"/>
      <c r="D9" s="293"/>
      <c r="E9" s="293"/>
      <c r="F9" s="294"/>
      <c r="G9" s="293"/>
      <c r="H9" s="293"/>
      <c r="I9" s="293"/>
      <c r="J9" s="293"/>
      <c r="K9" s="293"/>
      <c r="L9" s="293"/>
      <c r="M9" s="293"/>
      <c r="N9" s="293"/>
      <c r="O9" s="293"/>
      <c r="P9" s="293"/>
      <c r="Q9" s="293"/>
      <c r="R9" s="293"/>
      <c r="S9" s="293"/>
      <c r="T9" s="293"/>
      <c r="AB9" s="293"/>
      <c r="AC9" s="293"/>
      <c r="AD9" s="293"/>
      <c r="AE9" s="293"/>
      <c r="AF9" s="293"/>
      <c r="AG9" s="293"/>
      <c r="AH9" s="293"/>
      <c r="AI9" s="293"/>
      <c r="AJ9" s="293"/>
      <c r="AK9" s="293"/>
      <c r="AL9" s="293"/>
      <c r="AM9" s="293"/>
      <c r="AN9" s="293"/>
      <c r="AO9" s="293"/>
      <c r="AP9" s="293"/>
      <c r="AQ9" s="293"/>
      <c r="AR9" s="293"/>
      <c r="AS9" s="293"/>
      <c r="AT9" s="293"/>
      <c r="AU9" s="293"/>
      <c r="AV9" s="293"/>
      <c r="AW9" s="293"/>
      <c r="AX9" s="293"/>
      <c r="AY9" s="293"/>
      <c r="AZ9" s="293"/>
      <c r="BA9" s="293"/>
      <c r="BB9" s="293"/>
      <c r="BC9" s="293"/>
      <c r="BD9" s="293"/>
      <c r="BE9" s="293"/>
      <c r="BF9" s="293"/>
      <c r="BG9" s="293"/>
      <c r="BH9" s="293"/>
      <c r="BI9" s="293"/>
      <c r="BJ9" s="293"/>
      <c r="BK9" s="293"/>
      <c r="BL9" s="293"/>
      <c r="BM9" s="293"/>
      <c r="BN9" s="293"/>
      <c r="BO9" s="293"/>
      <c r="BP9" s="293"/>
      <c r="BQ9" s="293"/>
      <c r="BR9" s="293"/>
      <c r="BS9" s="293"/>
      <c r="BT9" s="293"/>
      <c r="BU9" s="293"/>
      <c r="BV9" s="293"/>
      <c r="BW9" s="293"/>
      <c r="BX9" s="293"/>
      <c r="BY9" s="293"/>
      <c r="BZ9" s="293"/>
      <c r="CA9" s="293"/>
      <c r="CB9" s="293"/>
      <c r="CC9" s="293"/>
      <c r="CD9" s="293"/>
      <c r="CE9" s="293"/>
      <c r="CF9" s="293"/>
      <c r="CG9" s="293"/>
      <c r="CH9" s="293"/>
      <c r="CI9" s="293"/>
      <c r="CJ9" s="293"/>
      <c r="CK9" s="293"/>
      <c r="CL9" s="293"/>
      <c r="CM9" s="293"/>
      <c r="CN9" s="293"/>
      <c r="CO9" s="293"/>
      <c r="CP9" s="293"/>
      <c r="CQ9" s="293"/>
      <c r="CR9" s="293"/>
      <c r="CS9" s="293"/>
      <c r="CT9" s="293"/>
      <c r="CU9" s="293"/>
      <c r="CV9" s="293"/>
      <c r="CW9" s="293"/>
      <c r="CX9" s="293"/>
      <c r="CY9" s="293"/>
      <c r="CZ9" s="293"/>
      <c r="DA9" s="293"/>
      <c r="DB9" s="293"/>
      <c r="DC9" s="293"/>
      <c r="DD9" s="293"/>
      <c r="DE9" s="293"/>
      <c r="DF9" s="293"/>
      <c r="DG9" s="293"/>
      <c r="DH9" s="293"/>
      <c r="DI9" s="293"/>
      <c r="DJ9" s="293"/>
      <c r="DK9" s="293"/>
    </row>
    <row r="10" spans="1:115" s="234" customFormat="1">
      <c r="A10" s="645"/>
      <c r="B10" s="645"/>
      <c r="C10" s="645"/>
      <c r="D10" s="293"/>
      <c r="E10" s="293"/>
      <c r="F10" s="294"/>
      <c r="G10" s="293"/>
      <c r="H10" s="293"/>
      <c r="I10" s="293"/>
      <c r="J10" s="293"/>
      <c r="K10" s="293"/>
      <c r="L10" s="293"/>
      <c r="M10" s="293"/>
      <c r="N10" s="293"/>
      <c r="O10" s="293"/>
      <c r="P10" s="293"/>
      <c r="Q10" s="293"/>
      <c r="R10" s="293"/>
      <c r="S10" s="293"/>
      <c r="T10" s="293"/>
      <c r="AB10" s="293"/>
      <c r="AC10" s="293"/>
      <c r="AD10" s="293"/>
      <c r="AE10" s="293"/>
      <c r="AF10" s="293"/>
      <c r="AG10" s="293"/>
      <c r="AH10" s="293"/>
      <c r="AI10" s="293"/>
      <c r="AJ10" s="293"/>
      <c r="AK10" s="293"/>
      <c r="AL10" s="293"/>
      <c r="AM10" s="293"/>
      <c r="AN10" s="293"/>
      <c r="AO10" s="293"/>
      <c r="AP10" s="293"/>
      <c r="AQ10" s="293"/>
      <c r="AR10" s="293"/>
      <c r="AS10" s="293"/>
      <c r="AT10" s="293"/>
      <c r="AU10" s="293"/>
      <c r="AV10" s="293"/>
      <c r="AW10" s="293"/>
      <c r="AX10" s="293"/>
      <c r="AY10" s="293"/>
      <c r="AZ10" s="293"/>
      <c r="BA10" s="293"/>
      <c r="BB10" s="293"/>
      <c r="BC10" s="293"/>
      <c r="BD10" s="293"/>
      <c r="BE10" s="293"/>
      <c r="BF10" s="293"/>
      <c r="BG10" s="293"/>
      <c r="BH10" s="293"/>
      <c r="BI10" s="293"/>
      <c r="BJ10" s="293"/>
      <c r="BK10" s="293"/>
      <c r="BL10" s="293"/>
      <c r="BM10" s="293"/>
      <c r="BN10" s="293"/>
      <c r="BO10" s="293"/>
      <c r="BP10" s="293"/>
      <c r="BQ10" s="293"/>
      <c r="BR10" s="293"/>
      <c r="BS10" s="293"/>
      <c r="BT10" s="293"/>
      <c r="BU10" s="293"/>
      <c r="BV10" s="293"/>
      <c r="BW10" s="293"/>
      <c r="BX10" s="293"/>
      <c r="BY10" s="293"/>
      <c r="BZ10" s="293"/>
      <c r="CA10" s="293"/>
      <c r="CB10" s="293"/>
      <c r="CC10" s="293"/>
      <c r="CD10" s="293"/>
      <c r="CE10" s="293"/>
      <c r="CF10" s="293"/>
      <c r="CG10" s="293"/>
      <c r="CH10" s="293"/>
      <c r="CI10" s="293"/>
      <c r="CJ10" s="293"/>
      <c r="CK10" s="293"/>
      <c r="CL10" s="293"/>
      <c r="CM10" s="293"/>
      <c r="CN10" s="293"/>
      <c r="CO10" s="293"/>
      <c r="CP10" s="293"/>
      <c r="CQ10" s="293"/>
      <c r="CR10" s="293"/>
      <c r="CS10" s="293"/>
      <c r="CT10" s="293"/>
      <c r="CU10" s="293"/>
      <c r="CV10" s="293"/>
      <c r="CW10" s="293"/>
      <c r="CX10" s="293"/>
      <c r="CY10" s="293"/>
      <c r="CZ10" s="293"/>
      <c r="DA10" s="293"/>
      <c r="DB10" s="293"/>
      <c r="DC10" s="293"/>
      <c r="DD10" s="293"/>
      <c r="DE10" s="293"/>
      <c r="DF10" s="293"/>
      <c r="DG10" s="293"/>
      <c r="DH10" s="293"/>
      <c r="DI10" s="293"/>
      <c r="DJ10" s="293"/>
      <c r="DK10" s="293"/>
    </row>
    <row r="11" spans="1:115" s="234" customFormat="1">
      <c r="A11" s="645"/>
      <c r="B11" s="645"/>
      <c r="C11" s="645"/>
      <c r="D11" s="293"/>
      <c r="E11" s="293"/>
      <c r="F11" s="294"/>
      <c r="G11" s="293"/>
      <c r="H11" s="293"/>
      <c r="I11" s="293"/>
      <c r="J11" s="293"/>
      <c r="K11" s="293"/>
      <c r="L11" s="293"/>
      <c r="M11" s="293"/>
      <c r="N11" s="293"/>
      <c r="O11" s="293"/>
      <c r="P11" s="293"/>
      <c r="Q11" s="293"/>
      <c r="R11" s="293"/>
      <c r="S11" s="293"/>
      <c r="T11" s="293"/>
      <c r="AB11" s="293"/>
      <c r="AC11" s="293"/>
      <c r="AD11" s="293"/>
      <c r="AE11" s="293"/>
      <c r="AF11" s="293"/>
      <c r="AG11" s="293"/>
      <c r="AH11" s="293"/>
      <c r="AI11" s="293"/>
      <c r="AJ11" s="293"/>
      <c r="AK11" s="293"/>
      <c r="AL11" s="293"/>
      <c r="AM11" s="293"/>
      <c r="AN11" s="293"/>
      <c r="AO11" s="293"/>
      <c r="AP11" s="293"/>
      <c r="AQ11" s="293"/>
      <c r="AR11" s="293"/>
      <c r="AS11" s="293"/>
      <c r="AT11" s="293"/>
      <c r="AU11" s="293"/>
      <c r="AV11" s="293"/>
      <c r="AW11" s="293"/>
      <c r="AX11" s="293"/>
      <c r="AY11" s="293"/>
      <c r="AZ11" s="293"/>
      <c r="BA11" s="293"/>
      <c r="BB11" s="293"/>
      <c r="BC11" s="293"/>
      <c r="BD11" s="293"/>
      <c r="BE11" s="293"/>
      <c r="BF11" s="293"/>
      <c r="BG11" s="293"/>
      <c r="BH11" s="293"/>
      <c r="BI11" s="293"/>
      <c r="BJ11" s="293"/>
      <c r="BK11" s="293"/>
      <c r="BL11" s="293"/>
      <c r="BM11" s="293"/>
      <c r="BN11" s="293"/>
      <c r="BO11" s="293"/>
      <c r="BP11" s="293"/>
      <c r="BQ11" s="293"/>
      <c r="BR11" s="293"/>
      <c r="BS11" s="293"/>
      <c r="BT11" s="293"/>
      <c r="BU11" s="293"/>
      <c r="BV11" s="293"/>
      <c r="BW11" s="293"/>
      <c r="BX11" s="293"/>
      <c r="BY11" s="293"/>
      <c r="BZ11" s="293"/>
      <c r="CA11" s="293"/>
      <c r="CB11" s="293"/>
      <c r="CC11" s="293"/>
      <c r="CD11" s="293"/>
      <c r="CE11" s="293"/>
      <c r="CF11" s="293"/>
      <c r="CG11" s="293"/>
      <c r="CH11" s="293"/>
      <c r="CI11" s="293"/>
      <c r="CJ11" s="293"/>
      <c r="CK11" s="293"/>
      <c r="CL11" s="293"/>
      <c r="CM11" s="293"/>
      <c r="CN11" s="293"/>
      <c r="CO11" s="293"/>
      <c r="CP11" s="293"/>
      <c r="CQ11" s="293"/>
      <c r="CR11" s="293"/>
      <c r="CS11" s="293"/>
      <c r="CT11" s="293"/>
      <c r="CU11" s="293"/>
      <c r="CV11" s="293"/>
      <c r="CW11" s="293"/>
      <c r="CX11" s="293"/>
      <c r="CY11" s="293"/>
      <c r="CZ11" s="293"/>
      <c r="DA11" s="293"/>
      <c r="DB11" s="293"/>
      <c r="DC11" s="293"/>
      <c r="DD11" s="293"/>
      <c r="DE11" s="293"/>
      <c r="DF11" s="293"/>
      <c r="DG11" s="293"/>
      <c r="DH11" s="293"/>
      <c r="DI11" s="293"/>
      <c r="DJ11" s="293"/>
      <c r="DK11" s="293"/>
    </row>
    <row r="12" spans="1:115" s="234" customFormat="1">
      <c r="A12" s="645"/>
      <c r="B12" s="645"/>
      <c r="C12" s="645"/>
      <c r="D12" s="293"/>
      <c r="E12" s="293"/>
      <c r="F12" s="294"/>
      <c r="G12" s="293"/>
      <c r="H12" s="293"/>
      <c r="I12" s="293"/>
      <c r="J12" s="293"/>
      <c r="K12" s="293"/>
      <c r="L12" s="293"/>
      <c r="M12" s="293"/>
      <c r="N12" s="293"/>
      <c r="O12" s="293"/>
      <c r="P12" s="293"/>
      <c r="Q12" s="293"/>
      <c r="R12" s="293"/>
      <c r="S12" s="293"/>
      <c r="T12" s="293"/>
      <c r="AB12" s="293"/>
      <c r="AC12" s="293"/>
      <c r="AD12" s="293"/>
      <c r="AE12" s="293"/>
      <c r="AF12" s="293"/>
      <c r="AG12" s="293"/>
      <c r="AH12" s="293"/>
      <c r="AI12" s="293"/>
      <c r="AJ12" s="293"/>
      <c r="AK12" s="293"/>
      <c r="AL12" s="293"/>
      <c r="AM12" s="293"/>
      <c r="AN12" s="293"/>
      <c r="AO12" s="293"/>
      <c r="AP12" s="293"/>
      <c r="AQ12" s="293"/>
      <c r="AR12" s="293"/>
      <c r="AS12" s="293"/>
      <c r="AT12" s="293"/>
      <c r="AU12" s="293"/>
      <c r="AV12" s="293"/>
      <c r="AW12" s="293"/>
      <c r="AX12" s="293"/>
      <c r="AY12" s="293"/>
      <c r="AZ12" s="293"/>
      <c r="BA12" s="293"/>
      <c r="BB12" s="293"/>
      <c r="BC12" s="293"/>
      <c r="BD12" s="293"/>
      <c r="BE12" s="293"/>
      <c r="BF12" s="293"/>
      <c r="BG12" s="293"/>
      <c r="BH12" s="293"/>
      <c r="BI12" s="293"/>
      <c r="BJ12" s="293"/>
      <c r="BK12" s="293"/>
      <c r="BL12" s="293"/>
      <c r="BM12" s="293"/>
      <c r="BN12" s="293"/>
      <c r="BO12" s="293"/>
      <c r="BP12" s="293"/>
      <c r="BQ12" s="293"/>
      <c r="BR12" s="293"/>
      <c r="BS12" s="293"/>
      <c r="BT12" s="293"/>
      <c r="BU12" s="293"/>
      <c r="BV12" s="293"/>
      <c r="BW12" s="293"/>
      <c r="BX12" s="293"/>
      <c r="BY12" s="293"/>
      <c r="BZ12" s="293"/>
      <c r="CA12" s="293"/>
      <c r="CB12" s="293"/>
      <c r="CC12" s="293"/>
      <c r="CD12" s="293"/>
      <c r="CE12" s="293"/>
      <c r="CF12" s="293"/>
      <c r="CG12" s="293"/>
      <c r="CH12" s="293"/>
      <c r="CI12" s="293"/>
      <c r="CJ12" s="293"/>
      <c r="CK12" s="293"/>
      <c r="CL12" s="293"/>
      <c r="CM12" s="293"/>
      <c r="CN12" s="293"/>
      <c r="CO12" s="293"/>
      <c r="CP12" s="293"/>
      <c r="CQ12" s="293"/>
      <c r="CR12" s="293"/>
      <c r="CS12" s="293"/>
      <c r="CT12" s="293"/>
      <c r="CU12" s="293"/>
      <c r="CV12" s="293"/>
      <c r="CW12" s="293"/>
      <c r="CX12" s="293"/>
      <c r="CY12" s="293"/>
      <c r="CZ12" s="293"/>
      <c r="DA12" s="293"/>
      <c r="DB12" s="293"/>
      <c r="DC12" s="293"/>
      <c r="DD12" s="293"/>
      <c r="DE12" s="293"/>
      <c r="DF12" s="293"/>
      <c r="DG12" s="293"/>
      <c r="DH12" s="293"/>
      <c r="DI12" s="293"/>
      <c r="DJ12" s="293"/>
      <c r="DK12" s="293"/>
    </row>
    <row r="13" spans="1:115" s="234" customFormat="1">
      <c r="A13" s="645"/>
      <c r="B13" s="645"/>
      <c r="C13" s="645"/>
      <c r="D13" s="293"/>
      <c r="E13" s="293"/>
      <c r="F13" s="294"/>
      <c r="G13" s="293"/>
      <c r="H13" s="293"/>
      <c r="I13" s="293"/>
      <c r="J13" s="293"/>
      <c r="K13" s="293"/>
      <c r="L13" s="293"/>
      <c r="M13" s="293"/>
      <c r="N13" s="293"/>
      <c r="O13" s="293"/>
      <c r="P13" s="293"/>
      <c r="Q13" s="293"/>
      <c r="R13" s="293"/>
      <c r="S13" s="293"/>
      <c r="T13" s="293"/>
      <c r="AB13" s="293"/>
      <c r="AC13" s="293"/>
      <c r="AD13" s="293"/>
      <c r="AE13" s="293"/>
      <c r="AF13" s="293"/>
      <c r="AG13" s="293"/>
      <c r="AH13" s="293"/>
      <c r="AI13" s="293"/>
      <c r="AJ13" s="293"/>
      <c r="AK13" s="293"/>
      <c r="AL13" s="293"/>
      <c r="AM13" s="293"/>
      <c r="AN13" s="293"/>
      <c r="AO13" s="293"/>
      <c r="AP13" s="293"/>
      <c r="AQ13" s="293"/>
      <c r="AR13" s="293"/>
      <c r="AS13" s="293"/>
      <c r="AT13" s="293"/>
      <c r="AU13" s="293"/>
      <c r="AV13" s="293"/>
      <c r="AW13" s="293"/>
      <c r="AX13" s="293"/>
      <c r="AY13" s="293"/>
      <c r="AZ13" s="293"/>
      <c r="BA13" s="293"/>
      <c r="BB13" s="293"/>
      <c r="BC13" s="293"/>
      <c r="BD13" s="293"/>
      <c r="BE13" s="293"/>
      <c r="BF13" s="293"/>
      <c r="BG13" s="293"/>
      <c r="BH13" s="293"/>
      <c r="BI13" s="293"/>
      <c r="BJ13" s="293"/>
      <c r="BK13" s="293"/>
      <c r="BL13" s="293"/>
      <c r="BM13" s="293"/>
      <c r="BN13" s="293"/>
      <c r="BO13" s="293"/>
      <c r="BP13" s="293"/>
      <c r="BQ13" s="293"/>
      <c r="BR13" s="293"/>
      <c r="BS13" s="293"/>
      <c r="BT13" s="293"/>
      <c r="BU13" s="293"/>
      <c r="BV13" s="293"/>
      <c r="BW13" s="293"/>
      <c r="BX13" s="293"/>
      <c r="BY13" s="293"/>
      <c r="BZ13" s="293"/>
      <c r="CA13" s="293"/>
      <c r="CB13" s="293"/>
      <c r="CC13" s="293"/>
      <c r="CD13" s="293"/>
      <c r="CE13" s="293"/>
      <c r="CF13" s="293"/>
      <c r="CG13" s="293"/>
      <c r="CH13" s="293"/>
      <c r="CI13" s="293"/>
      <c r="CJ13" s="293"/>
      <c r="CK13" s="293"/>
      <c r="CL13" s="293"/>
      <c r="CM13" s="293"/>
      <c r="CN13" s="293"/>
      <c r="CO13" s="293"/>
      <c r="CP13" s="293"/>
      <c r="CQ13" s="293"/>
      <c r="CR13" s="293"/>
      <c r="CS13" s="293"/>
      <c r="CT13" s="293"/>
      <c r="CU13" s="293"/>
      <c r="CV13" s="293"/>
      <c r="CW13" s="293"/>
      <c r="CX13" s="293"/>
      <c r="CY13" s="293"/>
      <c r="CZ13" s="293"/>
      <c r="DA13" s="293"/>
      <c r="DB13" s="293"/>
      <c r="DC13" s="293"/>
      <c r="DD13" s="293"/>
      <c r="DE13" s="293"/>
      <c r="DF13" s="293"/>
      <c r="DG13" s="293"/>
      <c r="DH13" s="293"/>
      <c r="DI13" s="293"/>
      <c r="DJ13" s="293"/>
      <c r="DK13" s="293"/>
    </row>
    <row r="14" spans="1:115" ht="19">
      <c r="D14" s="114"/>
      <c r="E14" s="114"/>
      <c r="F14" s="118"/>
      <c r="G14" s="147"/>
      <c r="H14" s="147"/>
      <c r="I14" s="147"/>
      <c r="J14" s="114"/>
      <c r="K14" s="114"/>
      <c r="L14" s="114"/>
      <c r="M14" s="114"/>
      <c r="N14" s="114"/>
      <c r="O14" s="114"/>
      <c r="P14" s="114"/>
      <c r="Q14" s="114"/>
      <c r="R14" s="114"/>
      <c r="S14" s="114"/>
      <c r="T14" s="114"/>
      <c r="W14" s="280" t="s">
        <v>258</v>
      </c>
      <c r="X14" s="280" t="s">
        <v>256</v>
      </c>
      <c r="Y14" s="337" t="s">
        <v>259</v>
      </c>
      <c r="Z14" s="337" t="s">
        <v>257</v>
      </c>
    </row>
    <row r="15" spans="1:115" ht="19">
      <c r="A15" s="114"/>
      <c r="B15" s="114"/>
      <c r="C15" s="114"/>
      <c r="D15" s="114"/>
      <c r="E15" s="114"/>
      <c r="F15" s="118"/>
      <c r="G15" s="147"/>
      <c r="H15" s="129"/>
      <c r="I15" s="129"/>
      <c r="J15" s="114"/>
      <c r="K15" s="264"/>
      <c r="L15" s="114"/>
      <c r="M15" s="114"/>
      <c r="N15" s="114"/>
      <c r="O15" s="114"/>
      <c r="P15" s="114"/>
      <c r="Q15" s="114"/>
      <c r="R15" s="114"/>
      <c r="S15" s="114"/>
      <c r="T15" s="114"/>
      <c r="W15" s="280"/>
      <c r="X15" s="280"/>
      <c r="Y15" s="337"/>
      <c r="Z15" s="337"/>
      <c r="AB15" s="114"/>
    </row>
    <row r="16" spans="1:115" ht="25" thickBot="1">
      <c r="A16" s="114"/>
      <c r="B16" s="114"/>
      <c r="C16" s="114"/>
      <c r="D16" s="114"/>
      <c r="E16" s="114"/>
      <c r="F16" s="807" t="s">
        <v>1004</v>
      </c>
      <c r="G16" s="807"/>
      <c r="H16" s="419"/>
      <c r="I16" s="114"/>
      <c r="J16" s="114"/>
      <c r="K16" s="264"/>
      <c r="L16" s="114"/>
      <c r="M16" s="130"/>
      <c r="N16" s="114"/>
      <c r="O16" s="114"/>
      <c r="P16" s="114"/>
      <c r="Q16" s="114"/>
      <c r="R16" s="114"/>
      <c r="S16" s="114"/>
      <c r="T16" s="114"/>
      <c r="AB16" s="114"/>
    </row>
    <row r="17" spans="1:115">
      <c r="A17" s="114"/>
      <c r="B17" s="114"/>
      <c r="C17" s="114"/>
      <c r="D17" s="114"/>
      <c r="E17" s="114"/>
      <c r="F17" s="118"/>
      <c r="G17" s="114"/>
      <c r="H17" s="114"/>
      <c r="I17" s="114"/>
      <c r="J17" s="114"/>
      <c r="K17" s="264"/>
      <c r="L17" s="114"/>
      <c r="M17" s="114"/>
      <c r="N17" s="114"/>
      <c r="O17" s="114"/>
      <c r="P17" s="114"/>
      <c r="Q17" s="114"/>
      <c r="R17" s="114"/>
      <c r="S17" s="114"/>
      <c r="T17" s="114"/>
      <c r="AB17" s="114"/>
    </row>
    <row r="18" spans="1:115">
      <c r="A18" s="236"/>
      <c r="B18" s="236"/>
      <c r="C18" s="236"/>
      <c r="U18" s="236"/>
      <c r="V18" s="236"/>
      <c r="W18" s="236"/>
      <c r="X18" s="236"/>
      <c r="Y18" s="236"/>
      <c r="Z18" s="236"/>
      <c r="AA18" s="236"/>
    </row>
    <row r="19" spans="1:115" ht="3.5" customHeight="1">
      <c r="E19" s="293"/>
      <c r="F19" s="470"/>
      <c r="G19" s="497"/>
      <c r="H19" s="514"/>
      <c r="I19" s="515"/>
      <c r="J19" s="497"/>
      <c r="K19" s="498"/>
      <c r="L19" s="497"/>
      <c r="M19" s="249"/>
      <c r="O19" s="495"/>
      <c r="P19" s="499"/>
      <c r="Q19" s="499"/>
      <c r="R19" s="473"/>
      <c r="S19" s="473"/>
      <c r="T19" s="495"/>
      <c r="U19" s="497"/>
      <c r="V19" s="473"/>
      <c r="W19" s="473"/>
      <c r="X19" s="473"/>
      <c r="Y19" s="473"/>
      <c r="Z19" s="236"/>
      <c r="AA19" s="236"/>
    </row>
    <row r="20" spans="1:115" ht="19">
      <c r="B20" s="240"/>
      <c r="E20" s="234"/>
      <c r="F20" s="118"/>
      <c r="G20" s="50"/>
      <c r="H20" s="50"/>
      <c r="I20" s="50"/>
      <c r="J20" s="50"/>
      <c r="K20" s="808" t="s">
        <v>1028</v>
      </c>
      <c r="L20" s="808"/>
      <c r="M20" s="391"/>
      <c r="N20" s="470"/>
      <c r="O20" s="470"/>
      <c r="P20" s="470"/>
      <c r="Q20" s="470"/>
      <c r="R20" s="470"/>
      <c r="S20" s="470"/>
      <c r="T20" s="470"/>
      <c r="U20" s="470"/>
      <c r="V20" s="470"/>
      <c r="W20" s="470"/>
      <c r="X20" s="470"/>
      <c r="Y20" s="470"/>
      <c r="Z20" s="470"/>
      <c r="AA20" s="470"/>
      <c r="AB20" s="470"/>
    </row>
    <row r="21" spans="1:115" s="236" customFormat="1" ht="18">
      <c r="E21" s="234"/>
      <c r="F21" t="s">
        <v>1005</v>
      </c>
      <c r="G21"/>
      <c r="H21"/>
      <c r="I21"/>
      <c r="J21" s="391"/>
      <c r="K21" s="391"/>
      <c r="L21" s="391"/>
      <c r="M21" s="391"/>
      <c r="N21" s="470"/>
      <c r="O21" s="470"/>
      <c r="P21" s="470"/>
      <c r="Q21" s="470"/>
      <c r="R21" s="470"/>
      <c r="S21" s="470"/>
      <c r="T21" s="470"/>
      <c r="U21" s="470"/>
      <c r="V21" s="470"/>
      <c r="W21" s="470"/>
      <c r="X21" s="470"/>
      <c r="Y21" s="470"/>
      <c r="Z21" s="470"/>
      <c r="AA21" s="470"/>
      <c r="AB21" s="470"/>
    </row>
    <row r="22" spans="1:115" s="236" customFormat="1" ht="18">
      <c r="E22" s="234"/>
      <c r="F22"/>
      <c r="G22"/>
      <c r="H22"/>
      <c r="I22"/>
      <c r="J22" s="391"/>
      <c r="K22" s="391"/>
      <c r="L22" s="391"/>
      <c r="M22" s="391"/>
      <c r="N22" s="470"/>
      <c r="O22" s="470"/>
      <c r="P22" s="470"/>
      <c r="Q22" s="470"/>
      <c r="R22" s="470"/>
      <c r="S22" s="470"/>
      <c r="T22" s="470"/>
      <c r="U22" s="470"/>
      <c r="V22" s="470"/>
      <c r="W22" s="470"/>
      <c r="X22" s="470"/>
      <c r="Y22" s="470"/>
      <c r="Z22" s="470"/>
      <c r="AA22" s="470"/>
      <c r="AB22" s="470"/>
    </row>
    <row r="23" spans="1:115" s="681" customFormat="1" ht="19">
      <c r="A23" s="680"/>
      <c r="B23" s="678"/>
      <c r="C23" s="680"/>
      <c r="D23" s="680"/>
      <c r="G23" s="682"/>
      <c r="H23" s="682"/>
      <c r="I23" s="682"/>
      <c r="J23" s="679"/>
      <c r="K23" s="679"/>
      <c r="L23" s="683" t="s">
        <v>1027</v>
      </c>
      <c r="M23" s="679"/>
      <c r="N23" s="688"/>
      <c r="O23" s="688"/>
      <c r="P23" s="688"/>
      <c r="Q23" s="688"/>
      <c r="R23" s="688"/>
      <c r="S23" s="688"/>
      <c r="T23" s="688"/>
      <c r="U23" s="688"/>
      <c r="V23" s="688"/>
      <c r="W23" s="688"/>
      <c r="X23" s="688"/>
      <c r="Y23" s="688"/>
      <c r="Z23" s="688"/>
      <c r="AA23" s="688"/>
      <c r="AB23" s="688"/>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0"/>
      <c r="DB23" s="680"/>
      <c r="DC23" s="680"/>
      <c r="DD23" s="680"/>
      <c r="DE23" s="680"/>
      <c r="DF23" s="680"/>
      <c r="DG23" s="680"/>
      <c r="DH23" s="680"/>
      <c r="DI23" s="680"/>
      <c r="DJ23" s="680"/>
      <c r="DK23" s="680"/>
    </row>
    <row r="24" spans="1:115" ht="19">
      <c r="B24" s="240"/>
      <c r="E24" s="234"/>
      <c r="F24"/>
      <c r="G24"/>
      <c r="H24"/>
      <c r="I24"/>
      <c r="J24" s="391"/>
      <c r="K24" s="391"/>
      <c r="L24" s="391"/>
      <c r="M24" s="391"/>
      <c r="N24" s="470"/>
      <c r="O24" s="470"/>
      <c r="P24" s="470"/>
      <c r="Q24" s="470"/>
      <c r="R24" s="470"/>
      <c r="S24" s="470"/>
      <c r="T24" s="470"/>
      <c r="U24" s="470"/>
      <c r="V24" s="470"/>
      <c r="W24" s="470"/>
      <c r="X24" s="470"/>
      <c r="Y24" s="470"/>
      <c r="Z24" s="470"/>
      <c r="AA24" s="470"/>
      <c r="AB24" s="470"/>
    </row>
    <row r="25" spans="1:115" ht="19">
      <c r="B25" s="240"/>
      <c r="E25" s="234"/>
      <c r="F25" t="s">
        <v>1006</v>
      </c>
      <c r="G25"/>
      <c r="H25"/>
      <c r="I25"/>
      <c r="J25" s="391"/>
      <c r="K25" s="391"/>
      <c r="L25" s="391"/>
      <c r="M25" s="391"/>
      <c r="N25" s="470"/>
      <c r="O25" s="470"/>
      <c r="P25" s="470"/>
      <c r="Q25" s="470"/>
      <c r="R25" s="470"/>
      <c r="S25" s="470"/>
      <c r="T25" s="470"/>
      <c r="U25" s="470"/>
      <c r="V25" s="470"/>
      <c r="W25" s="470"/>
      <c r="X25" s="470"/>
      <c r="Y25" s="470"/>
      <c r="Z25" s="470"/>
      <c r="AA25" s="470"/>
      <c r="AB25" s="470"/>
    </row>
    <row r="26" spans="1:115" ht="19">
      <c r="B26" s="240"/>
      <c r="E26" s="114"/>
      <c r="F26" s="573" t="s">
        <v>1007</v>
      </c>
      <c r="G26"/>
      <c r="H26"/>
      <c r="I26"/>
      <c r="J26" s="391"/>
      <c r="K26" s="391"/>
      <c r="L26" s="391"/>
      <c r="M26" s="391"/>
      <c r="N26" s="470"/>
      <c r="O26" s="470"/>
      <c r="P26" s="470"/>
      <c r="Q26" s="470"/>
      <c r="R26" s="470"/>
      <c r="S26" s="470"/>
      <c r="T26" s="470"/>
      <c r="U26" s="470"/>
      <c r="V26" s="470"/>
      <c r="W26" s="470"/>
      <c r="X26" s="470"/>
      <c r="Y26" s="470"/>
      <c r="Z26" s="470"/>
      <c r="AA26" s="470"/>
      <c r="AB26" s="470"/>
    </row>
    <row r="27" spans="1:115" ht="19">
      <c r="A27" s="236"/>
      <c r="B27" s="469"/>
      <c r="C27" s="236"/>
      <c r="E27" s="234"/>
      <c r="F27" s="573" t="s">
        <v>1008</v>
      </c>
      <c r="G27"/>
      <c r="H27"/>
      <c r="I27"/>
      <c r="J27" s="391"/>
      <c r="K27" s="391"/>
      <c r="L27" s="391"/>
      <c r="M27" s="391"/>
      <c r="N27" s="470"/>
      <c r="O27" s="470"/>
      <c r="P27" s="470"/>
      <c r="Q27" s="470"/>
      <c r="R27" s="470"/>
      <c r="S27" s="470"/>
      <c r="T27" s="470"/>
      <c r="U27" s="470"/>
      <c r="V27" s="470"/>
      <c r="W27" s="470"/>
      <c r="X27" s="470"/>
      <c r="Y27" s="470"/>
      <c r="Z27" s="470"/>
      <c r="AA27" s="470"/>
      <c r="AB27" s="470"/>
    </row>
    <row r="28" spans="1:115" ht="19">
      <c r="A28" s="236"/>
      <c r="B28" s="469"/>
      <c r="C28" s="236"/>
      <c r="E28" s="234"/>
      <c r="F28" s="573" t="s">
        <v>1009</v>
      </c>
      <c r="G28"/>
      <c r="H28"/>
      <c r="I28"/>
      <c r="J28" s="391"/>
      <c r="K28" s="391"/>
      <c r="L28" s="391"/>
      <c r="M28" s="391"/>
      <c r="N28" s="470"/>
      <c r="O28" s="470"/>
      <c r="P28" s="470"/>
      <c r="Q28" s="470"/>
      <c r="R28" s="470"/>
      <c r="S28" s="470"/>
      <c r="T28" s="470"/>
      <c r="U28" s="470"/>
      <c r="V28" s="470"/>
      <c r="W28" s="470"/>
      <c r="X28" s="470"/>
      <c r="Y28" s="470"/>
      <c r="Z28" s="470"/>
      <c r="AA28" s="470"/>
      <c r="AB28" s="470"/>
    </row>
    <row r="29" spans="1:115" s="202" customFormat="1" ht="19">
      <c r="A29" s="520"/>
      <c r="B29" s="521"/>
      <c r="C29" s="520"/>
      <c r="D29" s="520"/>
      <c r="F29" t="s">
        <v>1010</v>
      </c>
      <c r="G29"/>
      <c r="H29"/>
      <c r="I29"/>
      <c r="J29" s="391"/>
      <c r="K29" s="391"/>
      <c r="L29" s="391"/>
      <c r="M29" s="391"/>
      <c r="N29" s="470"/>
      <c r="O29" s="470"/>
      <c r="P29" s="470"/>
      <c r="Q29" s="470"/>
      <c r="R29" s="470"/>
      <c r="S29" s="470"/>
      <c r="T29" s="470"/>
      <c r="U29" s="470"/>
      <c r="V29" s="470"/>
      <c r="W29" s="470"/>
      <c r="X29" s="470"/>
      <c r="Y29" s="470"/>
      <c r="Z29" s="470"/>
      <c r="AA29" s="470"/>
      <c r="AB29" s="470"/>
      <c r="AC29" s="520"/>
      <c r="AD29" s="520"/>
      <c r="AE29" s="520"/>
      <c r="AF29" s="520"/>
      <c r="AG29" s="520"/>
      <c r="AH29" s="520"/>
      <c r="AI29" s="520"/>
      <c r="AJ29" s="520"/>
      <c r="AK29" s="520"/>
      <c r="AL29" s="520"/>
      <c r="AM29" s="520"/>
      <c r="AN29" s="520"/>
      <c r="AO29" s="520"/>
      <c r="AP29" s="520"/>
      <c r="AQ29" s="520"/>
      <c r="AR29" s="520"/>
      <c r="AS29" s="520"/>
      <c r="AT29" s="520"/>
      <c r="AU29" s="520"/>
      <c r="AV29" s="520"/>
      <c r="AW29" s="520"/>
      <c r="AX29" s="520"/>
      <c r="AY29" s="520"/>
      <c r="AZ29" s="520"/>
      <c r="BA29" s="520"/>
      <c r="BB29" s="520"/>
      <c r="BC29" s="520"/>
      <c r="BD29" s="520"/>
      <c r="BE29" s="520"/>
      <c r="BF29" s="520"/>
      <c r="BG29" s="520"/>
      <c r="BH29" s="520"/>
      <c r="BI29" s="520"/>
      <c r="BJ29" s="520"/>
      <c r="BK29" s="520"/>
      <c r="BL29" s="520"/>
      <c r="BM29" s="520"/>
      <c r="BN29" s="520"/>
      <c r="BO29" s="520"/>
      <c r="BP29" s="520"/>
      <c r="BQ29" s="520"/>
      <c r="BR29" s="520"/>
      <c r="BS29" s="520"/>
      <c r="BT29" s="520"/>
      <c r="BU29" s="520"/>
      <c r="BV29" s="520"/>
      <c r="BW29" s="520"/>
      <c r="BX29" s="520"/>
      <c r="BY29" s="520"/>
      <c r="BZ29" s="520"/>
      <c r="CA29" s="520"/>
      <c r="CB29" s="520"/>
      <c r="CC29" s="520"/>
      <c r="CD29" s="520"/>
      <c r="CE29" s="520"/>
      <c r="CF29" s="520"/>
      <c r="CG29" s="520"/>
      <c r="CH29" s="520"/>
      <c r="CI29" s="520"/>
      <c r="CJ29" s="520"/>
      <c r="CK29" s="520"/>
      <c r="CL29" s="520"/>
      <c r="CM29" s="520"/>
      <c r="CN29" s="520"/>
      <c r="CO29" s="520"/>
      <c r="CP29" s="520"/>
      <c r="CQ29" s="520"/>
      <c r="CR29" s="520"/>
      <c r="CS29" s="520"/>
      <c r="CT29" s="520"/>
      <c r="CU29" s="520"/>
      <c r="CV29" s="520"/>
      <c r="CW29" s="520"/>
      <c r="CX29" s="520"/>
      <c r="CY29" s="520"/>
      <c r="CZ29" s="520"/>
      <c r="DA29" s="520"/>
      <c r="DB29" s="520"/>
      <c r="DC29" s="520"/>
      <c r="DD29" s="520"/>
      <c r="DE29" s="520"/>
      <c r="DF29" s="520"/>
      <c r="DG29" s="520"/>
      <c r="DH29" s="520"/>
      <c r="DI29" s="520"/>
      <c r="DJ29" s="520"/>
      <c r="DK29" s="520"/>
    </row>
    <row r="30" spans="1:115" s="236" customFormat="1" ht="19">
      <c r="B30" s="469"/>
      <c r="E30" s="234"/>
      <c r="F30"/>
      <c r="G30"/>
      <c r="H30"/>
      <c r="I30"/>
      <c r="J30" s="391"/>
      <c r="K30" s="391"/>
      <c r="L30" s="391"/>
      <c r="M30" s="391"/>
      <c r="N30" s="470"/>
      <c r="O30" s="470"/>
      <c r="P30" s="470"/>
      <c r="Q30" s="470"/>
      <c r="R30" s="470"/>
      <c r="S30" s="470"/>
      <c r="T30" s="470"/>
      <c r="U30" s="470"/>
      <c r="V30" s="470"/>
      <c r="W30" s="470"/>
      <c r="X30" s="470"/>
      <c r="Y30" s="470"/>
      <c r="Z30" s="470"/>
      <c r="AA30" s="470"/>
      <c r="AB30" s="470"/>
    </row>
    <row r="31" spans="1:115" s="681" customFormat="1" ht="18.5" customHeight="1">
      <c r="A31" s="684"/>
      <c r="B31" s="685"/>
      <c r="C31" s="684"/>
      <c r="D31" s="680"/>
      <c r="G31" s="682"/>
      <c r="H31" s="682"/>
      <c r="I31" s="682"/>
      <c r="J31" s="679"/>
      <c r="K31" s="679"/>
      <c r="L31" s="683" t="s">
        <v>1029</v>
      </c>
      <c r="M31" s="679"/>
      <c r="N31" s="688"/>
      <c r="O31" s="688"/>
      <c r="P31" s="688"/>
      <c r="Q31" s="688"/>
      <c r="R31" s="688"/>
      <c r="S31" s="688"/>
      <c r="T31" s="688"/>
      <c r="U31" s="688"/>
      <c r="V31" s="688"/>
      <c r="W31" s="688"/>
      <c r="X31" s="688"/>
      <c r="Y31" s="688"/>
      <c r="Z31" s="688"/>
      <c r="AA31" s="688"/>
      <c r="AB31" s="688"/>
      <c r="AC31" s="680"/>
      <c r="AD31" s="680"/>
      <c r="AE31" s="680"/>
      <c r="AF31" s="680"/>
      <c r="AG31" s="680"/>
      <c r="AH31" s="680"/>
      <c r="AI31" s="680"/>
      <c r="AJ31" s="680"/>
      <c r="AK31" s="680"/>
      <c r="AL31" s="680"/>
      <c r="AM31" s="680"/>
      <c r="AN31" s="680"/>
      <c r="AO31" s="680"/>
      <c r="AP31" s="680"/>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c r="DG31" s="680"/>
      <c r="DH31" s="680"/>
      <c r="DI31" s="680"/>
      <c r="DJ31" s="680"/>
      <c r="DK31" s="680"/>
    </row>
    <row r="32" spans="1:115" s="681" customFormat="1" ht="18.5" customHeight="1">
      <c r="A32" s="684"/>
      <c r="B32" s="685"/>
      <c r="C32" s="684"/>
      <c r="D32" s="680"/>
      <c r="G32" s="682"/>
      <c r="H32" s="682"/>
      <c r="I32" s="682"/>
      <c r="J32" s="679"/>
      <c r="K32" s="679"/>
      <c r="L32" s="683"/>
      <c r="M32" s="679"/>
      <c r="N32" s="688"/>
      <c r="O32" s="688"/>
      <c r="P32" s="688"/>
      <c r="Q32" s="688"/>
      <c r="R32" s="688"/>
      <c r="S32" s="688"/>
      <c r="T32" s="688"/>
      <c r="U32" s="688"/>
      <c r="V32" s="688"/>
      <c r="W32" s="688"/>
      <c r="X32" s="688"/>
      <c r="Y32" s="688"/>
      <c r="Z32" s="688"/>
      <c r="AA32" s="688"/>
      <c r="AB32" s="688"/>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c r="DG32" s="680"/>
      <c r="DH32" s="680"/>
      <c r="DI32" s="680"/>
      <c r="DJ32" s="680"/>
      <c r="DK32" s="680"/>
    </row>
    <row r="33" spans="1:115" ht="18.5" customHeight="1">
      <c r="B33" s="240"/>
      <c r="E33" s="234"/>
      <c r="F33" t="s">
        <v>1011</v>
      </c>
      <c r="G33"/>
      <c r="H33"/>
      <c r="I33"/>
      <c r="J33" s="391"/>
      <c r="K33" s="391"/>
      <c r="L33" s="391"/>
      <c r="M33" s="391"/>
      <c r="N33" s="470"/>
      <c r="O33" s="470"/>
      <c r="P33" s="470"/>
      <c r="Q33" s="470"/>
      <c r="R33" s="470"/>
      <c r="S33" s="470"/>
      <c r="T33" s="470"/>
      <c r="U33" s="470"/>
      <c r="V33" s="470"/>
      <c r="W33" s="470"/>
      <c r="X33" s="470"/>
      <c r="Y33" s="470"/>
      <c r="Z33" s="470"/>
      <c r="AA33" s="470"/>
      <c r="AB33" s="470"/>
    </row>
    <row r="34" spans="1:115" ht="18.5" customHeight="1">
      <c r="B34" s="240"/>
      <c r="E34" s="114"/>
      <c r="F34" s="573" t="s">
        <v>1012</v>
      </c>
      <c r="G34"/>
      <c r="H34"/>
      <c r="I34"/>
      <c r="J34" s="391"/>
      <c r="K34" s="391"/>
      <c r="L34" s="391"/>
      <c r="M34" s="391"/>
      <c r="N34" s="470"/>
      <c r="O34" s="470"/>
      <c r="P34" s="470"/>
      <c r="Q34" s="470"/>
      <c r="R34" s="470"/>
      <c r="S34" s="470"/>
      <c r="T34" s="470"/>
      <c r="U34" s="470"/>
      <c r="V34" s="470"/>
      <c r="W34" s="470"/>
      <c r="X34" s="470"/>
      <c r="Y34" s="470"/>
      <c r="Z34" s="470"/>
      <c r="AA34" s="470"/>
      <c r="AB34" s="470"/>
    </row>
    <row r="35" spans="1:115" ht="19">
      <c r="A35" s="236"/>
      <c r="B35" s="469"/>
      <c r="C35" s="236"/>
      <c r="E35" s="234"/>
      <c r="F35" s="573" t="s">
        <v>1013</v>
      </c>
      <c r="G35"/>
      <c r="H35"/>
      <c r="I35"/>
      <c r="J35" s="391"/>
      <c r="K35" s="391"/>
      <c r="L35" s="391"/>
      <c r="M35" s="391"/>
      <c r="N35" s="470"/>
      <c r="O35" s="470"/>
      <c r="P35" s="470"/>
      <c r="Q35" s="470"/>
      <c r="R35" s="470"/>
      <c r="S35" s="470"/>
      <c r="T35" s="470"/>
      <c r="U35" s="470"/>
      <c r="V35" s="470"/>
      <c r="W35" s="470"/>
      <c r="X35" s="470"/>
      <c r="Y35" s="470"/>
      <c r="Z35" s="470"/>
      <c r="AA35" s="470"/>
      <c r="AB35" s="470"/>
      <c r="AC35" s="738"/>
      <c r="AD35" s="739"/>
      <c r="AE35" s="739"/>
      <c r="AF35" s="739"/>
      <c r="AG35" s="739"/>
    </row>
    <row r="36" spans="1:115" s="202" customFormat="1" ht="19">
      <c r="A36" s="520"/>
      <c r="B36" s="521"/>
      <c r="C36" s="520"/>
      <c r="D36" s="520"/>
      <c r="F36" s="573" t="s">
        <v>1014</v>
      </c>
      <c r="G36"/>
      <c r="H36"/>
      <c r="I36"/>
      <c r="J36" s="391"/>
      <c r="K36" s="391"/>
      <c r="L36" s="391"/>
      <c r="M36" s="391"/>
      <c r="N36" s="470"/>
      <c r="O36" s="470"/>
      <c r="P36" s="470"/>
      <c r="Q36" s="470"/>
      <c r="R36" s="470"/>
      <c r="S36" s="470"/>
      <c r="T36" s="470"/>
      <c r="U36" s="470"/>
      <c r="V36" s="470"/>
      <c r="W36" s="470"/>
      <c r="X36" s="470"/>
      <c r="Y36" s="470"/>
      <c r="Z36" s="470"/>
      <c r="AA36" s="470"/>
      <c r="AB36" s="470"/>
      <c r="AC36" s="739"/>
      <c r="AD36" s="739"/>
      <c r="AE36" s="739"/>
      <c r="AF36" s="739"/>
      <c r="AG36" s="739"/>
      <c r="AH36" s="520"/>
      <c r="AI36" s="520"/>
      <c r="AJ36" s="520"/>
      <c r="AK36" s="520"/>
      <c r="AL36" s="520"/>
      <c r="AM36" s="520"/>
      <c r="AN36" s="520"/>
      <c r="AO36" s="520"/>
      <c r="AP36" s="520"/>
      <c r="AQ36" s="520"/>
      <c r="AR36" s="520"/>
      <c r="AS36" s="520"/>
      <c r="AT36" s="520"/>
      <c r="AU36" s="520"/>
      <c r="AV36" s="520"/>
      <c r="AW36" s="520"/>
      <c r="AX36" s="520"/>
      <c r="AY36" s="520"/>
      <c r="AZ36" s="520"/>
      <c r="BA36" s="520"/>
      <c r="BB36" s="520"/>
      <c r="BC36" s="520"/>
      <c r="BD36" s="520"/>
      <c r="BE36" s="520"/>
      <c r="BF36" s="520"/>
      <c r="BG36" s="520"/>
      <c r="BH36" s="520"/>
      <c r="BI36" s="520"/>
      <c r="BJ36" s="520"/>
      <c r="BK36" s="520"/>
      <c r="BL36" s="520"/>
      <c r="BM36" s="520"/>
      <c r="BN36" s="520"/>
      <c r="BO36" s="520"/>
      <c r="BP36" s="520"/>
      <c r="BQ36" s="520"/>
      <c r="BR36" s="520"/>
      <c r="BS36" s="520"/>
      <c r="BT36" s="520"/>
      <c r="BU36" s="520"/>
      <c r="BV36" s="520"/>
      <c r="BW36" s="520"/>
      <c r="BX36" s="520"/>
      <c r="BY36" s="520"/>
      <c r="BZ36" s="520"/>
      <c r="CA36" s="520"/>
      <c r="CB36" s="520"/>
      <c r="CC36" s="520"/>
      <c r="CD36" s="520"/>
      <c r="CE36" s="520"/>
      <c r="CF36" s="520"/>
      <c r="CG36" s="520"/>
      <c r="CH36" s="520"/>
      <c r="CI36" s="520"/>
      <c r="CJ36" s="520"/>
      <c r="CK36" s="520"/>
      <c r="CL36" s="520"/>
      <c r="CM36" s="520"/>
      <c r="CN36" s="520"/>
      <c r="CO36" s="520"/>
      <c r="CP36" s="520"/>
      <c r="CQ36" s="520"/>
      <c r="CR36" s="520"/>
      <c r="CS36" s="520"/>
      <c r="CT36" s="520"/>
      <c r="CU36" s="520"/>
      <c r="CV36" s="520"/>
      <c r="CW36" s="520"/>
      <c r="CX36" s="520"/>
      <c r="CY36" s="520"/>
      <c r="CZ36" s="520"/>
      <c r="DA36" s="520"/>
      <c r="DB36" s="520"/>
      <c r="DC36" s="520"/>
      <c r="DD36" s="520"/>
      <c r="DE36" s="520"/>
      <c r="DF36" s="520"/>
      <c r="DG36" s="520"/>
      <c r="DH36" s="520"/>
      <c r="DI36" s="520"/>
      <c r="DJ36" s="520"/>
      <c r="DK36" s="520"/>
    </row>
    <row r="37" spans="1:115" ht="18">
      <c r="E37" s="234"/>
      <c r="F37" t="s">
        <v>1015</v>
      </c>
      <c r="G37"/>
      <c r="H37"/>
      <c r="I37"/>
      <c r="J37" s="391"/>
      <c r="K37" s="391"/>
      <c r="L37" s="391"/>
      <c r="M37" s="391"/>
      <c r="N37" s="470"/>
      <c r="O37" s="470"/>
      <c r="P37" s="470"/>
      <c r="Q37" s="470"/>
      <c r="R37" s="470"/>
      <c r="S37" s="470"/>
      <c r="T37" s="470"/>
      <c r="U37" s="470"/>
      <c r="V37" s="470"/>
      <c r="W37" s="470"/>
      <c r="X37" s="470"/>
      <c r="Y37" s="470"/>
      <c r="Z37" s="470"/>
      <c r="AA37" s="470"/>
      <c r="AB37" s="470"/>
    </row>
    <row r="38" spans="1:115" ht="19">
      <c r="A38" s="236"/>
      <c r="B38" s="469"/>
      <c r="C38" s="236"/>
      <c r="E38" s="234"/>
      <c r="F38"/>
      <c r="G38"/>
      <c r="H38"/>
      <c r="I38"/>
      <c r="J38" s="391"/>
      <c r="K38" s="391"/>
      <c r="L38" s="391"/>
      <c r="M38" s="391"/>
      <c r="N38" s="470"/>
      <c r="O38" s="470"/>
      <c r="P38" s="470"/>
      <c r="Q38" s="470"/>
      <c r="R38" s="470"/>
      <c r="S38" s="470"/>
      <c r="T38" s="470"/>
      <c r="U38" s="470"/>
      <c r="V38" s="470"/>
      <c r="W38" s="470"/>
      <c r="X38" s="470"/>
      <c r="Y38" s="470"/>
      <c r="Z38" s="470"/>
      <c r="AA38" s="470"/>
      <c r="AB38" s="470"/>
    </row>
    <row r="39" spans="1:115" s="681" customFormat="1" ht="18.5" customHeight="1">
      <c r="A39" s="684"/>
      <c r="B39" s="685"/>
      <c r="C39" s="684"/>
      <c r="D39" s="680"/>
      <c r="G39" s="682"/>
      <c r="H39" s="682"/>
      <c r="I39" s="682"/>
      <c r="J39" s="679"/>
      <c r="K39" s="679"/>
      <c r="L39" s="683" t="s">
        <v>1030</v>
      </c>
      <c r="M39" s="679"/>
      <c r="N39" s="688"/>
      <c r="O39" s="688"/>
      <c r="P39" s="688"/>
      <c r="Q39" s="688"/>
      <c r="R39" s="688"/>
      <c r="S39" s="688"/>
      <c r="T39" s="688"/>
      <c r="U39" s="688"/>
      <c r="V39" s="688"/>
      <c r="W39" s="688"/>
      <c r="X39" s="688"/>
      <c r="Y39" s="688"/>
      <c r="Z39" s="688"/>
      <c r="AA39" s="688"/>
      <c r="AB39" s="688"/>
      <c r="AC39" s="680"/>
      <c r="AD39" s="680"/>
      <c r="AE39" s="680"/>
      <c r="AF39" s="680"/>
      <c r="AG39" s="680"/>
      <c r="AH39" s="680"/>
      <c r="AI39" s="680"/>
      <c r="AJ39" s="680"/>
      <c r="AK39" s="680"/>
      <c r="AL39" s="680"/>
      <c r="AM39" s="680"/>
      <c r="AN39" s="680"/>
      <c r="AO39" s="680"/>
      <c r="AP39" s="680"/>
      <c r="AQ39" s="680"/>
      <c r="AR39" s="680"/>
      <c r="AS39" s="680"/>
      <c r="AT39" s="680"/>
      <c r="AU39" s="680"/>
      <c r="AV39" s="680"/>
      <c r="AW39" s="680"/>
      <c r="AX39" s="680"/>
      <c r="AY39" s="680"/>
      <c r="AZ39" s="680"/>
      <c r="BA39" s="680"/>
      <c r="BB39" s="680"/>
      <c r="BC39" s="680"/>
      <c r="BD39" s="680"/>
      <c r="BE39" s="680"/>
      <c r="BF39" s="680"/>
      <c r="BG39" s="680"/>
      <c r="BH39" s="680"/>
      <c r="BI39" s="680"/>
      <c r="BJ39" s="680"/>
      <c r="BK39" s="680"/>
      <c r="BL39" s="680"/>
      <c r="BM39" s="680"/>
      <c r="BN39" s="680"/>
      <c r="BO39" s="680"/>
      <c r="BP39" s="680"/>
      <c r="BQ39" s="680"/>
      <c r="BR39" s="680"/>
      <c r="BS39" s="680"/>
      <c r="BT39" s="680"/>
      <c r="BU39" s="680"/>
      <c r="BV39" s="680"/>
      <c r="BW39" s="680"/>
      <c r="BX39" s="680"/>
      <c r="BY39" s="680"/>
      <c r="BZ39" s="680"/>
      <c r="CA39" s="680"/>
      <c r="CB39" s="680"/>
      <c r="CC39" s="680"/>
      <c r="CD39" s="680"/>
      <c r="CE39" s="680"/>
      <c r="CF39" s="680"/>
      <c r="CG39" s="680"/>
      <c r="CH39" s="680"/>
      <c r="CI39" s="680"/>
      <c r="CJ39" s="680"/>
      <c r="CK39" s="680"/>
      <c r="CL39" s="680"/>
      <c r="CM39" s="680"/>
      <c r="CN39" s="680"/>
      <c r="CO39" s="680"/>
      <c r="CP39" s="680"/>
      <c r="CQ39" s="680"/>
      <c r="CR39" s="680"/>
      <c r="CS39" s="680"/>
      <c r="CT39" s="680"/>
      <c r="CU39" s="680"/>
      <c r="CV39" s="680"/>
      <c r="CW39" s="680"/>
      <c r="CX39" s="680"/>
      <c r="CY39" s="680"/>
      <c r="CZ39" s="680"/>
      <c r="DA39" s="680"/>
      <c r="DB39" s="680"/>
      <c r="DC39" s="680"/>
      <c r="DD39" s="680"/>
      <c r="DE39" s="680"/>
      <c r="DF39" s="680"/>
      <c r="DG39" s="680"/>
      <c r="DH39" s="680"/>
      <c r="DI39" s="680"/>
      <c r="DJ39" s="680"/>
      <c r="DK39" s="680"/>
    </row>
    <row r="40" spans="1:115" ht="18">
      <c r="E40" s="234"/>
      <c r="F40"/>
      <c r="G40"/>
      <c r="H40"/>
      <c r="I40"/>
      <c r="J40" s="391"/>
      <c r="K40" s="391"/>
      <c r="L40" s="391"/>
      <c r="M40" s="391"/>
      <c r="N40" s="470"/>
      <c r="O40" s="470"/>
      <c r="P40" s="470"/>
      <c r="Q40" s="470"/>
      <c r="R40" s="470"/>
      <c r="S40" s="470"/>
      <c r="T40" s="470"/>
      <c r="U40" s="470"/>
      <c r="V40" s="470"/>
      <c r="W40" s="470"/>
      <c r="X40" s="470"/>
      <c r="Y40" s="470"/>
      <c r="Z40" s="470"/>
      <c r="AA40" s="470"/>
      <c r="AB40" s="470"/>
    </row>
    <row r="41" spans="1:115" ht="19">
      <c r="B41" s="240"/>
      <c r="E41" s="114"/>
      <c r="F41" t="s">
        <v>1016</v>
      </c>
      <c r="G41"/>
      <c r="H41"/>
      <c r="I41"/>
      <c r="J41" s="391"/>
      <c r="K41" s="391"/>
      <c r="L41" s="391"/>
      <c r="M41" s="391"/>
      <c r="N41" s="470"/>
      <c r="O41" s="470"/>
      <c r="P41" s="470"/>
      <c r="Q41" s="470"/>
      <c r="R41" s="470"/>
      <c r="S41" s="470"/>
      <c r="T41" s="470"/>
      <c r="U41" s="470"/>
      <c r="V41" s="470"/>
      <c r="W41" s="470"/>
      <c r="X41" s="470"/>
      <c r="Y41" s="470"/>
      <c r="Z41" s="470"/>
      <c r="AA41" s="470"/>
      <c r="AB41" s="470"/>
    </row>
    <row r="42" spans="1:115" s="236" customFormat="1" ht="19">
      <c r="B42" s="469"/>
      <c r="E42" s="234"/>
      <c r="F42" s="573" t="s">
        <v>1017</v>
      </c>
      <c r="G42"/>
      <c r="H42"/>
      <c r="I42"/>
      <c r="J42" s="490"/>
      <c r="K42" s="490"/>
      <c r="L42" s="490"/>
      <c r="M42" s="114"/>
      <c r="O42" s="507"/>
      <c r="P42" s="508"/>
      <c r="Q42" s="508"/>
      <c r="R42" s="473"/>
      <c r="S42" s="473"/>
      <c r="T42" s="473"/>
      <c r="U42" s="508"/>
      <c r="V42" s="508"/>
      <c r="W42" s="508"/>
      <c r="X42" s="508"/>
      <c r="Y42" s="508"/>
    </row>
    <row r="43" spans="1:115" ht="18">
      <c r="E43" s="234"/>
      <c r="F43" s="573" t="s">
        <v>1018</v>
      </c>
      <c r="G43"/>
      <c r="H43"/>
      <c r="I43"/>
      <c r="J43" s="503"/>
      <c r="K43" s="504"/>
      <c r="L43" s="503"/>
      <c r="M43" s="253"/>
      <c r="O43" s="495"/>
      <c r="P43" s="499"/>
      <c r="Q43" s="499"/>
      <c r="R43" s="473"/>
      <c r="S43" s="473"/>
      <c r="T43" s="495"/>
      <c r="U43" s="497"/>
      <c r="V43" s="473"/>
      <c r="W43" s="473"/>
      <c r="X43" s="473"/>
      <c r="Y43" s="473"/>
      <c r="Z43" s="236"/>
      <c r="AA43" s="236"/>
    </row>
    <row r="44" spans="1:115" ht="19">
      <c r="B44" s="240"/>
      <c r="E44" s="234"/>
      <c r="F44" s="573" t="s">
        <v>1019</v>
      </c>
      <c r="G44"/>
      <c r="H44"/>
      <c r="I44"/>
      <c r="J44" s="504"/>
      <c r="K44" s="391"/>
      <c r="L44" s="504"/>
      <c r="M44" s="503"/>
      <c r="O44" s="495"/>
      <c r="P44" s="501"/>
      <c r="Q44" s="501"/>
      <c r="R44" s="473"/>
      <c r="S44" s="473"/>
      <c r="T44" s="495"/>
      <c r="U44" s="497"/>
      <c r="V44" s="473"/>
      <c r="W44" s="473"/>
      <c r="X44" s="473"/>
      <c r="Y44" s="473"/>
      <c r="Z44" s="236"/>
      <c r="AA44" s="236"/>
    </row>
    <row r="45" spans="1:115" ht="18.5" customHeight="1">
      <c r="E45" s="234"/>
      <c r="F45" t="s">
        <v>1020</v>
      </c>
      <c r="G45"/>
      <c r="H45"/>
      <c r="I45"/>
      <c r="J45" s="538"/>
      <c r="K45" s="234"/>
      <c r="L45" s="479"/>
      <c r="M45" s="114"/>
      <c r="U45" s="236"/>
      <c r="V45" s="236"/>
      <c r="W45" s="236"/>
      <c r="X45" s="236"/>
      <c r="Y45" s="236"/>
      <c r="Z45" s="236"/>
      <c r="AA45" s="236"/>
    </row>
    <row r="46" spans="1:115" ht="18.5" customHeight="1">
      <c r="E46" s="234"/>
      <c r="F46"/>
      <c r="G46"/>
      <c r="H46"/>
      <c r="I46"/>
      <c r="J46" s="538"/>
      <c r="K46" s="234"/>
      <c r="L46" s="479"/>
      <c r="M46" s="114"/>
      <c r="U46" s="236"/>
      <c r="V46" s="236"/>
      <c r="W46" s="236"/>
      <c r="X46" s="236"/>
      <c r="Y46" s="236"/>
      <c r="Z46" s="236"/>
      <c r="AA46" s="236"/>
    </row>
    <row r="47" spans="1:115" s="681" customFormat="1" ht="18.5" customHeight="1">
      <c r="A47" s="684"/>
      <c r="B47" s="685"/>
      <c r="C47" s="684"/>
      <c r="D47" s="680"/>
      <c r="G47" s="682"/>
      <c r="H47" s="682"/>
      <c r="I47" s="682"/>
      <c r="J47" s="679"/>
      <c r="K47" s="679"/>
      <c r="L47" s="689" t="s">
        <v>1021</v>
      </c>
      <c r="M47" s="679"/>
      <c r="N47" s="688"/>
      <c r="O47" s="688"/>
      <c r="P47" s="688"/>
      <c r="Q47" s="688"/>
      <c r="R47" s="688"/>
      <c r="S47" s="688"/>
      <c r="T47" s="688"/>
      <c r="U47" s="688"/>
      <c r="V47" s="688"/>
      <c r="W47" s="688"/>
      <c r="X47" s="688"/>
      <c r="Y47" s="688"/>
      <c r="Z47" s="688"/>
      <c r="AA47" s="688"/>
      <c r="AB47" s="688"/>
      <c r="AC47" s="680"/>
      <c r="AD47" s="680"/>
      <c r="AE47" s="680"/>
      <c r="AF47" s="680"/>
      <c r="AG47" s="680"/>
      <c r="AH47" s="680"/>
      <c r="AI47" s="680"/>
      <c r="AJ47" s="680"/>
      <c r="AK47" s="680"/>
      <c r="AL47" s="680"/>
      <c r="AM47" s="680"/>
      <c r="AN47" s="680"/>
      <c r="AO47" s="680"/>
      <c r="AP47" s="680"/>
      <c r="AQ47" s="680"/>
      <c r="AR47" s="680"/>
      <c r="AS47" s="680"/>
      <c r="AT47" s="680"/>
      <c r="AU47" s="680"/>
      <c r="AV47" s="680"/>
      <c r="AW47" s="680"/>
      <c r="AX47" s="680"/>
      <c r="AY47" s="680"/>
      <c r="AZ47" s="680"/>
      <c r="BA47" s="680"/>
      <c r="BB47" s="680"/>
      <c r="BC47" s="680"/>
      <c r="BD47" s="680"/>
      <c r="BE47" s="680"/>
      <c r="BF47" s="680"/>
      <c r="BG47" s="680"/>
      <c r="BH47" s="680"/>
      <c r="BI47" s="680"/>
      <c r="BJ47" s="680"/>
      <c r="BK47" s="680"/>
      <c r="BL47" s="680"/>
      <c r="BM47" s="680"/>
      <c r="BN47" s="680"/>
      <c r="BO47" s="680"/>
      <c r="BP47" s="680"/>
      <c r="BQ47" s="680"/>
      <c r="BR47" s="680"/>
      <c r="BS47" s="680"/>
      <c r="BT47" s="680"/>
      <c r="BU47" s="680"/>
      <c r="BV47" s="680"/>
      <c r="BW47" s="680"/>
      <c r="BX47" s="680"/>
      <c r="BY47" s="680"/>
      <c r="BZ47" s="680"/>
      <c r="CA47" s="680"/>
      <c r="CB47" s="680"/>
      <c r="CC47" s="680"/>
      <c r="CD47" s="680"/>
      <c r="CE47" s="680"/>
      <c r="CF47" s="680"/>
      <c r="CG47" s="680"/>
      <c r="CH47" s="680"/>
      <c r="CI47" s="680"/>
      <c r="CJ47" s="680"/>
      <c r="CK47" s="680"/>
      <c r="CL47" s="680"/>
      <c r="CM47" s="680"/>
      <c r="CN47" s="680"/>
      <c r="CO47" s="680"/>
      <c r="CP47" s="680"/>
      <c r="CQ47" s="680"/>
      <c r="CR47" s="680"/>
      <c r="CS47" s="680"/>
      <c r="CT47" s="680"/>
      <c r="CU47" s="680"/>
      <c r="CV47" s="680"/>
      <c r="CW47" s="680"/>
      <c r="CX47" s="680"/>
      <c r="CY47" s="680"/>
      <c r="CZ47" s="680"/>
      <c r="DA47" s="680"/>
      <c r="DB47" s="680"/>
      <c r="DC47" s="680"/>
      <c r="DD47" s="680"/>
      <c r="DE47" s="680"/>
      <c r="DF47" s="680"/>
      <c r="DG47" s="680"/>
      <c r="DH47" s="680"/>
      <c r="DI47" s="680"/>
      <c r="DJ47" s="680"/>
      <c r="DK47" s="680"/>
    </row>
    <row r="48" spans="1:115" ht="18.5" customHeight="1">
      <c r="E48" s="234"/>
      <c r="F48"/>
      <c r="G48"/>
      <c r="H48"/>
      <c r="I48"/>
      <c r="J48" s="538"/>
      <c r="K48" s="234"/>
      <c r="L48" s="479"/>
      <c r="M48" s="114"/>
      <c r="U48" s="236"/>
      <c r="V48" s="236"/>
      <c r="W48" s="236"/>
      <c r="X48" s="236"/>
      <c r="Y48" s="236"/>
      <c r="Z48" s="236"/>
      <c r="AA48" s="236"/>
    </row>
    <row r="49" spans="1:115" ht="24.5" customHeight="1">
      <c r="B49" s="240"/>
      <c r="E49" s="234"/>
      <c r="F49" t="s">
        <v>1022</v>
      </c>
      <c r="G49"/>
      <c r="H49"/>
      <c r="I49"/>
      <c r="J49" s="504"/>
      <c r="K49" s="391"/>
      <c r="L49" s="504"/>
      <c r="M49" s="503"/>
      <c r="O49" s="495"/>
      <c r="P49" s="501"/>
      <c r="Q49" s="501"/>
      <c r="R49" s="473"/>
      <c r="S49" s="473"/>
      <c r="T49" s="495"/>
      <c r="U49" s="497"/>
      <c r="V49" s="473"/>
      <c r="W49" s="473"/>
      <c r="X49" s="473"/>
      <c r="Y49" s="473"/>
      <c r="Z49" s="236"/>
      <c r="AA49" s="236"/>
    </row>
    <row r="50" spans="1:115" ht="18.5" customHeight="1">
      <c r="B50" s="240"/>
      <c r="E50" s="234"/>
      <c r="F50"/>
      <c r="G50"/>
      <c r="H50"/>
      <c r="I50"/>
      <c r="J50" s="538"/>
      <c r="K50" s="114"/>
      <c r="L50" s="509"/>
      <c r="M50" s="114"/>
      <c r="O50" s="554"/>
      <c r="P50" s="555"/>
      <c r="R50" s="473"/>
      <c r="S50" s="473"/>
      <c r="U50" s="236"/>
      <c r="V50" s="473"/>
      <c r="W50" s="473"/>
      <c r="X50" s="473"/>
      <c r="Y50" s="473"/>
      <c r="Z50" s="236"/>
      <c r="AA50" s="236"/>
    </row>
    <row r="51" spans="1:115" ht="18.5" customHeight="1">
      <c r="E51" s="234"/>
      <c r="F51" s="686" t="s">
        <v>106</v>
      </c>
      <c r="G51" s="686" t="s">
        <v>1023</v>
      </c>
      <c r="H51" s="686" t="s">
        <v>1024</v>
      </c>
      <c r="I51" s="686" t="s">
        <v>1025</v>
      </c>
      <c r="J51" s="538"/>
      <c r="K51" s="234"/>
      <c r="L51" s="479"/>
      <c r="M51" s="114"/>
      <c r="U51" s="236"/>
      <c r="V51" s="236"/>
      <c r="W51" s="236"/>
      <c r="X51" s="236"/>
      <c r="Y51" s="236"/>
      <c r="Z51" s="236"/>
      <c r="AA51" s="236"/>
    </row>
    <row r="52" spans="1:115" ht="18.5" customHeight="1">
      <c r="B52" s="240"/>
      <c r="E52" s="114"/>
      <c r="F52" s="686" t="s">
        <v>40</v>
      </c>
      <c r="G52" s="687">
        <v>49</v>
      </c>
      <c r="H52" s="687">
        <v>52</v>
      </c>
      <c r="I52" s="687">
        <v>13</v>
      </c>
      <c r="J52" s="538"/>
      <c r="K52" s="114"/>
      <c r="L52" s="264"/>
      <c r="M52" s="114"/>
      <c r="O52" s="496"/>
      <c r="U52" s="236"/>
      <c r="V52" s="236"/>
      <c r="W52" s="236"/>
      <c r="X52" s="236"/>
      <c r="Y52" s="236"/>
      <c r="Z52" s="236"/>
      <c r="AA52" s="236"/>
    </row>
    <row r="53" spans="1:115" s="202" customFormat="1" ht="18.5" customHeight="1">
      <c r="A53" s="520"/>
      <c r="B53" s="521"/>
      <c r="C53" s="520"/>
      <c r="D53" s="520"/>
      <c r="F53" s="686" t="s">
        <v>37</v>
      </c>
      <c r="G53" s="687">
        <v>59</v>
      </c>
      <c r="H53" s="687">
        <v>90</v>
      </c>
      <c r="I53" s="687">
        <v>90</v>
      </c>
      <c r="J53" s="522"/>
      <c r="K53" s="522"/>
      <c r="L53" s="522"/>
      <c r="N53" s="520"/>
      <c r="O53" s="524"/>
      <c r="P53" s="524"/>
      <c r="Q53" s="524"/>
      <c r="R53" s="524"/>
      <c r="S53" s="524"/>
      <c r="T53" s="524"/>
      <c r="U53" s="524"/>
      <c r="V53" s="524"/>
      <c r="W53" s="524"/>
      <c r="X53" s="524"/>
      <c r="Y53" s="524"/>
      <c r="Z53" s="520"/>
      <c r="AA53" s="520"/>
      <c r="AB53" s="520"/>
      <c r="AC53" s="236"/>
      <c r="AD53" s="236"/>
      <c r="AE53" s="236"/>
      <c r="AF53" s="236"/>
      <c r="AG53" s="236"/>
      <c r="AH53" s="520"/>
      <c r="AI53" s="520"/>
      <c r="AJ53" s="520"/>
      <c r="AK53" s="520"/>
      <c r="AL53" s="520"/>
      <c r="AM53" s="520"/>
      <c r="AN53" s="520"/>
      <c r="AO53" s="520"/>
      <c r="AP53" s="520"/>
      <c r="AQ53" s="520"/>
      <c r="AR53" s="520"/>
      <c r="AS53" s="520"/>
      <c r="AT53" s="520"/>
      <c r="AU53" s="520"/>
      <c r="AV53" s="520"/>
      <c r="AW53" s="520"/>
      <c r="AX53" s="520"/>
      <c r="AY53" s="520"/>
      <c r="AZ53" s="520"/>
      <c r="BA53" s="520"/>
      <c r="BB53" s="520"/>
      <c r="BC53" s="520"/>
      <c r="BD53" s="520"/>
      <c r="BE53" s="520"/>
      <c r="BF53" s="520"/>
      <c r="BG53" s="520"/>
      <c r="BH53" s="520"/>
      <c r="BI53" s="520"/>
      <c r="BJ53" s="520"/>
      <c r="BK53" s="520"/>
      <c r="BL53" s="520"/>
      <c r="BM53" s="520"/>
      <c r="BN53" s="520"/>
      <c r="BO53" s="520"/>
      <c r="BP53" s="520"/>
      <c r="BQ53" s="520"/>
      <c r="BR53" s="520"/>
      <c r="BS53" s="520"/>
      <c r="BT53" s="520"/>
      <c r="BU53" s="520"/>
      <c r="BV53" s="520"/>
      <c r="BW53" s="520"/>
      <c r="BX53" s="520"/>
      <c r="BY53" s="520"/>
      <c r="BZ53" s="520"/>
      <c r="CA53" s="520"/>
      <c r="CB53" s="520"/>
      <c r="CC53" s="520"/>
      <c r="CD53" s="520"/>
      <c r="CE53" s="520"/>
      <c r="CF53" s="520"/>
      <c r="CG53" s="520"/>
      <c r="CH53" s="520"/>
      <c r="CI53" s="520"/>
      <c r="CJ53" s="520"/>
      <c r="CK53" s="520"/>
      <c r="CL53" s="520"/>
      <c r="CM53" s="520"/>
      <c r="CN53" s="520"/>
      <c r="CO53" s="520"/>
      <c r="CP53" s="520"/>
      <c r="CQ53" s="520"/>
      <c r="CR53" s="520"/>
      <c r="CS53" s="520"/>
      <c r="CT53" s="520"/>
      <c r="CU53" s="520"/>
      <c r="CV53" s="520"/>
      <c r="CW53" s="520"/>
      <c r="CX53" s="520"/>
      <c r="CY53" s="520"/>
      <c r="CZ53" s="520"/>
      <c r="DA53" s="520"/>
      <c r="DB53" s="520"/>
      <c r="DC53" s="520"/>
      <c r="DD53" s="520"/>
      <c r="DE53" s="520"/>
      <c r="DF53" s="520"/>
      <c r="DG53" s="520"/>
      <c r="DH53" s="520"/>
      <c r="DI53" s="520"/>
      <c r="DJ53" s="520"/>
      <c r="DK53" s="520"/>
    </row>
    <row r="54" spans="1:115" s="236" customFormat="1" ht="28.25" customHeight="1">
      <c r="B54" s="469"/>
      <c r="E54" s="114"/>
      <c r="F54" s="686" t="s">
        <v>32</v>
      </c>
      <c r="G54" s="687">
        <v>66</v>
      </c>
      <c r="H54" s="687">
        <v>59</v>
      </c>
      <c r="I54" s="687">
        <v>71</v>
      </c>
      <c r="J54" s="114"/>
      <c r="K54" s="264"/>
      <c r="L54" s="114"/>
      <c r="M54" s="114"/>
      <c r="O54" s="496"/>
      <c r="R54" s="473"/>
      <c r="S54" s="473"/>
      <c r="T54" s="473"/>
    </row>
    <row r="55" spans="1:115" s="236" customFormat="1" ht="19">
      <c r="B55" s="469"/>
      <c r="E55" s="234"/>
      <c r="F55"/>
      <c r="G55"/>
      <c r="H55"/>
      <c r="I55"/>
      <c r="J55" s="490"/>
      <c r="K55" s="490"/>
      <c r="L55" s="490"/>
      <c r="M55" s="114"/>
      <c r="O55" s="507"/>
      <c r="P55" s="508"/>
      <c r="Q55" s="508"/>
      <c r="R55" s="473"/>
      <c r="S55" s="473"/>
      <c r="T55" s="473"/>
      <c r="U55" s="508"/>
      <c r="V55" s="508"/>
      <c r="W55" s="508"/>
      <c r="X55" s="508"/>
      <c r="Y55" s="508"/>
    </row>
    <row r="56" spans="1:115" s="236" customFormat="1" ht="22">
      <c r="E56" s="252"/>
      <c r="F56" t="s">
        <v>1026</v>
      </c>
      <c r="G56"/>
      <c r="H56"/>
      <c r="I56"/>
      <c r="J56" s="490"/>
      <c r="K56" s="490"/>
      <c r="L56" s="490"/>
      <c r="M56" s="114"/>
      <c r="O56" s="508"/>
      <c r="P56" s="508"/>
      <c r="Q56" s="508"/>
      <c r="R56" s="473"/>
      <c r="S56" s="473"/>
      <c r="T56" s="473"/>
      <c r="U56" s="508"/>
      <c r="V56" s="508"/>
      <c r="W56" s="508"/>
      <c r="X56" s="508"/>
      <c r="Y56" s="508"/>
      <c r="Z56" s="244"/>
    </row>
    <row r="57" spans="1:115" s="520" customFormat="1" ht="16.75" customHeight="1">
      <c r="B57" s="521"/>
      <c r="E57" s="202"/>
      <c r="F57" s="522"/>
      <c r="G57" s="522"/>
      <c r="H57" s="522"/>
      <c r="I57" s="522"/>
      <c r="J57" s="522"/>
      <c r="K57" s="522"/>
      <c r="L57" s="522"/>
      <c r="M57" s="202"/>
      <c r="O57" s="524"/>
      <c r="P57" s="524"/>
      <c r="Q57" s="524"/>
      <c r="R57" s="473"/>
      <c r="S57" s="473"/>
      <c r="T57" s="473"/>
      <c r="U57" s="244"/>
      <c r="V57" s="244"/>
      <c r="W57" s="244"/>
      <c r="X57" s="244"/>
      <c r="Y57" s="244"/>
    </row>
    <row r="58" spans="1:115" s="236" customFormat="1">
      <c r="F58" s="243"/>
      <c r="K58" s="265"/>
    </row>
    <row r="59" spans="1:115" s="236" customFormat="1" ht="24.5" customHeight="1">
      <c r="B59" s="469"/>
      <c r="E59" s="293"/>
      <c r="F59" s="418"/>
      <c r="G59" s="470"/>
      <c r="H59" s="470"/>
      <c r="I59" s="515"/>
      <c r="K59" s="470"/>
      <c r="L59" s="498"/>
      <c r="M59" s="497"/>
      <c r="O59" s="554"/>
      <c r="P59" s="555"/>
      <c r="Q59" s="501"/>
      <c r="R59" s="473"/>
      <c r="S59" s="473"/>
      <c r="T59" s="473"/>
      <c r="U59" s="473"/>
      <c r="V59" s="473"/>
      <c r="W59" s="473"/>
      <c r="X59" s="473"/>
      <c r="Y59" s="473"/>
    </row>
    <row r="60" spans="1:115" s="236" customFormat="1" ht="19">
      <c r="B60" s="469"/>
      <c r="E60" s="293"/>
      <c r="F60" s="772"/>
      <c r="G60" s="772"/>
      <c r="H60" s="772"/>
      <c r="I60" s="772"/>
      <c r="L60" s="535"/>
      <c r="N60" s="249"/>
      <c r="O60" s="558"/>
      <c r="P60" s="558"/>
      <c r="R60" s="473"/>
      <c r="S60" s="473"/>
      <c r="T60" s="473"/>
      <c r="U60" s="473"/>
      <c r="V60" s="473"/>
      <c r="W60" s="473"/>
      <c r="X60" s="473"/>
      <c r="Y60" s="473"/>
    </row>
    <row r="61" spans="1:115" s="236" customFormat="1">
      <c r="E61" s="293"/>
      <c r="F61" s="772"/>
      <c r="G61" s="772"/>
      <c r="H61" s="772"/>
      <c r="I61" s="772"/>
      <c r="K61" s="293"/>
      <c r="L61" s="480"/>
      <c r="R61" s="473"/>
      <c r="S61" s="473"/>
      <c r="T61" s="473"/>
      <c r="U61" s="473"/>
      <c r="V61" s="473"/>
      <c r="W61" s="473"/>
      <c r="X61" s="473"/>
      <c r="Y61" s="473"/>
    </row>
    <row r="62" spans="1:115" s="236" customFormat="1" ht="28.25" customHeight="1">
      <c r="B62" s="469"/>
      <c r="F62" s="536"/>
      <c r="G62" s="536"/>
      <c r="H62" s="559"/>
      <c r="K62" s="265"/>
      <c r="O62" s="496"/>
      <c r="R62" s="473"/>
      <c r="S62" s="473"/>
      <c r="T62" s="473"/>
    </row>
    <row r="63" spans="1:115" s="236" customFormat="1" ht="19">
      <c r="B63" s="469"/>
      <c r="E63" s="293"/>
      <c r="F63" s="502"/>
      <c r="G63" s="502"/>
      <c r="H63" s="502"/>
      <c r="I63" s="502"/>
      <c r="J63" s="502"/>
      <c r="K63" s="502"/>
      <c r="L63" s="502"/>
      <c r="O63" s="507"/>
      <c r="P63" s="508"/>
      <c r="Q63" s="508"/>
      <c r="R63" s="473"/>
      <c r="S63" s="473"/>
      <c r="T63" s="473"/>
      <c r="U63" s="508"/>
      <c r="V63" s="508"/>
      <c r="W63" s="508"/>
      <c r="X63" s="508"/>
      <c r="Y63" s="508"/>
    </row>
    <row r="64" spans="1:115" s="236" customFormat="1" ht="22">
      <c r="E64" s="295"/>
      <c r="F64" s="502"/>
      <c r="G64" s="502"/>
      <c r="H64" s="502"/>
      <c r="I64" s="502"/>
      <c r="J64" s="502"/>
      <c r="K64" s="502"/>
      <c r="L64" s="502"/>
      <c r="O64" s="508"/>
      <c r="P64" s="508"/>
      <c r="Q64" s="508"/>
      <c r="R64" s="473"/>
      <c r="S64" s="473"/>
      <c r="T64" s="473"/>
      <c r="U64" s="508"/>
      <c r="V64" s="508"/>
      <c r="W64" s="508"/>
      <c r="X64" s="508"/>
      <c r="Y64" s="508"/>
      <c r="Z64" s="244"/>
    </row>
    <row r="65" spans="2:25" s="520" customFormat="1" ht="16.75" customHeight="1">
      <c r="B65" s="521"/>
      <c r="F65" s="556"/>
      <c r="G65" s="556"/>
      <c r="H65" s="556"/>
      <c r="I65" s="556"/>
      <c r="J65" s="556"/>
      <c r="K65" s="556"/>
      <c r="L65" s="556"/>
      <c r="O65" s="524"/>
      <c r="P65" s="524"/>
      <c r="Q65" s="524"/>
      <c r="R65" s="473"/>
      <c r="S65" s="473"/>
      <c r="T65" s="473"/>
      <c r="U65" s="244"/>
      <c r="V65" s="244"/>
      <c r="W65" s="244"/>
      <c r="X65" s="244"/>
      <c r="Y65" s="244"/>
    </row>
    <row r="66" spans="2:25" s="236" customFormat="1">
      <c r="K66" s="265"/>
    </row>
    <row r="67" spans="2:25" s="236" customFormat="1">
      <c r="K67" s="265"/>
    </row>
    <row r="68" spans="2:25" s="236" customFormat="1">
      <c r="K68" s="265"/>
    </row>
    <row r="69" spans="2:25" s="236" customFormat="1">
      <c r="K69" s="265"/>
    </row>
    <row r="70" spans="2:25" s="236" customFormat="1">
      <c r="K70" s="265"/>
    </row>
    <row r="71" spans="2:25" s="236" customFormat="1">
      <c r="F71" s="243"/>
      <c r="K71" s="265"/>
    </row>
    <row r="72" spans="2:25" s="236" customFormat="1">
      <c r="F72" s="243"/>
      <c r="K72" s="265"/>
    </row>
    <row r="73" spans="2:25" s="236" customFormat="1">
      <c r="F73" s="243"/>
      <c r="K73" s="265"/>
    </row>
    <row r="74" spans="2:25" s="236" customFormat="1">
      <c r="F74" s="243"/>
      <c r="K74" s="265"/>
    </row>
    <row r="75" spans="2:25" s="236" customFormat="1">
      <c r="F75" s="243"/>
      <c r="K75" s="265"/>
    </row>
    <row r="76" spans="2:25" s="236" customFormat="1">
      <c r="F76" s="243"/>
      <c r="K76" s="265"/>
    </row>
    <row r="77" spans="2:25" s="236" customFormat="1">
      <c r="F77" s="243"/>
      <c r="K77" s="265"/>
    </row>
    <row r="78" spans="2:25" s="236" customFormat="1">
      <c r="F78" s="243"/>
      <c r="K78" s="265"/>
    </row>
    <row r="79" spans="2:25" s="236" customFormat="1">
      <c r="F79" s="243"/>
      <c r="K79" s="265"/>
    </row>
    <row r="80" spans="2:25" s="236" customFormat="1">
      <c r="F80" s="243"/>
      <c r="K80" s="265"/>
    </row>
    <row r="81" spans="6:11" s="236" customFormat="1">
      <c r="F81" s="243"/>
      <c r="K81" s="265"/>
    </row>
    <row r="82" spans="6:11" s="236" customFormat="1">
      <c r="F82" s="243"/>
      <c r="K82" s="265"/>
    </row>
    <row r="83" spans="6:11" s="236" customFormat="1">
      <c r="F83" s="243"/>
      <c r="K83" s="265"/>
    </row>
    <row r="84" spans="6:11" s="236" customFormat="1">
      <c r="F84" s="243"/>
      <c r="K84" s="265"/>
    </row>
    <row r="85" spans="6:11" s="236" customFormat="1">
      <c r="F85" s="243"/>
      <c r="K85" s="265"/>
    </row>
    <row r="86" spans="6:11" s="236" customFormat="1">
      <c r="F86" s="243"/>
      <c r="K86" s="265"/>
    </row>
    <row r="87" spans="6:11" s="236" customFormat="1">
      <c r="F87" s="243"/>
      <c r="K87" s="265"/>
    </row>
    <row r="88" spans="6:11" s="236" customFormat="1">
      <c r="F88" s="243"/>
      <c r="K88" s="265"/>
    </row>
    <row r="89" spans="6:11" s="236" customFormat="1">
      <c r="F89" s="243"/>
      <c r="K89" s="265"/>
    </row>
    <row r="90" spans="6:11" s="236" customFormat="1">
      <c r="F90" s="243"/>
      <c r="K90" s="265"/>
    </row>
    <row r="91" spans="6:11" s="236" customFormat="1">
      <c r="F91" s="243"/>
      <c r="K91" s="265"/>
    </row>
    <row r="92" spans="6:11" s="236" customFormat="1">
      <c r="F92" s="243"/>
      <c r="K92" s="265"/>
    </row>
    <row r="93" spans="6:11" s="236" customFormat="1">
      <c r="F93" s="243"/>
      <c r="K93" s="265"/>
    </row>
    <row r="94" spans="6:11" s="236" customFormat="1">
      <c r="F94" s="243"/>
      <c r="K94" s="265"/>
    </row>
    <row r="95" spans="6:11" s="236" customFormat="1">
      <c r="F95" s="243"/>
      <c r="K95" s="265"/>
    </row>
    <row r="96" spans="6:11" s="236" customFormat="1">
      <c r="F96" s="243"/>
      <c r="K96" s="265"/>
    </row>
    <row r="97" spans="6:11" s="236" customFormat="1">
      <c r="F97" s="243"/>
      <c r="K97" s="265"/>
    </row>
    <row r="98" spans="6:11" s="236" customFormat="1">
      <c r="F98" s="243"/>
      <c r="K98" s="265"/>
    </row>
    <row r="99" spans="6:11" s="236" customFormat="1">
      <c r="F99" s="243"/>
      <c r="K99" s="265"/>
    </row>
    <row r="100" spans="6:11" s="236" customFormat="1">
      <c r="F100" s="243"/>
      <c r="K100" s="265"/>
    </row>
    <row r="101" spans="6:11" s="236" customFormat="1">
      <c r="F101" s="243"/>
      <c r="K101" s="265"/>
    </row>
    <row r="102" spans="6:11" s="236" customFormat="1">
      <c r="F102" s="243"/>
      <c r="K102" s="265"/>
    </row>
    <row r="103" spans="6:11" s="236" customFormat="1">
      <c r="F103" s="243"/>
      <c r="K103" s="265"/>
    </row>
    <row r="104" spans="6:11" s="236" customFormat="1">
      <c r="F104" s="243"/>
      <c r="K104" s="265"/>
    </row>
    <row r="105" spans="6:11" s="236" customFormat="1">
      <c r="F105" s="243"/>
      <c r="K105" s="265"/>
    </row>
    <row r="106" spans="6:11" s="236" customFormat="1">
      <c r="F106" s="243"/>
      <c r="K106" s="265"/>
    </row>
    <row r="107" spans="6:11" s="236" customFormat="1">
      <c r="F107" s="243"/>
      <c r="K107" s="265"/>
    </row>
    <row r="108" spans="6:11" s="236" customFormat="1">
      <c r="F108" s="243"/>
      <c r="K108" s="265"/>
    </row>
    <row r="109" spans="6:11" s="236" customFormat="1">
      <c r="F109" s="243"/>
      <c r="K109" s="265"/>
    </row>
    <row r="110" spans="6:11" s="236" customFormat="1">
      <c r="F110" s="243"/>
      <c r="K110" s="265"/>
    </row>
    <row r="111" spans="6:11" s="236" customFormat="1">
      <c r="F111" s="243"/>
      <c r="K111" s="265"/>
    </row>
    <row r="112" spans="6:11" s="236" customFormat="1">
      <c r="F112" s="243"/>
      <c r="K112" s="265"/>
    </row>
    <row r="113" spans="6:11" s="236" customFormat="1">
      <c r="F113" s="243"/>
      <c r="K113" s="265"/>
    </row>
    <row r="114" spans="6:11" s="236" customFormat="1">
      <c r="F114" s="243"/>
      <c r="K114" s="265"/>
    </row>
    <row r="115" spans="6:11" s="236" customFormat="1">
      <c r="F115" s="243"/>
      <c r="K115" s="265"/>
    </row>
    <row r="116" spans="6:11" s="236" customFormat="1">
      <c r="F116" s="243"/>
      <c r="K116" s="265"/>
    </row>
    <row r="117" spans="6:11" s="236" customFormat="1">
      <c r="F117" s="243"/>
      <c r="K117" s="265"/>
    </row>
    <row r="118" spans="6:11" s="236" customFormat="1">
      <c r="F118" s="243"/>
      <c r="K118" s="265"/>
    </row>
    <row r="119" spans="6:11" s="236" customFormat="1">
      <c r="F119" s="243"/>
      <c r="K119" s="265"/>
    </row>
    <row r="120" spans="6:11" s="236" customFormat="1">
      <c r="F120" s="243"/>
      <c r="K120" s="265"/>
    </row>
    <row r="121" spans="6:11" s="236" customFormat="1">
      <c r="F121" s="243"/>
      <c r="K121" s="265"/>
    </row>
    <row r="122" spans="6:11" s="236" customFormat="1">
      <c r="F122" s="243"/>
      <c r="K122" s="265"/>
    </row>
    <row r="123" spans="6:11" s="236" customFormat="1">
      <c r="F123" s="243"/>
      <c r="K123" s="265"/>
    </row>
    <row r="124" spans="6:11" s="236" customFormat="1">
      <c r="F124" s="243"/>
      <c r="K124" s="265"/>
    </row>
    <row r="125" spans="6:11" s="236" customFormat="1">
      <c r="F125" s="243"/>
      <c r="K125" s="265"/>
    </row>
    <row r="126" spans="6:11" s="236" customFormat="1">
      <c r="F126" s="243"/>
      <c r="K126" s="265"/>
    </row>
    <row r="127" spans="6:11" s="236" customFormat="1">
      <c r="F127" s="243"/>
      <c r="K127" s="265"/>
    </row>
    <row r="128" spans="6:11" s="236" customFormat="1">
      <c r="F128" s="243"/>
      <c r="K128" s="265"/>
    </row>
    <row r="129" spans="6:11" s="236" customFormat="1">
      <c r="F129" s="243"/>
      <c r="K129" s="265"/>
    </row>
    <row r="130" spans="6:11" s="236" customFormat="1">
      <c r="F130" s="243"/>
      <c r="K130" s="265"/>
    </row>
    <row r="131" spans="6:11" s="236" customFormat="1">
      <c r="F131" s="243"/>
      <c r="K131" s="265"/>
    </row>
    <row r="132" spans="6:11" s="236" customFormat="1">
      <c r="F132" s="243"/>
      <c r="K132" s="265"/>
    </row>
    <row r="133" spans="6:11" s="236" customFormat="1">
      <c r="F133" s="243"/>
      <c r="K133" s="265"/>
    </row>
    <row r="134" spans="6:11" s="236" customFormat="1">
      <c r="F134" s="243"/>
      <c r="K134" s="265"/>
    </row>
    <row r="135" spans="6:11" s="236" customFormat="1">
      <c r="F135" s="243"/>
      <c r="K135" s="265"/>
    </row>
    <row r="136" spans="6:11" s="236" customFormat="1">
      <c r="F136" s="243"/>
      <c r="K136" s="265"/>
    </row>
    <row r="137" spans="6:11" s="236" customFormat="1">
      <c r="F137" s="243"/>
      <c r="K137" s="265"/>
    </row>
    <row r="138" spans="6:11" s="236" customFormat="1">
      <c r="F138" s="243"/>
      <c r="K138" s="265"/>
    </row>
    <row r="139" spans="6:11" s="236" customFormat="1">
      <c r="F139" s="243"/>
      <c r="K139" s="265"/>
    </row>
    <row r="140" spans="6:11" s="236" customFormat="1">
      <c r="F140" s="243"/>
      <c r="K140" s="265"/>
    </row>
    <row r="141" spans="6:11" s="236" customFormat="1">
      <c r="F141" s="243"/>
      <c r="K141" s="265"/>
    </row>
    <row r="142" spans="6:11" s="236" customFormat="1">
      <c r="F142" s="243"/>
      <c r="K142" s="265"/>
    </row>
    <row r="143" spans="6:11" s="236" customFormat="1">
      <c r="F143" s="243"/>
      <c r="K143" s="265"/>
    </row>
    <row r="144" spans="6:11" s="236" customFormat="1">
      <c r="F144" s="243"/>
      <c r="K144" s="265"/>
    </row>
    <row r="145" spans="6:11" s="236" customFormat="1">
      <c r="F145" s="243"/>
      <c r="K145" s="265"/>
    </row>
    <row r="146" spans="6:11" s="236" customFormat="1">
      <c r="F146" s="243"/>
      <c r="K146" s="265"/>
    </row>
    <row r="147" spans="6:11" s="236" customFormat="1">
      <c r="F147" s="243"/>
      <c r="K147" s="265"/>
    </row>
    <row r="148" spans="6:11" s="236" customFormat="1">
      <c r="F148" s="243"/>
      <c r="K148" s="265"/>
    </row>
    <row r="149" spans="6:11" s="236" customFormat="1">
      <c r="F149" s="243"/>
      <c r="K149" s="265"/>
    </row>
    <row r="150" spans="6:11" s="236" customFormat="1">
      <c r="F150" s="243"/>
      <c r="K150" s="265"/>
    </row>
    <row r="151" spans="6:11" s="236" customFormat="1">
      <c r="F151" s="243"/>
      <c r="K151" s="265"/>
    </row>
    <row r="152" spans="6:11" s="236" customFormat="1">
      <c r="F152" s="243"/>
      <c r="K152" s="265"/>
    </row>
    <row r="153" spans="6:11" s="236" customFormat="1">
      <c r="F153" s="243"/>
      <c r="K153" s="265"/>
    </row>
    <row r="154" spans="6:11" s="236" customFormat="1">
      <c r="F154" s="243"/>
      <c r="K154" s="265"/>
    </row>
    <row r="155" spans="6:11" s="236" customFormat="1">
      <c r="F155" s="243"/>
      <c r="K155" s="265"/>
    </row>
    <row r="156" spans="6:11" s="236" customFormat="1">
      <c r="F156" s="243"/>
      <c r="K156" s="265"/>
    </row>
    <row r="157" spans="6:11" s="236" customFormat="1">
      <c r="F157" s="243"/>
      <c r="K157" s="265"/>
    </row>
    <row r="158" spans="6:11" s="236" customFormat="1">
      <c r="F158" s="243"/>
      <c r="K158" s="265"/>
    </row>
    <row r="159" spans="6:11" s="236" customFormat="1">
      <c r="F159" s="243"/>
      <c r="K159" s="265"/>
    </row>
    <row r="160" spans="6:11" s="236" customFormat="1">
      <c r="F160" s="243"/>
      <c r="K160" s="265"/>
    </row>
    <row r="161" spans="6:11" s="236" customFormat="1">
      <c r="F161" s="243"/>
      <c r="K161" s="265"/>
    </row>
    <row r="162" spans="6:11" s="236" customFormat="1">
      <c r="F162" s="243"/>
      <c r="K162" s="265"/>
    </row>
    <row r="163" spans="6:11" s="236" customFormat="1">
      <c r="F163" s="243"/>
      <c r="K163" s="265"/>
    </row>
    <row r="164" spans="6:11" s="236" customFormat="1">
      <c r="F164" s="243"/>
      <c r="K164" s="265"/>
    </row>
    <row r="165" spans="6:11" s="236" customFormat="1">
      <c r="F165" s="243"/>
      <c r="K165" s="265"/>
    </row>
    <row r="166" spans="6:11" s="236" customFormat="1">
      <c r="F166" s="243"/>
      <c r="K166" s="265"/>
    </row>
    <row r="167" spans="6:11" s="236" customFormat="1">
      <c r="F167" s="243"/>
      <c r="K167" s="265"/>
    </row>
    <row r="168" spans="6:11" s="236" customFormat="1">
      <c r="F168" s="243"/>
      <c r="K168" s="265"/>
    </row>
    <row r="169" spans="6:11" s="236" customFormat="1">
      <c r="F169" s="243"/>
      <c r="K169" s="265"/>
    </row>
    <row r="170" spans="6:11" s="236" customFormat="1">
      <c r="F170" s="243"/>
      <c r="K170" s="265"/>
    </row>
    <row r="171" spans="6:11" s="236" customFormat="1">
      <c r="F171" s="243"/>
      <c r="K171" s="265"/>
    </row>
    <row r="172" spans="6:11" s="236" customFormat="1">
      <c r="F172" s="243"/>
      <c r="K172" s="265"/>
    </row>
    <row r="173" spans="6:11" s="236" customFormat="1">
      <c r="F173" s="243"/>
      <c r="K173" s="265"/>
    </row>
    <row r="174" spans="6:11" s="236" customFormat="1">
      <c r="F174" s="243"/>
      <c r="K174" s="265"/>
    </row>
    <row r="175" spans="6:11" s="236" customFormat="1">
      <c r="F175" s="243"/>
      <c r="K175" s="265"/>
    </row>
    <row r="176" spans="6:11" s="236" customFormat="1">
      <c r="F176" s="243"/>
      <c r="K176" s="265"/>
    </row>
    <row r="177" spans="6:11" s="236" customFormat="1">
      <c r="F177" s="243"/>
      <c r="K177" s="265"/>
    </row>
    <row r="178" spans="6:11" s="236" customFormat="1">
      <c r="F178" s="243"/>
      <c r="K178" s="265"/>
    </row>
    <row r="179" spans="6:11" s="236" customFormat="1">
      <c r="F179" s="243"/>
      <c r="K179" s="265"/>
    </row>
    <row r="180" spans="6:11" s="236" customFormat="1">
      <c r="F180" s="243"/>
      <c r="K180" s="265"/>
    </row>
    <row r="181" spans="6:11" s="236" customFormat="1">
      <c r="F181" s="243"/>
      <c r="K181" s="265"/>
    </row>
    <row r="182" spans="6:11" s="236" customFormat="1">
      <c r="F182" s="243"/>
      <c r="K182" s="265"/>
    </row>
    <row r="183" spans="6:11" s="236" customFormat="1">
      <c r="F183" s="243"/>
      <c r="K183" s="265"/>
    </row>
    <row r="184" spans="6:11" s="236" customFormat="1">
      <c r="F184" s="243"/>
      <c r="K184" s="265"/>
    </row>
    <row r="185" spans="6:11" s="236" customFormat="1">
      <c r="F185" s="243"/>
      <c r="K185" s="265"/>
    </row>
    <row r="186" spans="6:11" s="236" customFormat="1">
      <c r="F186" s="243"/>
      <c r="K186" s="265"/>
    </row>
    <row r="187" spans="6:11" s="236" customFormat="1">
      <c r="F187" s="243"/>
      <c r="K187" s="265"/>
    </row>
    <row r="188" spans="6:11" s="236" customFormat="1">
      <c r="F188" s="243"/>
      <c r="K188" s="265"/>
    </row>
    <row r="189" spans="6:11" s="236" customFormat="1">
      <c r="F189" s="243"/>
      <c r="K189" s="265"/>
    </row>
    <row r="190" spans="6:11" s="236" customFormat="1">
      <c r="F190" s="243"/>
      <c r="K190" s="265"/>
    </row>
    <row r="191" spans="6:11" s="236" customFormat="1">
      <c r="F191" s="243"/>
      <c r="K191" s="265"/>
    </row>
    <row r="192" spans="6:11" s="236" customFormat="1">
      <c r="F192" s="243"/>
      <c r="K192" s="265"/>
    </row>
    <row r="193" spans="6:27" s="236" customFormat="1">
      <c r="F193" s="243"/>
      <c r="K193" s="265"/>
    </row>
    <row r="194" spans="6:27" s="236" customFormat="1">
      <c r="F194" s="243"/>
      <c r="K194" s="265"/>
    </row>
    <row r="195" spans="6:27" s="236" customFormat="1">
      <c r="F195" s="243"/>
      <c r="K195" s="265"/>
    </row>
    <row r="196" spans="6:27" s="236" customFormat="1">
      <c r="F196" s="243"/>
      <c r="K196" s="265"/>
    </row>
    <row r="197" spans="6:27" s="236" customFormat="1">
      <c r="F197" s="243"/>
      <c r="K197" s="265"/>
    </row>
    <row r="198" spans="6:27" s="236" customFormat="1">
      <c r="F198" s="243"/>
      <c r="K198" s="265"/>
    </row>
    <row r="199" spans="6:27" s="236" customFormat="1">
      <c r="F199" s="243"/>
      <c r="K199" s="265"/>
    </row>
    <row r="200" spans="6:27">
      <c r="U200" s="236"/>
      <c r="V200" s="236"/>
      <c r="W200" s="236"/>
      <c r="X200" s="236"/>
      <c r="Y200" s="236"/>
      <c r="Z200" s="236"/>
      <c r="AA200" s="236"/>
    </row>
    <row r="201" spans="6:27">
      <c r="U201" s="236"/>
      <c r="V201" s="236"/>
      <c r="W201" s="236"/>
      <c r="X201" s="236"/>
      <c r="Y201" s="236"/>
      <c r="Z201" s="236"/>
      <c r="AA201" s="236"/>
    </row>
    <row r="202" spans="6:27">
      <c r="U202" s="236"/>
      <c r="V202" s="236"/>
      <c r="W202" s="236"/>
      <c r="X202" s="236"/>
      <c r="Y202" s="236"/>
      <c r="Z202" s="236"/>
      <c r="AA202" s="236"/>
    </row>
    <row r="203" spans="6:27">
      <c r="U203" s="236"/>
      <c r="V203" s="236"/>
      <c r="W203" s="236"/>
      <c r="X203" s="236"/>
      <c r="Y203" s="236"/>
      <c r="Z203" s="236"/>
      <c r="AA203" s="236"/>
    </row>
    <row r="204" spans="6:27">
      <c r="U204" s="236"/>
      <c r="V204" s="236"/>
      <c r="W204" s="236"/>
      <c r="X204" s="236"/>
      <c r="Y204" s="236"/>
      <c r="Z204" s="236"/>
      <c r="AA204" s="236"/>
    </row>
    <row r="205" spans="6:27">
      <c r="U205" s="236"/>
      <c r="V205" s="236"/>
      <c r="W205" s="236"/>
      <c r="X205" s="236"/>
      <c r="Y205" s="236"/>
      <c r="Z205" s="236"/>
      <c r="AA205" s="236"/>
    </row>
    <row r="206" spans="6:27">
      <c r="U206" s="236"/>
      <c r="V206" s="236"/>
      <c r="W206" s="236"/>
      <c r="X206" s="236"/>
      <c r="Y206" s="236"/>
      <c r="Z206" s="236"/>
      <c r="AA206" s="236"/>
    </row>
    <row r="207" spans="6:27">
      <c r="U207" s="236"/>
      <c r="V207" s="236"/>
      <c r="W207" s="236"/>
      <c r="X207" s="236"/>
      <c r="Y207" s="236"/>
      <c r="Z207" s="236"/>
      <c r="AA207" s="236"/>
    </row>
    <row r="208" spans="6:27">
      <c r="U208" s="236"/>
      <c r="V208" s="236"/>
      <c r="W208" s="236"/>
      <c r="X208" s="236"/>
      <c r="Y208" s="236"/>
      <c r="Z208" s="236"/>
      <c r="AA208" s="236"/>
    </row>
    <row r="209" spans="21:27">
      <c r="U209" s="236"/>
      <c r="V209" s="236"/>
      <c r="W209" s="236"/>
      <c r="X209" s="236"/>
      <c r="Y209" s="236"/>
      <c r="Z209" s="236"/>
      <c r="AA209" s="236"/>
    </row>
    <row r="210" spans="21:27">
      <c r="U210" s="236"/>
      <c r="V210" s="236"/>
      <c r="W210" s="236"/>
      <c r="X210" s="236"/>
      <c r="Y210" s="236"/>
      <c r="Z210" s="236"/>
      <c r="AA210" s="236"/>
    </row>
    <row r="211" spans="21:27">
      <c r="U211" s="236"/>
      <c r="V211" s="236"/>
      <c r="W211" s="236"/>
      <c r="X211" s="236"/>
      <c r="Y211" s="236"/>
      <c r="Z211" s="236"/>
      <c r="AA211" s="236"/>
    </row>
    <row r="212" spans="21:27">
      <c r="U212" s="236"/>
      <c r="V212" s="236"/>
      <c r="W212" s="236"/>
      <c r="X212" s="236"/>
      <c r="Y212" s="236"/>
      <c r="Z212" s="236"/>
      <c r="AA212" s="236"/>
    </row>
    <row r="213" spans="21:27">
      <c r="U213" s="236"/>
      <c r="V213" s="236"/>
      <c r="W213" s="236"/>
      <c r="X213" s="236"/>
      <c r="Y213" s="236"/>
      <c r="Z213" s="236"/>
      <c r="AA213" s="236"/>
    </row>
    <row r="214" spans="21:27">
      <c r="U214" s="236"/>
      <c r="V214" s="236"/>
      <c r="W214" s="236"/>
      <c r="X214" s="236"/>
      <c r="Y214" s="236"/>
      <c r="Z214" s="236"/>
      <c r="AA214" s="236"/>
    </row>
    <row r="215" spans="21:27">
      <c r="U215" s="236"/>
      <c r="V215" s="236"/>
      <c r="W215" s="236"/>
      <c r="X215" s="236"/>
      <c r="Y215" s="236"/>
      <c r="Z215" s="236"/>
      <c r="AA215" s="236"/>
    </row>
    <row r="216" spans="21:27">
      <c r="U216" s="236"/>
      <c r="V216" s="236"/>
      <c r="W216" s="236"/>
      <c r="X216" s="236"/>
      <c r="Y216" s="236"/>
      <c r="Z216" s="236"/>
      <c r="AA216" s="236"/>
    </row>
    <row r="217" spans="21:27">
      <c r="U217" s="236"/>
      <c r="V217" s="236"/>
      <c r="W217" s="236"/>
      <c r="X217" s="236"/>
      <c r="Y217" s="236"/>
      <c r="Z217" s="236"/>
      <c r="AA217" s="236"/>
    </row>
    <row r="218" spans="21:27">
      <c r="U218" s="236"/>
      <c r="V218" s="236"/>
      <c r="W218" s="236"/>
      <c r="X218" s="236"/>
      <c r="Y218" s="236"/>
      <c r="Z218" s="236"/>
      <c r="AA218" s="236"/>
    </row>
    <row r="219" spans="21:27">
      <c r="U219" s="236"/>
      <c r="V219" s="236"/>
      <c r="W219" s="236"/>
      <c r="X219" s="236"/>
      <c r="Y219" s="236"/>
      <c r="Z219" s="236"/>
      <c r="AA219" s="236"/>
    </row>
    <row r="220" spans="21:27">
      <c r="U220" s="236"/>
      <c r="V220" s="236"/>
      <c r="W220" s="236"/>
      <c r="X220" s="236"/>
      <c r="Y220" s="236"/>
      <c r="Z220" s="236"/>
      <c r="AA220" s="236"/>
    </row>
    <row r="221" spans="21:27">
      <c r="U221" s="236"/>
      <c r="V221" s="236"/>
      <c r="W221" s="236"/>
      <c r="X221" s="236"/>
      <c r="Y221" s="236"/>
      <c r="Z221" s="236"/>
      <c r="AA221" s="236"/>
    </row>
    <row r="222" spans="21:27">
      <c r="U222" s="236"/>
      <c r="V222" s="236"/>
      <c r="W222" s="236"/>
      <c r="X222" s="236"/>
      <c r="Y222" s="236"/>
      <c r="Z222" s="236"/>
      <c r="AA222" s="236"/>
    </row>
    <row r="223" spans="21:27">
      <c r="U223" s="236"/>
      <c r="V223" s="236"/>
      <c r="W223" s="236"/>
      <c r="X223" s="236"/>
      <c r="Y223" s="236"/>
      <c r="Z223" s="236"/>
      <c r="AA223" s="236"/>
    </row>
    <row r="224" spans="21:27">
      <c r="U224" s="236"/>
      <c r="V224" s="236"/>
      <c r="W224" s="236"/>
      <c r="X224" s="236"/>
      <c r="Y224" s="236"/>
      <c r="Z224" s="236"/>
      <c r="AA224" s="236"/>
    </row>
    <row r="225" spans="21:27">
      <c r="U225" s="236"/>
      <c r="V225" s="236"/>
      <c r="W225" s="236"/>
      <c r="X225" s="236"/>
      <c r="Y225" s="236"/>
      <c r="Z225" s="236"/>
      <c r="AA225" s="236"/>
    </row>
    <row r="226" spans="21:27">
      <c r="U226" s="236"/>
      <c r="V226" s="236"/>
      <c r="W226" s="236"/>
      <c r="X226" s="236"/>
      <c r="Y226" s="236"/>
      <c r="Z226" s="236"/>
      <c r="AA226" s="236"/>
    </row>
    <row r="227" spans="21:27">
      <c r="U227" s="236"/>
      <c r="V227" s="236"/>
      <c r="W227" s="236"/>
      <c r="X227" s="236"/>
      <c r="Y227" s="236"/>
      <c r="Z227" s="236"/>
      <c r="AA227" s="236"/>
    </row>
    <row r="228" spans="21:27">
      <c r="U228" s="236"/>
      <c r="V228" s="236"/>
      <c r="W228" s="236"/>
      <c r="X228" s="236"/>
      <c r="Y228" s="236"/>
      <c r="Z228" s="236"/>
      <c r="AA228" s="236"/>
    </row>
    <row r="229" spans="21:27">
      <c r="U229" s="236"/>
      <c r="V229" s="236"/>
      <c r="W229" s="236"/>
      <c r="X229" s="236"/>
      <c r="Y229" s="236"/>
      <c r="Z229" s="236"/>
      <c r="AA229" s="236"/>
    </row>
    <row r="230" spans="21:27">
      <c r="U230" s="236"/>
      <c r="V230" s="236"/>
      <c r="W230" s="236"/>
      <c r="X230" s="236"/>
      <c r="Y230" s="236"/>
      <c r="Z230" s="236"/>
      <c r="AA230" s="236"/>
    </row>
    <row r="231" spans="21:27">
      <c r="U231" s="236"/>
      <c r="V231" s="236"/>
      <c r="W231" s="236"/>
      <c r="X231" s="236"/>
      <c r="Y231" s="236"/>
      <c r="Z231" s="236"/>
      <c r="AA231" s="236"/>
    </row>
    <row r="232" spans="21:27">
      <c r="U232" s="236"/>
      <c r="V232" s="236"/>
      <c r="W232" s="236"/>
      <c r="X232" s="236"/>
      <c r="Y232" s="236"/>
      <c r="Z232" s="236"/>
      <c r="AA232" s="236"/>
    </row>
    <row r="233" spans="21:27">
      <c r="U233" s="236"/>
      <c r="V233" s="236"/>
      <c r="W233" s="236"/>
      <c r="X233" s="236"/>
      <c r="Y233" s="236"/>
      <c r="Z233" s="236"/>
      <c r="AA233" s="236"/>
    </row>
    <row r="234" spans="21:27">
      <c r="U234" s="236"/>
      <c r="V234" s="236"/>
      <c r="W234" s="236"/>
      <c r="X234" s="236"/>
      <c r="Y234" s="236"/>
      <c r="Z234" s="236"/>
      <c r="AA234" s="236"/>
    </row>
    <row r="235" spans="21:27">
      <c r="U235" s="236"/>
      <c r="V235" s="236"/>
      <c r="W235" s="236"/>
      <c r="X235" s="236"/>
      <c r="Y235" s="236"/>
      <c r="Z235" s="236"/>
      <c r="AA235" s="236"/>
    </row>
    <row r="236" spans="21:27">
      <c r="U236" s="236"/>
      <c r="V236" s="236"/>
      <c r="W236" s="236"/>
      <c r="X236" s="236"/>
      <c r="Y236" s="236"/>
      <c r="Z236" s="236"/>
      <c r="AA236" s="236"/>
    </row>
    <row r="237" spans="21:27">
      <c r="U237" s="236"/>
      <c r="V237" s="236"/>
      <c r="W237" s="236"/>
      <c r="X237" s="236"/>
      <c r="Y237" s="236"/>
      <c r="Z237" s="236"/>
      <c r="AA237" s="236"/>
    </row>
    <row r="238" spans="21:27">
      <c r="U238" s="236"/>
      <c r="V238" s="236"/>
      <c r="W238" s="236"/>
      <c r="X238" s="236"/>
      <c r="Y238" s="236"/>
      <c r="Z238" s="236"/>
      <c r="AA238" s="236"/>
    </row>
    <row r="239" spans="21:27">
      <c r="U239" s="236"/>
      <c r="V239" s="236"/>
      <c r="W239" s="236"/>
      <c r="X239" s="236"/>
      <c r="Y239" s="236"/>
      <c r="Z239" s="236"/>
      <c r="AA239" s="236"/>
    </row>
    <row r="240" spans="21:27">
      <c r="U240" s="236"/>
      <c r="V240" s="236"/>
      <c r="W240" s="236"/>
      <c r="X240" s="236"/>
      <c r="Y240" s="236"/>
      <c r="Z240" s="236"/>
      <c r="AA240" s="236"/>
    </row>
    <row r="241" spans="21:27">
      <c r="U241" s="236"/>
      <c r="V241" s="236"/>
      <c r="W241" s="236"/>
      <c r="X241" s="236"/>
      <c r="Y241" s="236"/>
      <c r="Z241" s="236"/>
      <c r="AA241" s="236"/>
    </row>
    <row r="242" spans="21:27">
      <c r="U242" s="236"/>
      <c r="V242" s="236"/>
      <c r="W242" s="236"/>
      <c r="X242" s="236"/>
      <c r="Y242" s="236"/>
      <c r="Z242" s="236"/>
      <c r="AA242" s="236"/>
    </row>
    <row r="243" spans="21:27">
      <c r="U243" s="236"/>
      <c r="V243" s="236"/>
      <c r="W243" s="236"/>
      <c r="X243" s="236"/>
      <c r="Y243" s="236"/>
      <c r="Z243" s="236"/>
      <c r="AA243" s="236"/>
    </row>
    <row r="244" spans="21:27">
      <c r="U244" s="236"/>
      <c r="V244" s="236"/>
      <c r="W244" s="236"/>
      <c r="X244" s="236"/>
      <c r="Y244" s="236"/>
      <c r="Z244" s="236"/>
      <c r="AA244" s="236"/>
    </row>
    <row r="245" spans="21:27">
      <c r="U245" s="236"/>
      <c r="V245" s="236"/>
      <c r="W245" s="236"/>
      <c r="X245" s="236"/>
      <c r="Y245" s="236"/>
      <c r="Z245" s="236"/>
      <c r="AA245" s="236"/>
    </row>
    <row r="246" spans="21:27">
      <c r="U246" s="236"/>
      <c r="V246" s="236"/>
      <c r="W246" s="236"/>
      <c r="X246" s="236"/>
      <c r="Y246" s="236"/>
      <c r="Z246" s="236"/>
      <c r="AA246" s="236"/>
    </row>
    <row r="247" spans="21:27">
      <c r="U247" s="236"/>
      <c r="V247" s="236"/>
      <c r="W247" s="236"/>
      <c r="X247" s="236"/>
      <c r="Y247" s="236"/>
      <c r="Z247" s="236"/>
      <c r="AA247" s="236"/>
    </row>
    <row r="248" spans="21:27">
      <c r="U248" s="236"/>
      <c r="V248" s="236"/>
      <c r="W248" s="236"/>
      <c r="X248" s="236"/>
      <c r="Y248" s="236"/>
      <c r="Z248" s="236"/>
      <c r="AA248" s="236"/>
    </row>
    <row r="249" spans="21:27">
      <c r="U249" s="236"/>
      <c r="V249" s="236"/>
      <c r="W249" s="236"/>
      <c r="X249" s="236"/>
      <c r="Y249" s="236"/>
      <c r="Z249" s="236"/>
      <c r="AA249" s="236"/>
    </row>
    <row r="250" spans="21:27">
      <c r="U250" s="236"/>
      <c r="V250" s="236"/>
      <c r="W250" s="236"/>
      <c r="X250" s="236"/>
      <c r="Y250" s="236"/>
      <c r="Z250" s="236"/>
      <c r="AA250" s="236"/>
    </row>
    <row r="251" spans="21:27">
      <c r="U251" s="236"/>
      <c r="V251" s="236"/>
      <c r="W251" s="236"/>
      <c r="X251" s="236"/>
      <c r="Y251" s="236"/>
      <c r="Z251" s="236"/>
      <c r="AA251" s="236"/>
    </row>
    <row r="252" spans="21:27">
      <c r="U252" s="236"/>
      <c r="V252" s="236"/>
      <c r="W252" s="236"/>
      <c r="X252" s="236"/>
      <c r="Y252" s="236"/>
      <c r="Z252" s="236"/>
      <c r="AA252" s="236"/>
    </row>
    <row r="253" spans="21:27">
      <c r="U253" s="236"/>
      <c r="V253" s="236"/>
      <c r="W253" s="236"/>
      <c r="X253" s="236"/>
      <c r="Y253" s="236"/>
      <c r="Z253" s="236"/>
      <c r="AA253" s="236"/>
    </row>
    <row r="254" spans="21:27">
      <c r="U254" s="236"/>
      <c r="V254" s="236"/>
      <c r="W254" s="236"/>
      <c r="X254" s="236"/>
      <c r="Y254" s="236"/>
      <c r="Z254" s="236"/>
      <c r="AA254" s="236"/>
    </row>
    <row r="255" spans="21:27">
      <c r="U255" s="236"/>
      <c r="V255" s="236"/>
      <c r="W255" s="236"/>
      <c r="X255" s="236"/>
      <c r="Y255" s="236"/>
      <c r="Z255" s="236"/>
      <c r="AA255" s="236"/>
    </row>
    <row r="256" spans="21:27">
      <c r="U256" s="236"/>
      <c r="V256" s="236"/>
      <c r="W256" s="236"/>
      <c r="X256" s="236"/>
      <c r="Y256" s="236"/>
      <c r="Z256" s="236"/>
      <c r="AA256" s="236"/>
    </row>
    <row r="257" spans="21:27">
      <c r="U257" s="236"/>
      <c r="V257" s="236"/>
      <c r="W257" s="236"/>
      <c r="X257" s="236"/>
      <c r="Y257" s="236"/>
      <c r="Z257" s="236"/>
      <c r="AA257" s="236"/>
    </row>
    <row r="258" spans="21:27">
      <c r="U258" s="236"/>
      <c r="V258" s="236"/>
      <c r="W258" s="236"/>
      <c r="X258" s="236"/>
      <c r="Y258" s="236"/>
      <c r="Z258" s="236"/>
      <c r="AA258" s="236"/>
    </row>
    <row r="259" spans="21:27">
      <c r="U259" s="236"/>
      <c r="V259" s="236"/>
      <c r="W259" s="236"/>
      <c r="X259" s="236"/>
      <c r="Y259" s="236"/>
      <c r="Z259" s="236"/>
      <c r="AA259" s="236"/>
    </row>
    <row r="260" spans="21:27">
      <c r="U260" s="236"/>
      <c r="V260" s="236"/>
      <c r="W260" s="236"/>
      <c r="X260" s="236"/>
      <c r="Y260" s="236"/>
      <c r="Z260" s="236"/>
      <c r="AA260" s="236"/>
    </row>
    <row r="261" spans="21:27">
      <c r="U261" s="236"/>
      <c r="V261" s="236"/>
      <c r="W261" s="236"/>
      <c r="X261" s="236"/>
      <c r="Y261" s="236"/>
      <c r="Z261" s="236"/>
      <c r="AA261" s="236"/>
    </row>
    <row r="262" spans="21:27">
      <c r="U262" s="236"/>
      <c r="V262" s="236"/>
      <c r="W262" s="236"/>
      <c r="X262" s="236"/>
      <c r="Y262" s="236"/>
      <c r="Z262" s="236"/>
      <c r="AA262" s="236"/>
    </row>
    <row r="263" spans="21:27">
      <c r="U263" s="236"/>
      <c r="V263" s="236"/>
      <c r="W263" s="236"/>
      <c r="X263" s="236"/>
      <c r="Y263" s="236"/>
      <c r="Z263" s="236"/>
      <c r="AA263" s="236"/>
    </row>
    <row r="264" spans="21:27">
      <c r="U264" s="236"/>
      <c r="V264" s="236"/>
      <c r="W264" s="236"/>
      <c r="X264" s="236"/>
      <c r="Y264" s="236"/>
      <c r="Z264" s="236"/>
      <c r="AA264" s="236"/>
    </row>
    <row r="265" spans="21:27">
      <c r="U265" s="236"/>
      <c r="V265" s="236"/>
      <c r="W265" s="236"/>
      <c r="X265" s="236"/>
      <c r="Y265" s="236"/>
      <c r="Z265" s="236"/>
      <c r="AA265" s="236"/>
    </row>
    <row r="266" spans="21:27">
      <c r="U266" s="236"/>
      <c r="V266" s="236"/>
      <c r="W266" s="236"/>
      <c r="X266" s="236"/>
      <c r="Y266" s="236"/>
      <c r="Z266" s="236"/>
      <c r="AA266" s="236"/>
    </row>
    <row r="267" spans="21:27">
      <c r="U267" s="236"/>
      <c r="V267" s="236"/>
      <c r="W267" s="236"/>
      <c r="X267" s="236"/>
      <c r="Y267" s="236"/>
      <c r="Z267" s="236"/>
      <c r="AA267" s="236"/>
    </row>
    <row r="268" spans="21:27">
      <c r="U268" s="236"/>
      <c r="V268" s="236"/>
      <c r="W268" s="236"/>
      <c r="X268" s="236"/>
      <c r="Y268" s="236"/>
      <c r="Z268" s="236"/>
      <c r="AA268" s="236"/>
    </row>
    <row r="269" spans="21:27">
      <c r="U269" s="236"/>
      <c r="V269" s="236"/>
      <c r="W269" s="236"/>
      <c r="X269" s="236"/>
      <c r="Y269" s="236"/>
      <c r="Z269" s="236"/>
      <c r="AA269" s="236"/>
    </row>
    <row r="270" spans="21:27">
      <c r="U270" s="236"/>
      <c r="V270" s="236"/>
      <c r="W270" s="236"/>
      <c r="X270" s="236"/>
      <c r="Y270" s="236"/>
      <c r="Z270" s="236"/>
      <c r="AA270" s="236"/>
    </row>
    <row r="271" spans="21:27">
      <c r="U271" s="236"/>
      <c r="V271" s="236"/>
      <c r="W271" s="236"/>
      <c r="X271" s="236"/>
      <c r="Y271" s="236"/>
      <c r="Z271" s="236"/>
      <c r="AA271" s="236"/>
    </row>
    <row r="272" spans="21:27">
      <c r="U272" s="236"/>
      <c r="V272" s="236"/>
      <c r="W272" s="236"/>
      <c r="X272" s="236"/>
      <c r="Y272" s="236"/>
      <c r="Z272" s="236"/>
      <c r="AA272" s="236"/>
    </row>
    <row r="273" spans="21:27">
      <c r="U273" s="236"/>
      <c r="V273" s="236"/>
      <c r="W273" s="236"/>
      <c r="X273" s="236"/>
      <c r="Y273" s="236"/>
      <c r="Z273" s="236"/>
      <c r="AA273" s="236"/>
    </row>
    <row r="274" spans="21:27">
      <c r="U274" s="236"/>
      <c r="V274" s="236"/>
      <c r="W274" s="236"/>
      <c r="X274" s="236"/>
      <c r="Y274" s="236"/>
      <c r="Z274" s="236"/>
      <c r="AA274" s="236"/>
    </row>
    <row r="275" spans="21:27">
      <c r="U275" s="236"/>
      <c r="V275" s="236"/>
      <c r="W275" s="236"/>
      <c r="X275" s="236"/>
      <c r="Y275" s="236"/>
      <c r="Z275" s="236"/>
      <c r="AA275" s="236"/>
    </row>
    <row r="276" spans="21:27">
      <c r="U276" s="236"/>
      <c r="V276" s="236"/>
      <c r="W276" s="236"/>
      <c r="X276" s="236"/>
      <c r="Y276" s="236"/>
      <c r="Z276" s="236"/>
      <c r="AA276" s="236"/>
    </row>
    <row r="277" spans="21:27">
      <c r="U277" s="236"/>
      <c r="V277" s="236"/>
      <c r="W277" s="236"/>
      <c r="X277" s="236"/>
      <c r="Y277" s="236"/>
      <c r="Z277" s="236"/>
      <c r="AA277" s="236"/>
    </row>
    <row r="278" spans="21:27">
      <c r="U278" s="236"/>
      <c r="V278" s="236"/>
      <c r="W278" s="236"/>
      <c r="X278" s="236"/>
      <c r="Y278" s="236"/>
      <c r="Z278" s="236"/>
      <c r="AA278" s="236"/>
    </row>
    <row r="279" spans="21:27">
      <c r="U279" s="236"/>
      <c r="V279" s="236"/>
      <c r="W279" s="236"/>
      <c r="X279" s="236"/>
      <c r="Y279" s="236"/>
      <c r="Z279" s="236"/>
      <c r="AA279" s="236"/>
    </row>
    <row r="280" spans="21:27">
      <c r="U280" s="236"/>
      <c r="V280" s="236"/>
      <c r="W280" s="236"/>
      <c r="X280" s="236"/>
      <c r="Y280" s="236"/>
      <c r="Z280" s="236"/>
      <c r="AA280" s="236"/>
    </row>
    <row r="281" spans="21:27">
      <c r="U281" s="236"/>
      <c r="V281" s="236"/>
      <c r="W281" s="236"/>
      <c r="X281" s="236"/>
      <c r="Y281" s="236"/>
      <c r="Z281" s="236"/>
      <c r="AA281" s="236"/>
    </row>
    <row r="282" spans="21:27">
      <c r="U282" s="236"/>
      <c r="V282" s="236"/>
      <c r="W282" s="236"/>
      <c r="X282" s="236"/>
      <c r="Y282" s="236"/>
      <c r="Z282" s="236"/>
      <c r="AA282" s="236"/>
    </row>
    <row r="283" spans="21:27">
      <c r="U283" s="236"/>
      <c r="V283" s="236"/>
      <c r="W283" s="236"/>
      <c r="X283" s="236"/>
      <c r="Y283" s="236"/>
      <c r="Z283" s="236"/>
      <c r="AA283" s="236"/>
    </row>
    <row r="284" spans="21:27">
      <c r="U284" s="236"/>
      <c r="V284" s="236"/>
      <c r="W284" s="236"/>
      <c r="X284" s="236"/>
      <c r="Y284" s="236"/>
      <c r="Z284" s="236"/>
      <c r="AA284" s="236"/>
    </row>
    <row r="285" spans="21:27">
      <c r="U285" s="236"/>
      <c r="V285" s="236"/>
      <c r="W285" s="236"/>
      <c r="X285" s="236"/>
      <c r="Y285" s="236"/>
      <c r="Z285" s="236"/>
      <c r="AA285" s="236"/>
    </row>
    <row r="286" spans="21:27">
      <c r="U286" s="236"/>
      <c r="V286" s="236"/>
      <c r="W286" s="236"/>
      <c r="X286" s="236"/>
      <c r="Y286" s="236"/>
      <c r="Z286" s="236"/>
      <c r="AA286" s="236"/>
    </row>
    <row r="287" spans="21:27">
      <c r="U287" s="236"/>
      <c r="V287" s="236"/>
      <c r="W287" s="236"/>
      <c r="X287" s="236"/>
      <c r="Y287" s="236"/>
      <c r="Z287" s="236"/>
      <c r="AA287" s="236"/>
    </row>
    <row r="288" spans="21:27">
      <c r="U288" s="236"/>
      <c r="V288" s="236"/>
      <c r="W288" s="236"/>
      <c r="X288" s="236"/>
      <c r="Y288" s="236"/>
      <c r="Z288" s="236"/>
      <c r="AA288" s="236"/>
    </row>
    <row r="289" spans="21:27">
      <c r="U289" s="236"/>
      <c r="V289" s="236"/>
      <c r="W289" s="236"/>
      <c r="X289" s="236"/>
      <c r="Y289" s="236"/>
      <c r="Z289" s="236"/>
      <c r="AA289" s="236"/>
    </row>
    <row r="290" spans="21:27">
      <c r="U290" s="236"/>
      <c r="V290" s="236"/>
      <c r="W290" s="236"/>
      <c r="X290" s="236"/>
      <c r="Y290" s="236"/>
      <c r="Z290" s="236"/>
      <c r="AA290" s="236"/>
    </row>
    <row r="291" spans="21:27">
      <c r="U291" s="236"/>
      <c r="V291" s="236"/>
      <c r="W291" s="236"/>
      <c r="X291" s="236"/>
      <c r="Y291" s="236"/>
      <c r="Z291" s="236"/>
      <c r="AA291" s="236"/>
    </row>
    <row r="292" spans="21:27">
      <c r="U292" s="236"/>
      <c r="V292" s="236"/>
      <c r="W292" s="236"/>
      <c r="X292" s="236"/>
      <c r="Y292" s="236"/>
      <c r="Z292" s="236"/>
      <c r="AA292" s="236"/>
    </row>
    <row r="293" spans="21:27">
      <c r="U293" s="236"/>
      <c r="V293" s="236"/>
      <c r="W293" s="236"/>
      <c r="X293" s="236"/>
      <c r="Y293" s="236"/>
      <c r="Z293" s="236"/>
      <c r="AA293" s="236"/>
    </row>
    <row r="294" spans="21:27">
      <c r="U294" s="236"/>
      <c r="V294" s="236"/>
      <c r="W294" s="236"/>
      <c r="X294" s="236"/>
      <c r="Y294" s="236"/>
      <c r="Z294" s="236"/>
      <c r="AA294" s="236"/>
    </row>
    <row r="295" spans="21:27">
      <c r="U295" s="236"/>
      <c r="V295" s="236"/>
      <c r="W295" s="236"/>
      <c r="X295" s="236"/>
      <c r="Y295" s="236"/>
      <c r="Z295" s="236"/>
      <c r="AA295" s="236"/>
    </row>
    <row r="296" spans="21:27">
      <c r="U296" s="236"/>
      <c r="V296" s="236"/>
      <c r="W296" s="236"/>
      <c r="X296" s="236"/>
      <c r="Y296" s="236"/>
      <c r="Z296" s="236"/>
      <c r="AA296" s="236"/>
    </row>
    <row r="297" spans="21:27">
      <c r="U297" s="236"/>
      <c r="V297" s="236"/>
      <c r="W297" s="236"/>
      <c r="X297" s="236"/>
      <c r="Y297" s="236"/>
      <c r="Z297" s="236"/>
      <c r="AA297" s="236"/>
    </row>
    <row r="298" spans="21:27">
      <c r="U298" s="236"/>
      <c r="V298" s="236"/>
      <c r="W298" s="236"/>
      <c r="X298" s="236"/>
      <c r="Y298" s="236"/>
      <c r="Z298" s="236"/>
      <c r="AA298" s="236"/>
    </row>
    <row r="299" spans="21:27">
      <c r="U299" s="236"/>
      <c r="V299" s="236"/>
      <c r="W299" s="236"/>
      <c r="X299" s="236"/>
      <c r="Y299" s="236"/>
      <c r="Z299" s="236"/>
      <c r="AA299" s="236"/>
    </row>
    <row r="300" spans="21:27">
      <c r="U300" s="236"/>
      <c r="V300" s="236"/>
      <c r="W300" s="236"/>
      <c r="X300" s="236"/>
      <c r="Y300" s="236"/>
      <c r="Z300" s="236"/>
      <c r="AA300" s="236"/>
    </row>
    <row r="301" spans="21:27">
      <c r="U301" s="236"/>
      <c r="V301" s="236"/>
      <c r="W301" s="236"/>
      <c r="X301" s="236"/>
      <c r="Y301" s="236"/>
      <c r="Z301" s="236"/>
      <c r="AA301" s="236"/>
    </row>
    <row r="302" spans="21:27">
      <c r="U302" s="236"/>
      <c r="V302" s="236"/>
      <c r="W302" s="236"/>
      <c r="X302" s="236"/>
      <c r="Y302" s="236"/>
      <c r="Z302" s="236"/>
      <c r="AA302" s="236"/>
    </row>
    <row r="303" spans="21:27">
      <c r="U303" s="236"/>
      <c r="V303" s="236"/>
      <c r="W303" s="236"/>
      <c r="X303" s="236"/>
      <c r="Y303" s="236"/>
      <c r="Z303" s="236"/>
      <c r="AA303" s="236"/>
    </row>
    <row r="304" spans="21:27">
      <c r="U304" s="236"/>
      <c r="V304" s="236"/>
      <c r="W304" s="236"/>
      <c r="X304" s="236"/>
      <c r="Y304" s="236"/>
      <c r="Z304" s="236"/>
      <c r="AA304" s="236"/>
    </row>
    <row r="305" spans="21:27">
      <c r="U305" s="236"/>
      <c r="V305" s="236"/>
      <c r="W305" s="236"/>
      <c r="X305" s="236"/>
      <c r="Y305" s="236"/>
      <c r="Z305" s="236"/>
      <c r="AA305" s="236"/>
    </row>
    <row r="306" spans="21:27">
      <c r="U306" s="236"/>
      <c r="V306" s="236"/>
      <c r="W306" s="236"/>
      <c r="X306" s="236"/>
      <c r="Y306" s="236"/>
      <c r="Z306" s="236"/>
      <c r="AA306" s="236"/>
    </row>
    <row r="307" spans="21:27">
      <c r="U307" s="236"/>
      <c r="V307" s="236"/>
      <c r="W307" s="236"/>
      <c r="X307" s="236"/>
      <c r="Y307" s="236"/>
      <c r="Z307" s="236"/>
      <c r="AA307" s="236"/>
    </row>
    <row r="308" spans="21:27">
      <c r="U308" s="236"/>
      <c r="V308" s="236"/>
      <c r="W308" s="236"/>
      <c r="X308" s="236"/>
      <c r="Y308" s="236"/>
      <c r="Z308" s="236"/>
      <c r="AA308" s="236"/>
    </row>
    <row r="309" spans="21:27">
      <c r="U309" s="236"/>
      <c r="V309" s="236"/>
      <c r="W309" s="236"/>
      <c r="X309" s="236"/>
      <c r="Y309" s="236"/>
      <c r="Z309" s="236"/>
      <c r="AA309" s="236"/>
    </row>
    <row r="310" spans="21:27">
      <c r="U310" s="236"/>
      <c r="V310" s="236"/>
      <c r="W310" s="236"/>
      <c r="X310" s="236"/>
      <c r="Y310" s="236"/>
      <c r="Z310" s="236"/>
      <c r="AA310" s="236"/>
    </row>
    <row r="311" spans="21:27">
      <c r="U311" s="236"/>
      <c r="V311" s="236"/>
      <c r="W311" s="236"/>
      <c r="X311" s="236"/>
      <c r="Y311" s="236"/>
      <c r="Z311" s="236"/>
      <c r="AA311" s="236"/>
    </row>
    <row r="312" spans="21:27">
      <c r="U312" s="236"/>
      <c r="V312" s="236"/>
      <c r="W312" s="236"/>
      <c r="X312" s="236"/>
      <c r="Y312" s="236"/>
      <c r="Z312" s="236"/>
      <c r="AA312" s="236"/>
    </row>
    <row r="313" spans="21:27">
      <c r="U313" s="236"/>
      <c r="V313" s="236"/>
      <c r="W313" s="236"/>
      <c r="X313" s="236"/>
      <c r="Y313" s="236"/>
      <c r="Z313" s="236"/>
      <c r="AA313" s="236"/>
    </row>
    <row r="314" spans="21:27">
      <c r="U314" s="236"/>
      <c r="V314" s="236"/>
      <c r="W314" s="236"/>
      <c r="X314" s="236"/>
      <c r="Y314" s="236"/>
      <c r="Z314" s="236"/>
      <c r="AA314" s="236"/>
    </row>
    <row r="315" spans="21:27">
      <c r="U315" s="236"/>
      <c r="V315" s="236"/>
      <c r="W315" s="236"/>
      <c r="X315" s="236"/>
      <c r="Y315" s="236"/>
      <c r="Z315" s="236"/>
      <c r="AA315" s="236"/>
    </row>
    <row r="316" spans="21:27">
      <c r="U316" s="236"/>
      <c r="V316" s="236"/>
      <c r="W316" s="236"/>
      <c r="X316" s="236"/>
      <c r="Y316" s="236"/>
      <c r="Z316" s="236"/>
      <c r="AA316" s="236"/>
    </row>
    <row r="317" spans="21:27">
      <c r="U317" s="236"/>
      <c r="V317" s="236"/>
      <c r="W317" s="236"/>
      <c r="X317" s="236"/>
      <c r="Y317" s="236"/>
      <c r="Z317" s="236"/>
      <c r="AA317" s="236"/>
    </row>
    <row r="318" spans="21:27">
      <c r="U318" s="236"/>
      <c r="V318" s="236"/>
      <c r="W318" s="236"/>
      <c r="X318" s="236"/>
      <c r="Y318" s="236"/>
      <c r="Z318" s="236"/>
      <c r="AA318" s="236"/>
    </row>
    <row r="319" spans="21:27">
      <c r="U319" s="236"/>
      <c r="V319" s="236"/>
      <c r="W319" s="236"/>
      <c r="X319" s="236"/>
      <c r="Y319" s="236"/>
      <c r="Z319" s="236"/>
      <c r="AA319" s="236"/>
    </row>
    <row r="320" spans="21:27">
      <c r="U320" s="236"/>
      <c r="V320" s="236"/>
      <c r="W320" s="236"/>
      <c r="X320" s="236"/>
      <c r="Y320" s="236"/>
      <c r="Z320" s="236"/>
      <c r="AA320" s="236"/>
    </row>
    <row r="321" spans="21:27">
      <c r="U321" s="236"/>
      <c r="V321" s="236"/>
      <c r="W321" s="236"/>
      <c r="X321" s="236"/>
      <c r="Y321" s="236"/>
      <c r="Z321" s="236"/>
      <c r="AA321" s="236"/>
    </row>
    <row r="322" spans="21:27">
      <c r="U322" s="236"/>
      <c r="V322" s="236"/>
      <c r="W322" s="236"/>
      <c r="X322" s="236"/>
      <c r="Y322" s="236"/>
      <c r="Z322" s="236"/>
      <c r="AA322" s="236"/>
    </row>
    <row r="323" spans="21:27">
      <c r="U323" s="236"/>
      <c r="V323" s="236"/>
      <c r="W323" s="236"/>
      <c r="X323" s="236"/>
      <c r="Y323" s="236"/>
      <c r="Z323" s="236"/>
      <c r="AA323" s="236"/>
    </row>
    <row r="324" spans="21:27">
      <c r="U324" s="236"/>
      <c r="V324" s="236"/>
      <c r="W324" s="236"/>
      <c r="X324" s="236"/>
      <c r="Y324" s="236"/>
      <c r="Z324" s="236"/>
      <c r="AA324" s="236"/>
    </row>
    <row r="325" spans="21:27">
      <c r="U325" s="236"/>
      <c r="V325" s="236"/>
      <c r="W325" s="236"/>
      <c r="X325" s="236"/>
      <c r="Y325" s="236"/>
      <c r="Z325" s="236"/>
      <c r="AA325" s="236"/>
    </row>
    <row r="326" spans="21:27">
      <c r="U326" s="236"/>
      <c r="V326" s="236"/>
      <c r="W326" s="236"/>
      <c r="X326" s="236"/>
      <c r="Y326" s="236"/>
      <c r="Z326" s="236"/>
      <c r="AA326" s="236"/>
    </row>
    <row r="327" spans="21:27">
      <c r="U327" s="236"/>
      <c r="V327" s="236"/>
      <c r="W327" s="236"/>
      <c r="X327" s="236"/>
      <c r="Y327" s="236"/>
      <c r="Z327" s="236"/>
      <c r="AA327" s="236"/>
    </row>
    <row r="328" spans="21:27">
      <c r="U328" s="236"/>
      <c r="V328" s="236"/>
      <c r="W328" s="236"/>
      <c r="X328" s="236"/>
      <c r="Y328" s="236"/>
      <c r="Z328" s="236"/>
      <c r="AA328" s="236"/>
    </row>
    <row r="329" spans="21:27">
      <c r="U329" s="236"/>
      <c r="V329" s="236"/>
      <c r="W329" s="236"/>
      <c r="X329" s="236"/>
      <c r="Y329" s="236"/>
      <c r="Z329" s="236"/>
      <c r="AA329" s="236"/>
    </row>
    <row r="330" spans="21:27">
      <c r="U330" s="236"/>
      <c r="V330" s="236"/>
      <c r="W330" s="236"/>
      <c r="X330" s="236"/>
      <c r="Y330" s="236"/>
      <c r="Z330" s="236"/>
      <c r="AA330" s="236"/>
    </row>
    <row r="331" spans="21:27">
      <c r="U331" s="236"/>
      <c r="V331" s="236"/>
      <c r="W331" s="236"/>
      <c r="X331" s="236"/>
      <c r="Y331" s="236"/>
      <c r="Z331" s="236"/>
      <c r="AA331" s="236"/>
    </row>
    <row r="332" spans="21:27">
      <c r="U332" s="236"/>
      <c r="V332" s="236"/>
      <c r="W332" s="236"/>
      <c r="X332" s="236"/>
      <c r="Y332" s="236"/>
      <c r="Z332" s="236"/>
      <c r="AA332" s="236"/>
    </row>
    <row r="333" spans="21:27">
      <c r="U333" s="236"/>
      <c r="V333" s="236"/>
      <c r="W333" s="236"/>
      <c r="X333" s="236"/>
      <c r="Y333" s="236"/>
      <c r="Z333" s="236"/>
      <c r="AA333" s="236"/>
    </row>
    <row r="334" spans="21:27">
      <c r="U334" s="236"/>
      <c r="V334" s="236"/>
      <c r="W334" s="236"/>
      <c r="X334" s="236"/>
      <c r="Y334" s="236"/>
      <c r="Z334" s="236"/>
      <c r="AA334" s="236"/>
    </row>
    <row r="335" spans="21:27">
      <c r="U335" s="236"/>
      <c r="V335" s="236"/>
      <c r="W335" s="236"/>
      <c r="X335" s="236"/>
      <c r="Y335" s="236"/>
      <c r="Z335" s="236"/>
      <c r="AA335" s="236"/>
    </row>
    <row r="336" spans="21:27">
      <c r="U336" s="236"/>
      <c r="V336" s="236"/>
      <c r="W336" s="236"/>
      <c r="X336" s="236"/>
      <c r="Y336" s="236"/>
      <c r="Z336" s="236"/>
      <c r="AA336" s="236"/>
    </row>
    <row r="337" spans="21:27">
      <c r="U337" s="236"/>
      <c r="V337" s="236"/>
      <c r="W337" s="236"/>
      <c r="X337" s="236"/>
      <c r="Y337" s="236"/>
      <c r="Z337" s="236"/>
      <c r="AA337" s="236"/>
    </row>
    <row r="338" spans="21:27">
      <c r="U338" s="236"/>
      <c r="V338" s="236"/>
      <c r="W338" s="236"/>
      <c r="X338" s="236"/>
      <c r="Y338" s="236"/>
      <c r="Z338" s="236"/>
      <c r="AA338" s="236"/>
    </row>
    <row r="339" spans="21:27">
      <c r="U339" s="236"/>
      <c r="V339" s="236"/>
      <c r="W339" s="236"/>
      <c r="X339" s="236"/>
      <c r="Y339" s="236"/>
      <c r="Z339" s="236"/>
      <c r="AA339" s="236"/>
    </row>
    <row r="340" spans="21:27">
      <c r="U340" s="236"/>
      <c r="V340" s="236"/>
      <c r="W340" s="236"/>
      <c r="X340" s="236"/>
      <c r="Y340" s="236"/>
      <c r="Z340" s="236"/>
      <c r="AA340" s="236"/>
    </row>
    <row r="341" spans="21:27">
      <c r="U341" s="236"/>
      <c r="V341" s="236"/>
      <c r="W341" s="236"/>
      <c r="X341" s="236"/>
      <c r="Y341" s="236"/>
      <c r="Z341" s="236"/>
      <c r="AA341" s="236"/>
    </row>
    <row r="342" spans="21:27">
      <c r="U342" s="236"/>
      <c r="V342" s="236"/>
      <c r="W342" s="236"/>
      <c r="X342" s="236"/>
      <c r="Y342" s="236"/>
      <c r="Z342" s="236"/>
      <c r="AA342" s="236"/>
    </row>
    <row r="343" spans="21:27">
      <c r="U343" s="236"/>
      <c r="V343" s="236"/>
      <c r="W343" s="236"/>
      <c r="X343" s="236"/>
      <c r="Y343" s="236"/>
      <c r="Z343" s="236"/>
      <c r="AA343" s="236"/>
    </row>
    <row r="344" spans="21:27">
      <c r="U344" s="236"/>
      <c r="V344" s="236"/>
      <c r="W344" s="236"/>
      <c r="X344" s="236"/>
      <c r="Y344" s="236"/>
      <c r="Z344" s="236"/>
      <c r="AA344" s="236"/>
    </row>
    <row r="345" spans="21:27">
      <c r="U345" s="236"/>
      <c r="V345" s="236"/>
      <c r="W345" s="236"/>
      <c r="X345" s="236"/>
      <c r="Y345" s="236"/>
      <c r="Z345" s="236"/>
      <c r="AA345" s="236"/>
    </row>
    <row r="346" spans="21:27">
      <c r="U346" s="236"/>
      <c r="V346" s="236"/>
      <c r="W346" s="236"/>
      <c r="X346" s="236"/>
      <c r="Y346" s="236"/>
      <c r="Z346" s="236"/>
      <c r="AA346" s="236"/>
    </row>
    <row r="347" spans="21:27">
      <c r="U347" s="236"/>
      <c r="V347" s="236"/>
      <c r="W347" s="236"/>
      <c r="X347" s="236"/>
      <c r="Y347" s="236"/>
      <c r="Z347" s="236"/>
      <c r="AA347" s="236"/>
    </row>
    <row r="348" spans="21:27">
      <c r="U348" s="236"/>
      <c r="V348" s="236"/>
      <c r="W348" s="236"/>
      <c r="X348" s="236"/>
      <c r="Y348" s="236"/>
      <c r="Z348" s="236"/>
      <c r="AA348" s="236"/>
    </row>
    <row r="349" spans="21:27">
      <c r="U349" s="236"/>
      <c r="V349" s="236"/>
      <c r="W349" s="236"/>
      <c r="X349" s="236"/>
      <c r="Y349" s="236"/>
      <c r="Z349" s="236"/>
      <c r="AA349" s="236"/>
    </row>
    <row r="350" spans="21:27">
      <c r="U350" s="236"/>
      <c r="V350" s="236"/>
      <c r="W350" s="236"/>
      <c r="X350" s="236"/>
      <c r="Y350" s="236"/>
      <c r="Z350" s="236"/>
      <c r="AA350" s="236"/>
    </row>
    <row r="351" spans="21:27">
      <c r="U351" s="236"/>
      <c r="V351" s="236"/>
      <c r="W351" s="236"/>
      <c r="X351" s="236"/>
      <c r="Y351" s="236"/>
      <c r="Z351" s="236"/>
      <c r="AA351" s="236"/>
    </row>
    <row r="352" spans="21:27">
      <c r="U352" s="236"/>
      <c r="V352" s="236"/>
      <c r="W352" s="236"/>
      <c r="X352" s="236"/>
      <c r="Y352" s="236"/>
      <c r="Z352" s="236"/>
      <c r="AA352" s="236"/>
    </row>
    <row r="353" spans="21:27">
      <c r="U353" s="236"/>
      <c r="V353" s="236"/>
      <c r="W353" s="236"/>
      <c r="X353" s="236"/>
      <c r="Y353" s="236"/>
      <c r="Z353" s="236"/>
      <c r="AA353" s="236"/>
    </row>
    <row r="354" spans="21:27">
      <c r="U354" s="236"/>
      <c r="V354" s="236"/>
      <c r="W354" s="236"/>
      <c r="X354" s="236"/>
      <c r="Y354" s="236"/>
      <c r="Z354" s="236"/>
      <c r="AA354" s="236"/>
    </row>
    <row r="355" spans="21:27">
      <c r="U355" s="236"/>
      <c r="V355" s="236"/>
      <c r="W355" s="236"/>
      <c r="X355" s="236"/>
      <c r="Y355" s="236"/>
      <c r="Z355" s="236"/>
      <c r="AA355" s="236"/>
    </row>
    <row r="356" spans="21:27">
      <c r="U356" s="236"/>
      <c r="V356" s="236"/>
      <c r="W356" s="236"/>
      <c r="X356" s="236"/>
      <c r="Y356" s="236"/>
      <c r="Z356" s="236"/>
      <c r="AA356" s="236"/>
    </row>
    <row r="357" spans="21:27">
      <c r="U357" s="236"/>
      <c r="V357" s="236"/>
      <c r="W357" s="236"/>
      <c r="X357" s="236"/>
      <c r="Y357" s="236"/>
      <c r="Z357" s="236"/>
      <c r="AA357" s="236"/>
    </row>
    <row r="358" spans="21:27">
      <c r="U358" s="236"/>
      <c r="V358" s="236"/>
      <c r="W358" s="236"/>
      <c r="X358" s="236"/>
      <c r="Y358" s="236"/>
      <c r="Z358" s="236"/>
      <c r="AA358" s="236"/>
    </row>
    <row r="359" spans="21:27">
      <c r="U359" s="236"/>
      <c r="V359" s="236"/>
      <c r="W359" s="236"/>
      <c r="X359" s="236"/>
      <c r="Y359" s="236"/>
      <c r="Z359" s="236"/>
      <c r="AA359" s="236"/>
    </row>
    <row r="360" spans="21:27">
      <c r="U360" s="236"/>
      <c r="V360" s="236"/>
      <c r="W360" s="236"/>
      <c r="X360" s="236"/>
      <c r="Y360" s="236"/>
      <c r="Z360" s="236"/>
      <c r="AA360" s="236"/>
    </row>
    <row r="361" spans="21:27">
      <c r="U361" s="236"/>
      <c r="V361" s="236"/>
      <c r="W361" s="236"/>
      <c r="X361" s="236"/>
      <c r="Y361" s="236"/>
      <c r="Z361" s="236"/>
      <c r="AA361" s="236"/>
    </row>
    <row r="362" spans="21:27">
      <c r="U362" s="236"/>
      <c r="V362" s="236"/>
      <c r="W362" s="236"/>
      <c r="X362" s="236"/>
      <c r="Y362" s="236"/>
      <c r="Z362" s="236"/>
      <c r="AA362" s="236"/>
    </row>
    <row r="363" spans="21:27">
      <c r="U363" s="236"/>
      <c r="V363" s="236"/>
      <c r="W363" s="236"/>
      <c r="X363" s="236"/>
      <c r="Y363" s="236"/>
      <c r="Z363" s="236"/>
      <c r="AA363" s="236"/>
    </row>
    <row r="364" spans="21:27">
      <c r="U364" s="236"/>
      <c r="V364" s="236"/>
      <c r="W364" s="236"/>
      <c r="X364" s="236"/>
      <c r="Y364" s="236"/>
      <c r="Z364" s="236"/>
      <c r="AA364" s="236"/>
    </row>
    <row r="365" spans="21:27">
      <c r="U365" s="236"/>
      <c r="V365" s="236"/>
      <c r="W365" s="236"/>
      <c r="X365" s="236"/>
      <c r="Y365" s="236"/>
      <c r="Z365" s="236"/>
      <c r="AA365" s="236"/>
    </row>
    <row r="366" spans="21:27">
      <c r="U366" s="236"/>
      <c r="V366" s="236"/>
      <c r="W366" s="236"/>
      <c r="X366" s="236"/>
      <c r="Y366" s="236"/>
      <c r="Z366" s="236"/>
      <c r="AA366" s="236"/>
    </row>
    <row r="367" spans="21:27">
      <c r="U367" s="236"/>
      <c r="V367" s="236"/>
      <c r="W367" s="236"/>
      <c r="X367" s="236"/>
      <c r="Y367" s="236"/>
      <c r="Z367" s="236"/>
      <c r="AA367" s="236"/>
    </row>
    <row r="368" spans="21:27">
      <c r="U368" s="236"/>
      <c r="V368" s="236"/>
      <c r="W368" s="236"/>
      <c r="X368" s="236"/>
      <c r="Y368" s="236"/>
      <c r="Z368" s="236"/>
      <c r="AA368" s="236"/>
    </row>
    <row r="369" spans="21:27">
      <c r="U369" s="236"/>
      <c r="V369" s="236"/>
      <c r="W369" s="236"/>
      <c r="X369" s="236"/>
      <c r="Y369" s="236"/>
      <c r="Z369" s="236"/>
      <c r="AA369" s="236"/>
    </row>
    <row r="370" spans="21:27">
      <c r="U370" s="236"/>
      <c r="V370" s="236"/>
      <c r="W370" s="236"/>
      <c r="X370" s="236"/>
      <c r="Y370" s="236"/>
      <c r="Z370" s="236"/>
      <c r="AA370" s="236"/>
    </row>
    <row r="371" spans="21:27">
      <c r="U371" s="236"/>
      <c r="V371" s="236"/>
      <c r="W371" s="236"/>
      <c r="X371" s="236"/>
      <c r="Y371" s="236"/>
      <c r="Z371" s="236"/>
      <c r="AA371" s="236"/>
    </row>
    <row r="372" spans="21:27">
      <c r="U372" s="236"/>
      <c r="V372" s="236"/>
      <c r="W372" s="236"/>
      <c r="X372" s="236"/>
      <c r="Y372" s="236"/>
      <c r="Z372" s="236"/>
      <c r="AA372" s="236"/>
    </row>
    <row r="373" spans="21:27">
      <c r="U373" s="236"/>
      <c r="V373" s="236"/>
      <c r="W373" s="236"/>
      <c r="X373" s="236"/>
      <c r="Y373" s="236"/>
      <c r="Z373" s="236"/>
      <c r="AA373" s="236"/>
    </row>
    <row r="374" spans="21:27">
      <c r="U374" s="236"/>
      <c r="V374" s="236"/>
      <c r="W374" s="236"/>
      <c r="X374" s="236"/>
      <c r="Y374" s="236"/>
      <c r="Z374" s="236"/>
      <c r="AA374" s="236"/>
    </row>
    <row r="375" spans="21:27">
      <c r="U375" s="236"/>
      <c r="V375" s="236"/>
      <c r="W375" s="236"/>
      <c r="X375" s="236"/>
      <c r="Y375" s="236"/>
      <c r="Z375" s="236"/>
      <c r="AA375" s="236"/>
    </row>
    <row r="376" spans="21:27">
      <c r="U376" s="236"/>
      <c r="V376" s="236"/>
      <c r="W376" s="236"/>
      <c r="X376" s="236"/>
      <c r="Y376" s="236"/>
      <c r="Z376" s="236"/>
      <c r="AA376" s="236"/>
    </row>
    <row r="377" spans="21:27">
      <c r="U377" s="236"/>
      <c r="V377" s="236"/>
      <c r="W377" s="236"/>
      <c r="X377" s="236"/>
      <c r="Y377" s="236"/>
      <c r="Z377" s="236"/>
      <c r="AA377" s="236"/>
    </row>
    <row r="378" spans="21:27">
      <c r="U378" s="236"/>
      <c r="V378" s="236"/>
      <c r="W378" s="236"/>
      <c r="X378" s="236"/>
      <c r="Y378" s="236"/>
      <c r="Z378" s="236"/>
      <c r="AA378" s="236"/>
    </row>
    <row r="379" spans="21:27">
      <c r="U379" s="236"/>
      <c r="V379" s="236"/>
      <c r="W379" s="236"/>
      <c r="X379" s="236"/>
      <c r="Y379" s="236"/>
      <c r="Z379" s="236"/>
      <c r="AA379" s="236"/>
    </row>
    <row r="380" spans="21:27">
      <c r="U380" s="236"/>
      <c r="V380" s="236"/>
      <c r="W380" s="236"/>
      <c r="X380" s="236"/>
      <c r="Y380" s="236"/>
      <c r="Z380" s="236"/>
      <c r="AA380" s="236"/>
    </row>
    <row r="381" spans="21:27">
      <c r="U381" s="236"/>
      <c r="V381" s="236"/>
      <c r="W381" s="236"/>
      <c r="X381" s="236"/>
      <c r="Y381" s="236"/>
      <c r="Z381" s="236"/>
      <c r="AA381" s="236"/>
    </row>
    <row r="382" spans="21:27">
      <c r="U382" s="236"/>
      <c r="V382" s="236"/>
      <c r="W382" s="236"/>
      <c r="X382" s="236"/>
      <c r="Y382" s="236"/>
      <c r="Z382" s="236"/>
      <c r="AA382" s="236"/>
    </row>
    <row r="383" spans="21:27">
      <c r="U383" s="236"/>
      <c r="V383" s="236"/>
      <c r="W383" s="236"/>
      <c r="X383" s="236"/>
      <c r="Y383" s="236"/>
      <c r="Z383" s="236"/>
      <c r="AA383" s="236"/>
    </row>
    <row r="384" spans="21:27">
      <c r="U384" s="236"/>
      <c r="V384" s="236"/>
      <c r="W384" s="236"/>
      <c r="X384" s="236"/>
      <c r="Y384" s="236"/>
      <c r="Z384" s="236"/>
      <c r="AA384" s="236"/>
    </row>
    <row r="385" spans="21:27">
      <c r="U385" s="236"/>
      <c r="V385" s="236"/>
      <c r="W385" s="236"/>
      <c r="X385" s="236"/>
      <c r="Y385" s="236"/>
      <c r="Z385" s="236"/>
      <c r="AA385" s="236"/>
    </row>
    <row r="386" spans="21:27">
      <c r="U386" s="236"/>
      <c r="V386" s="236"/>
      <c r="W386" s="236"/>
      <c r="X386" s="236"/>
      <c r="Y386" s="236"/>
      <c r="Z386" s="236"/>
      <c r="AA386" s="236"/>
    </row>
    <row r="387" spans="21:27">
      <c r="U387" s="236"/>
      <c r="V387" s="236"/>
      <c r="W387" s="236"/>
      <c r="X387" s="236"/>
      <c r="Y387" s="236"/>
      <c r="Z387" s="236"/>
      <c r="AA387" s="236"/>
    </row>
    <row r="388" spans="21:27">
      <c r="U388" s="236"/>
      <c r="V388" s="236"/>
      <c r="W388" s="236"/>
      <c r="X388" s="236"/>
      <c r="Y388" s="236"/>
      <c r="Z388" s="236"/>
      <c r="AA388" s="236"/>
    </row>
    <row r="389" spans="21:27">
      <c r="U389" s="236"/>
      <c r="V389" s="236"/>
      <c r="W389" s="236"/>
      <c r="X389" s="236"/>
      <c r="Y389" s="236"/>
      <c r="Z389" s="236"/>
      <c r="AA389" s="236"/>
    </row>
    <row r="390" spans="21:27">
      <c r="U390" s="236"/>
      <c r="V390" s="236"/>
      <c r="W390" s="236"/>
      <c r="X390" s="236"/>
      <c r="Y390" s="236"/>
      <c r="Z390" s="236"/>
      <c r="AA390" s="236"/>
    </row>
    <row r="391" spans="21:27">
      <c r="U391" s="236"/>
      <c r="V391" s="236"/>
      <c r="W391" s="236"/>
      <c r="X391" s="236"/>
      <c r="Y391" s="236"/>
      <c r="Z391" s="236"/>
      <c r="AA391" s="236"/>
    </row>
    <row r="392" spans="21:27">
      <c r="U392" s="236"/>
      <c r="V392" s="236"/>
      <c r="W392" s="236"/>
      <c r="X392" s="236"/>
      <c r="Y392" s="236"/>
      <c r="Z392" s="236"/>
      <c r="AA392" s="236"/>
    </row>
    <row r="393" spans="21:27">
      <c r="U393" s="236"/>
      <c r="V393" s="236"/>
      <c r="W393" s="236"/>
      <c r="X393" s="236"/>
      <c r="Y393" s="236"/>
      <c r="Z393" s="236"/>
      <c r="AA393" s="236"/>
    </row>
    <row r="394" spans="21:27">
      <c r="U394" s="236"/>
      <c r="V394" s="236"/>
      <c r="W394" s="236"/>
      <c r="X394" s="236"/>
      <c r="Y394" s="236"/>
      <c r="Z394" s="236"/>
      <c r="AA394" s="236"/>
    </row>
    <row r="395" spans="21:27">
      <c r="U395" s="236"/>
      <c r="V395" s="236"/>
      <c r="W395" s="236"/>
      <c r="X395" s="236"/>
      <c r="Y395" s="236"/>
      <c r="Z395" s="236"/>
      <c r="AA395" s="236"/>
    </row>
    <row r="396" spans="21:27">
      <c r="U396" s="236"/>
      <c r="V396" s="236"/>
      <c r="W396" s="236"/>
      <c r="X396" s="236"/>
      <c r="Y396" s="236"/>
      <c r="Z396" s="236"/>
      <c r="AA396" s="236"/>
    </row>
    <row r="397" spans="21:27">
      <c r="U397" s="236"/>
      <c r="V397" s="236"/>
      <c r="W397" s="236"/>
      <c r="X397" s="236"/>
      <c r="Y397" s="236"/>
      <c r="Z397" s="236"/>
      <c r="AA397" s="236"/>
    </row>
    <row r="398" spans="21:27">
      <c r="U398" s="236"/>
      <c r="V398" s="236"/>
      <c r="W398" s="236"/>
      <c r="X398" s="236"/>
      <c r="Y398" s="236"/>
      <c r="Z398" s="236"/>
      <c r="AA398" s="236"/>
    </row>
    <row r="399" spans="21:27">
      <c r="U399" s="236"/>
      <c r="V399" s="236"/>
      <c r="W399" s="236"/>
      <c r="X399" s="236"/>
      <c r="Y399" s="236"/>
      <c r="Z399" s="236"/>
      <c r="AA399" s="236"/>
    </row>
    <row r="400" spans="21:27">
      <c r="U400" s="236"/>
      <c r="V400" s="236"/>
      <c r="W400" s="236"/>
      <c r="X400" s="236"/>
      <c r="Y400" s="236"/>
      <c r="Z400" s="236"/>
      <c r="AA400" s="236"/>
    </row>
    <row r="401" spans="21:27">
      <c r="U401" s="236"/>
      <c r="V401" s="236"/>
      <c r="W401" s="236"/>
      <c r="X401" s="236"/>
      <c r="Y401" s="236"/>
      <c r="Z401" s="236"/>
      <c r="AA401" s="236"/>
    </row>
    <row r="402" spans="21:27">
      <c r="U402" s="236"/>
      <c r="V402" s="236"/>
      <c r="W402" s="236"/>
      <c r="X402" s="236"/>
      <c r="Y402" s="236"/>
      <c r="Z402" s="236"/>
      <c r="AA402" s="236"/>
    </row>
    <row r="403" spans="21:27">
      <c r="U403" s="236"/>
      <c r="V403" s="236"/>
      <c r="W403" s="236"/>
      <c r="X403" s="236"/>
      <c r="Y403" s="236"/>
      <c r="Z403" s="236"/>
      <c r="AA403" s="236"/>
    </row>
    <row r="404" spans="21:27">
      <c r="U404" s="236"/>
      <c r="V404" s="236"/>
      <c r="W404" s="236"/>
      <c r="X404" s="236"/>
      <c r="Y404" s="236"/>
      <c r="Z404" s="236"/>
      <c r="AA404" s="236"/>
    </row>
    <row r="405" spans="21:27">
      <c r="U405" s="236"/>
      <c r="V405" s="236"/>
      <c r="W405" s="236"/>
      <c r="X405" s="236"/>
      <c r="Y405" s="236"/>
      <c r="Z405" s="236"/>
      <c r="AA405" s="236"/>
    </row>
    <row r="406" spans="21:27">
      <c r="U406" s="236"/>
      <c r="V406" s="236"/>
      <c r="W406" s="236"/>
      <c r="X406" s="236"/>
      <c r="Y406" s="236"/>
      <c r="Z406" s="236"/>
      <c r="AA406" s="236"/>
    </row>
    <row r="407" spans="21:27">
      <c r="U407" s="236"/>
      <c r="V407" s="236"/>
      <c r="W407" s="236"/>
      <c r="X407" s="236"/>
      <c r="Y407" s="236"/>
      <c r="Z407" s="236"/>
      <c r="AA407" s="236"/>
    </row>
    <row r="408" spans="21:27">
      <c r="U408" s="236"/>
      <c r="V408" s="236"/>
      <c r="W408" s="236"/>
      <c r="X408" s="236"/>
      <c r="Y408" s="236"/>
      <c r="Z408" s="236"/>
      <c r="AA408" s="236"/>
    </row>
    <row r="409" spans="21:27">
      <c r="U409" s="236"/>
      <c r="V409" s="236"/>
      <c r="W409" s="236"/>
      <c r="X409" s="236"/>
      <c r="Y409" s="236"/>
      <c r="Z409" s="236"/>
      <c r="AA409" s="236"/>
    </row>
    <row r="410" spans="21:27">
      <c r="U410" s="236"/>
      <c r="V410" s="236"/>
      <c r="W410" s="236"/>
      <c r="X410" s="236"/>
      <c r="Y410" s="236"/>
      <c r="Z410" s="236"/>
      <c r="AA410" s="236"/>
    </row>
    <row r="411" spans="21:27">
      <c r="U411" s="236"/>
      <c r="V411" s="236"/>
      <c r="W411" s="236"/>
      <c r="X411" s="236"/>
      <c r="Y411" s="236"/>
      <c r="Z411" s="236"/>
      <c r="AA411" s="236"/>
    </row>
    <row r="412" spans="21:27">
      <c r="U412" s="236"/>
      <c r="V412" s="236"/>
      <c r="W412" s="236"/>
      <c r="X412" s="236"/>
      <c r="Y412" s="236"/>
      <c r="Z412" s="236"/>
      <c r="AA412" s="236"/>
    </row>
    <row r="413" spans="21:27">
      <c r="U413" s="236"/>
      <c r="V413" s="236"/>
      <c r="W413" s="236"/>
      <c r="X413" s="236"/>
      <c r="Y413" s="236"/>
      <c r="Z413" s="236"/>
      <c r="AA413" s="236"/>
    </row>
    <row r="414" spans="21:27">
      <c r="U414" s="236"/>
      <c r="V414" s="236"/>
      <c r="W414" s="236"/>
      <c r="X414" s="236"/>
      <c r="Y414" s="236"/>
      <c r="Z414" s="236"/>
      <c r="AA414" s="236"/>
    </row>
    <row r="415" spans="21:27">
      <c r="U415" s="236"/>
      <c r="V415" s="236"/>
      <c r="W415" s="236"/>
      <c r="X415" s="236"/>
      <c r="Y415" s="236"/>
      <c r="Z415" s="236"/>
      <c r="AA415" s="236"/>
    </row>
    <row r="416" spans="21:27">
      <c r="U416" s="236"/>
      <c r="V416" s="236"/>
      <c r="W416" s="236"/>
      <c r="X416" s="236"/>
      <c r="Y416" s="236"/>
      <c r="Z416" s="236"/>
      <c r="AA416" s="236"/>
    </row>
    <row r="417" spans="21:27">
      <c r="U417" s="236"/>
      <c r="V417" s="236"/>
      <c r="W417" s="236"/>
      <c r="X417" s="236"/>
      <c r="Y417" s="236"/>
      <c r="Z417" s="236"/>
      <c r="AA417" s="236"/>
    </row>
    <row r="418" spans="21:27">
      <c r="U418" s="236"/>
      <c r="V418" s="236"/>
      <c r="W418" s="236"/>
      <c r="X418" s="236"/>
      <c r="Y418" s="236"/>
      <c r="Z418" s="236"/>
      <c r="AA418" s="236"/>
    </row>
    <row r="419" spans="21:27">
      <c r="U419" s="236"/>
      <c r="V419" s="236"/>
      <c r="W419" s="236"/>
      <c r="X419" s="236"/>
      <c r="Y419" s="236"/>
      <c r="Z419" s="236"/>
      <c r="AA419" s="236"/>
    </row>
    <row r="420" spans="21:27">
      <c r="U420" s="236"/>
      <c r="V420" s="236"/>
      <c r="W420" s="236"/>
      <c r="X420" s="236"/>
      <c r="Y420" s="236"/>
      <c r="Z420" s="236"/>
      <c r="AA420" s="236"/>
    </row>
    <row r="421" spans="21:27">
      <c r="U421" s="236"/>
      <c r="V421" s="236"/>
      <c r="W421" s="236"/>
      <c r="X421" s="236"/>
      <c r="Y421" s="236"/>
      <c r="Z421" s="236"/>
      <c r="AA421" s="236"/>
    </row>
    <row r="422" spans="21:27">
      <c r="U422" s="236"/>
      <c r="V422" s="236"/>
      <c r="W422" s="236"/>
      <c r="X422" s="236"/>
      <c r="Y422" s="236"/>
      <c r="Z422" s="236"/>
      <c r="AA422" s="236"/>
    </row>
    <row r="423" spans="21:27">
      <c r="U423" s="236"/>
      <c r="V423" s="236"/>
      <c r="W423" s="236"/>
      <c r="X423" s="236"/>
      <c r="Y423" s="236"/>
      <c r="Z423" s="236"/>
      <c r="AA423" s="236"/>
    </row>
    <row r="424" spans="21:27">
      <c r="U424" s="236"/>
      <c r="V424" s="236"/>
      <c r="W424" s="236"/>
      <c r="X424" s="236"/>
      <c r="Y424" s="236"/>
      <c r="Z424" s="236"/>
      <c r="AA424" s="236"/>
    </row>
    <row r="425" spans="21:27">
      <c r="U425" s="236"/>
      <c r="V425" s="236"/>
      <c r="W425" s="236"/>
      <c r="X425" s="236"/>
      <c r="Y425" s="236"/>
      <c r="Z425" s="236"/>
      <c r="AA425" s="236"/>
    </row>
    <row r="426" spans="21:27">
      <c r="U426" s="236"/>
      <c r="V426" s="236"/>
      <c r="W426" s="236"/>
      <c r="X426" s="236"/>
      <c r="Y426" s="236"/>
      <c r="Z426" s="236"/>
      <c r="AA426" s="236"/>
    </row>
    <row r="427" spans="21:27">
      <c r="U427" s="236"/>
      <c r="V427" s="236"/>
      <c r="W427" s="236"/>
      <c r="X427" s="236"/>
      <c r="Y427" s="236"/>
      <c r="Z427" s="236"/>
      <c r="AA427" s="236"/>
    </row>
    <row r="428" spans="21:27">
      <c r="U428" s="236"/>
      <c r="V428" s="236"/>
      <c r="W428" s="236"/>
      <c r="X428" s="236"/>
      <c r="Y428" s="236"/>
      <c r="Z428" s="236"/>
      <c r="AA428" s="236"/>
    </row>
    <row r="429" spans="21:27">
      <c r="U429" s="236"/>
      <c r="V429" s="236"/>
      <c r="W429" s="236"/>
      <c r="X429" s="236"/>
      <c r="Y429" s="236"/>
      <c r="Z429" s="236"/>
      <c r="AA429" s="236"/>
    </row>
    <row r="430" spans="21:27">
      <c r="U430" s="236"/>
      <c r="V430" s="236"/>
      <c r="W430" s="236"/>
      <c r="X430" s="236"/>
      <c r="Y430" s="236"/>
      <c r="Z430" s="236"/>
      <c r="AA430" s="236"/>
    </row>
    <row r="431" spans="21:27">
      <c r="U431" s="236"/>
      <c r="V431" s="236"/>
      <c r="W431" s="236"/>
      <c r="X431" s="236"/>
      <c r="Y431" s="236"/>
      <c r="Z431" s="236"/>
      <c r="AA431" s="236"/>
    </row>
    <row r="432" spans="21:27">
      <c r="U432" s="236"/>
      <c r="V432" s="236"/>
      <c r="W432" s="236"/>
      <c r="X432" s="236"/>
      <c r="Y432" s="236"/>
      <c r="Z432" s="236"/>
      <c r="AA432" s="236"/>
    </row>
    <row r="433" spans="21:27">
      <c r="U433" s="236"/>
      <c r="V433" s="236"/>
      <c r="W433" s="236"/>
      <c r="X433" s="236"/>
      <c r="Y433" s="236"/>
      <c r="Z433" s="236"/>
      <c r="AA433" s="236"/>
    </row>
    <row r="434" spans="21:27">
      <c r="U434" s="236"/>
      <c r="V434" s="236"/>
      <c r="W434" s="236"/>
      <c r="X434" s="236"/>
      <c r="Y434" s="236"/>
      <c r="Z434" s="236"/>
      <c r="AA434" s="236"/>
    </row>
    <row r="435" spans="21:27">
      <c r="U435" s="236"/>
      <c r="V435" s="236"/>
      <c r="W435" s="236"/>
      <c r="X435" s="236"/>
      <c r="Y435" s="236"/>
      <c r="Z435" s="236"/>
      <c r="AA435" s="236"/>
    </row>
    <row r="436" spans="21:27">
      <c r="U436" s="236"/>
      <c r="V436" s="236"/>
      <c r="W436" s="236"/>
      <c r="X436" s="236"/>
      <c r="Y436" s="236"/>
      <c r="Z436" s="236"/>
      <c r="AA436" s="236"/>
    </row>
    <row r="437" spans="21:27">
      <c r="U437" s="236"/>
      <c r="V437" s="236"/>
      <c r="W437" s="236"/>
      <c r="X437" s="236"/>
      <c r="Y437" s="236"/>
      <c r="Z437" s="236"/>
      <c r="AA437" s="236"/>
    </row>
    <row r="438" spans="21:27">
      <c r="U438" s="236"/>
      <c r="V438" s="236"/>
      <c r="W438" s="236"/>
      <c r="X438" s="236"/>
      <c r="Y438" s="236"/>
      <c r="Z438" s="236"/>
      <c r="AA438" s="236"/>
    </row>
    <row r="439" spans="21:27">
      <c r="U439" s="236"/>
      <c r="V439" s="236"/>
      <c r="W439" s="236"/>
      <c r="X439" s="236"/>
      <c r="Y439" s="236"/>
      <c r="Z439" s="236"/>
      <c r="AA439" s="236"/>
    </row>
    <row r="440" spans="21:27">
      <c r="U440" s="236"/>
      <c r="V440" s="236"/>
      <c r="W440" s="236"/>
      <c r="X440" s="236"/>
      <c r="Y440" s="236"/>
      <c r="Z440" s="236"/>
      <c r="AA440" s="236"/>
    </row>
    <row r="441" spans="21:27">
      <c r="U441" s="236"/>
      <c r="V441" s="236"/>
      <c r="W441" s="236"/>
      <c r="X441" s="236"/>
      <c r="Y441" s="236"/>
      <c r="Z441" s="236"/>
      <c r="AA441" s="236"/>
    </row>
    <row r="442" spans="21:27">
      <c r="U442" s="236"/>
      <c r="V442" s="236"/>
      <c r="W442" s="236"/>
      <c r="X442" s="236"/>
      <c r="Y442" s="236"/>
      <c r="Z442" s="236"/>
      <c r="AA442" s="236"/>
    </row>
    <row r="443" spans="21:27">
      <c r="U443" s="236"/>
      <c r="V443" s="236"/>
      <c r="W443" s="236"/>
      <c r="X443" s="236"/>
      <c r="Y443" s="236"/>
      <c r="Z443" s="236"/>
      <c r="AA443" s="236"/>
    </row>
  </sheetData>
  <mergeCells count="7">
    <mergeCell ref="F16:G16"/>
    <mergeCell ref="K20:L20"/>
    <mergeCell ref="AC35:AG36"/>
    <mergeCell ref="F60:F61"/>
    <mergeCell ref="G60:G61"/>
    <mergeCell ref="H60:H61"/>
    <mergeCell ref="I60:I61"/>
  </mergeCells>
  <conditionalFormatting sqref="I59">
    <cfRule type="iconSet" priority="56">
      <iconSet iconSet="3Arrows">
        <cfvo type="percent" val="0"/>
        <cfvo type="num" val="0"/>
        <cfvo type="num" val="0"/>
      </iconSet>
    </cfRule>
  </conditionalFormatting>
  <conditionalFormatting sqref="J44">
    <cfRule type="iconSet" priority="16">
      <iconSet iconSet="3Arrows">
        <cfvo type="percent" val="0"/>
        <cfvo type="num" val="0"/>
        <cfvo type="num" val="0"/>
      </iconSet>
    </cfRule>
  </conditionalFormatting>
  <conditionalFormatting sqref="J49">
    <cfRule type="iconSet" priority="4">
      <iconSet iconSet="3Arrows">
        <cfvo type="percent" val="0"/>
        <cfvo type="num" val="0"/>
        <cfvo type="num" val="0"/>
      </iconSet>
    </cfRule>
  </conditionalFormatting>
  <conditionalFormatting sqref="K43">
    <cfRule type="iconSet" priority="17">
      <iconSet iconSet="3Arrows">
        <cfvo type="percent" val="0"/>
        <cfvo type="num" val="0"/>
        <cfvo type="num" val="0"/>
      </iconSet>
    </cfRule>
  </conditionalFormatting>
  <conditionalFormatting sqref="L44">
    <cfRule type="iconSet" priority="15">
      <iconSet iconSet="3Arrows">
        <cfvo type="percent" val="0"/>
        <cfvo type="num" val="0"/>
        <cfvo type="num" val="0"/>
      </iconSet>
    </cfRule>
  </conditionalFormatting>
  <conditionalFormatting sqref="L49">
    <cfRule type="iconSet" priority="3">
      <iconSet iconSet="3Arrows">
        <cfvo type="percent" val="0"/>
        <cfvo type="num" val="0"/>
        <cfvo type="num" val="0"/>
      </iconSet>
    </cfRule>
  </conditionalFormatting>
  <conditionalFormatting sqref="L50">
    <cfRule type="containsText" dxfId="61" priority="1" operator="containsText" text="Lower than competition">
      <formula>NOT(ISERROR(SEARCH("Lower than competition",L50)))</formula>
    </cfRule>
    <cfRule type="containsText" dxfId="60" priority="2" operator="containsText" text="Better than competition">
      <formula>NOT(ISERROR(SEARCH("Better than competition",L50)))</formula>
    </cfRule>
  </conditionalFormatting>
  <conditionalFormatting sqref="L59">
    <cfRule type="iconSet" priority="55">
      <iconSet iconSet="3Arrows">
        <cfvo type="percent" val="0"/>
        <cfvo type="num" val="0"/>
        <cfvo type="num" val="0"/>
      </iconSet>
    </cfRule>
  </conditionalFormatting>
  <conditionalFormatting sqref="L60">
    <cfRule type="containsText" dxfId="59" priority="53" operator="containsText" text="Lower than competition">
      <formula>NOT(ISERROR(SEARCH("Lower than competition",L60)))</formula>
    </cfRule>
    <cfRule type="containsText" dxfId="58" priority="54" operator="containsText" text="Better than competition">
      <formula>NOT(ISERROR(SEARCH("Better than competition",L60)))</formula>
    </cfRule>
  </conditionalFormatting>
  <conditionalFormatting sqref="I19">
    <cfRule type="iconSet" priority="101">
      <iconSet iconSet="3Arrows">
        <cfvo type="percent" val="0"/>
        <cfvo type="num" val="0"/>
        <cfvo type="num" val="0"/>
      </iconSet>
    </cfRule>
  </conditionalFormatting>
  <conditionalFormatting sqref="K19">
    <cfRule type="iconSet" priority="102">
      <iconSet iconSet="3Arrows">
        <cfvo type="percent" val="0"/>
        <cfvo type="num" val="0"/>
        <cfvo type="num" val="0"/>
      </iconSet>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AFA6E-6AE7-4C51-8BA4-E5774D952910}">
  <sheetPr codeName="Sheet41">
    <tabColor theme="4" tint="0.79998168889431442"/>
  </sheetPr>
  <dimension ref="A1:U54"/>
  <sheetViews>
    <sheetView showGridLines="0" topLeftCell="B1" zoomScale="80" zoomScaleNormal="80" workbookViewId="0">
      <selection activeCell="B1" sqref="A1:XFD15"/>
    </sheetView>
  </sheetViews>
  <sheetFormatPr baseColWidth="10" defaultColWidth="8.83203125" defaultRowHeight="15"/>
  <cols>
    <col min="1" max="1" width="2.1640625" style="7" customWidth="1"/>
    <col min="2" max="2" width="2.83203125" style="236" customWidth="1"/>
    <col min="3" max="3" width="2.1640625" style="236" customWidth="1"/>
    <col min="4" max="4" width="44.83203125" style="243" bestFit="1" customWidth="1"/>
    <col min="5" max="5" width="12.1640625" style="344" bestFit="1" customWidth="1"/>
    <col min="6" max="16" width="13.83203125" style="344" bestFit="1" customWidth="1"/>
    <col min="17" max="17" width="1.5" style="236" customWidth="1"/>
    <col min="18" max="18" width="8.83203125" style="236"/>
    <col min="19" max="19" width="8.83203125" style="114"/>
    <col min="20" max="20" width="9.5" style="114" bestFit="1" customWidth="1"/>
    <col min="21" max="21" width="11.6640625" style="316" bestFit="1" customWidth="1"/>
    <col min="22" max="16384" width="8.83203125" style="114"/>
  </cols>
  <sheetData>
    <row r="1" spans="1:21">
      <c r="A1" s="114"/>
      <c r="B1" s="114"/>
      <c r="C1" s="118"/>
      <c r="D1" s="205"/>
      <c r="E1" s="205"/>
      <c r="F1" s="205"/>
      <c r="G1" s="205"/>
      <c r="H1" s="205"/>
      <c r="I1" s="205"/>
      <c r="J1" s="205"/>
      <c r="K1" s="205"/>
      <c r="L1" s="205"/>
      <c r="M1" s="205"/>
      <c r="N1" s="205"/>
      <c r="O1" s="205"/>
      <c r="P1" s="114"/>
      <c r="Q1" s="114"/>
      <c r="R1" s="630"/>
      <c r="S1" s="630"/>
      <c r="U1" s="114"/>
    </row>
    <row r="2" spans="1:21">
      <c r="A2" s="114"/>
      <c r="B2" s="114"/>
      <c r="C2" s="118"/>
      <c r="D2" s="205"/>
      <c r="E2" s="205"/>
      <c r="F2" s="205"/>
      <c r="G2" s="205"/>
      <c r="H2" s="205"/>
      <c r="I2" s="205"/>
      <c r="J2" s="205"/>
      <c r="K2" s="205"/>
      <c r="L2" s="205"/>
      <c r="M2" s="205"/>
      <c r="N2" s="205"/>
      <c r="O2" s="205"/>
      <c r="P2" s="114"/>
      <c r="Q2" s="114"/>
      <c r="R2" s="630"/>
      <c r="S2" s="630"/>
      <c r="U2" s="114"/>
    </row>
    <row r="3" spans="1:21">
      <c r="A3" s="114"/>
      <c r="B3" s="114"/>
      <c r="C3" s="118"/>
      <c r="D3" s="205"/>
      <c r="E3" s="205"/>
      <c r="F3" s="205"/>
      <c r="G3" s="205"/>
      <c r="H3" s="205"/>
      <c r="I3" s="205"/>
      <c r="J3" s="205"/>
      <c r="K3" s="205"/>
      <c r="L3" s="205"/>
      <c r="M3" s="205"/>
      <c r="N3" s="205"/>
      <c r="O3" s="205"/>
      <c r="P3" s="114"/>
      <c r="Q3" s="114"/>
      <c r="R3" s="630"/>
      <c r="S3" s="630"/>
      <c r="U3" s="114"/>
    </row>
    <row r="4" spans="1:21">
      <c r="A4" s="114"/>
      <c r="B4" s="114"/>
      <c r="C4" s="118"/>
      <c r="D4" s="205"/>
      <c r="E4" s="205"/>
      <c r="F4" s="205"/>
      <c r="G4" s="205"/>
      <c r="H4" s="205"/>
      <c r="I4" s="205"/>
      <c r="J4" s="205"/>
      <c r="K4" s="205"/>
      <c r="L4" s="205"/>
      <c r="M4" s="205"/>
      <c r="N4" s="205"/>
      <c r="O4" s="205"/>
      <c r="P4" s="114"/>
      <c r="Q4" s="114"/>
      <c r="R4" s="630"/>
      <c r="S4" s="630"/>
      <c r="U4" s="114"/>
    </row>
    <row r="5" spans="1:21">
      <c r="A5" s="114"/>
      <c r="B5" s="114"/>
      <c r="C5" s="118"/>
      <c r="D5" s="205"/>
      <c r="E5" s="205"/>
      <c r="F5" s="205"/>
      <c r="G5" s="205"/>
      <c r="H5" s="205"/>
      <c r="I5" s="205"/>
      <c r="J5" s="205"/>
      <c r="K5" s="205"/>
      <c r="L5" s="205"/>
      <c r="M5" s="205"/>
      <c r="N5" s="205"/>
      <c r="O5" s="205"/>
      <c r="P5" s="114"/>
      <c r="Q5" s="114"/>
      <c r="R5" s="630"/>
      <c r="S5" s="630"/>
      <c r="U5" s="114"/>
    </row>
    <row r="6" spans="1:21">
      <c r="A6" s="114"/>
      <c r="B6" s="114"/>
      <c r="C6" s="118"/>
      <c r="D6" s="205"/>
      <c r="E6" s="205"/>
      <c r="F6" s="205"/>
      <c r="G6" s="205"/>
      <c r="H6" s="205"/>
      <c r="I6" s="205"/>
      <c r="J6" s="205"/>
      <c r="K6" s="205"/>
      <c r="L6" s="205"/>
      <c r="M6" s="205"/>
      <c r="N6" s="205"/>
      <c r="O6" s="205"/>
      <c r="P6" s="114"/>
      <c r="Q6" s="114"/>
      <c r="R6" s="630"/>
      <c r="S6" s="630"/>
      <c r="U6" s="114"/>
    </row>
    <row r="7" spans="1:21">
      <c r="A7" s="114"/>
      <c r="B7" s="114"/>
      <c r="C7" s="118"/>
      <c r="D7" s="205"/>
      <c r="E7" s="205"/>
      <c r="F7" s="205"/>
      <c r="G7" s="205"/>
      <c r="H7" s="205"/>
      <c r="I7" s="205"/>
      <c r="J7" s="205"/>
      <c r="K7" s="205"/>
      <c r="L7" s="205"/>
      <c r="M7" s="205"/>
      <c r="N7" s="205"/>
      <c r="O7" s="205"/>
      <c r="P7" s="114"/>
      <c r="Q7" s="114"/>
      <c r="R7" s="630"/>
      <c r="S7" s="630"/>
      <c r="U7" s="114"/>
    </row>
    <row r="8" spans="1:21">
      <c r="A8" s="114"/>
      <c r="B8" s="114"/>
      <c r="C8" s="118"/>
      <c r="D8" s="205"/>
      <c r="E8" s="205"/>
      <c r="F8" s="205"/>
      <c r="G8" s="205"/>
      <c r="H8" s="205"/>
      <c r="I8" s="205"/>
      <c r="J8" s="205"/>
      <c r="K8" s="205"/>
      <c r="L8" s="205"/>
      <c r="M8" s="205"/>
      <c r="N8" s="205"/>
      <c r="O8" s="205"/>
      <c r="P8" s="114"/>
      <c r="Q8" s="114"/>
      <c r="R8" s="630"/>
      <c r="S8" s="630"/>
      <c r="U8" s="114"/>
    </row>
    <row r="9" spans="1:21">
      <c r="A9" s="114"/>
      <c r="B9" s="114"/>
      <c r="C9" s="118"/>
      <c r="D9" s="205"/>
      <c r="E9" s="205"/>
      <c r="F9" s="205"/>
      <c r="G9" s="205"/>
      <c r="H9" s="205"/>
      <c r="I9" s="205"/>
      <c r="J9" s="205"/>
      <c r="K9" s="205"/>
      <c r="L9" s="205"/>
      <c r="M9" s="205"/>
      <c r="N9" s="205"/>
      <c r="O9" s="205"/>
      <c r="P9" s="114"/>
      <c r="Q9" s="114"/>
      <c r="R9" s="630"/>
      <c r="S9" s="630"/>
      <c r="U9" s="114"/>
    </row>
    <row r="10" spans="1:21">
      <c r="A10" s="114"/>
      <c r="B10" s="114"/>
      <c r="C10" s="118"/>
      <c r="D10" s="205"/>
      <c r="E10" s="205"/>
      <c r="F10" s="205"/>
      <c r="G10" s="205"/>
      <c r="H10" s="205"/>
      <c r="I10" s="205"/>
      <c r="J10" s="205"/>
      <c r="K10" s="205"/>
      <c r="L10" s="205"/>
      <c r="M10" s="205"/>
      <c r="N10" s="205"/>
      <c r="O10" s="205"/>
      <c r="P10" s="114"/>
      <c r="Q10" s="114"/>
      <c r="R10" s="630"/>
      <c r="S10" s="630"/>
      <c r="U10" s="114"/>
    </row>
    <row r="11" spans="1:21">
      <c r="A11" s="114"/>
      <c r="B11" s="114"/>
      <c r="C11" s="118"/>
      <c r="D11" s="205"/>
      <c r="E11" s="205"/>
      <c r="F11" s="205"/>
      <c r="G11" s="205"/>
      <c r="H11" s="205"/>
      <c r="I11" s="205"/>
      <c r="J11" s="205"/>
      <c r="K11" s="205"/>
      <c r="L11" s="205"/>
      <c r="M11" s="205"/>
      <c r="N11" s="205"/>
      <c r="O11" s="205"/>
      <c r="P11" s="114"/>
      <c r="Q11" s="114"/>
      <c r="R11" s="630"/>
      <c r="S11" s="630"/>
      <c r="U11" s="114"/>
    </row>
    <row r="12" spans="1:21">
      <c r="A12" s="114"/>
      <c r="B12" s="114"/>
      <c r="C12" s="118"/>
      <c r="D12" s="205"/>
      <c r="E12" s="205"/>
      <c r="F12" s="205"/>
      <c r="G12" s="205"/>
      <c r="H12" s="205"/>
      <c r="I12" s="205"/>
      <c r="J12" s="205"/>
      <c r="K12" s="205"/>
      <c r="L12" s="205"/>
      <c r="M12" s="205"/>
      <c r="N12" s="205"/>
      <c r="O12" s="205"/>
      <c r="P12" s="114"/>
      <c r="Q12" s="114"/>
      <c r="R12" s="630"/>
      <c r="S12" s="630"/>
      <c r="U12" s="114"/>
    </row>
    <row r="13" spans="1:21" s="236" customFormat="1" ht="19">
      <c r="A13" s="114"/>
      <c r="B13" s="114"/>
      <c r="C13" s="118"/>
      <c r="D13" s="121"/>
      <c r="E13" s="121"/>
      <c r="F13" s="121"/>
      <c r="G13" s="205"/>
      <c r="H13" s="205"/>
      <c r="I13" s="205"/>
      <c r="J13" s="205"/>
      <c r="K13" s="205"/>
      <c r="L13" s="342" t="s">
        <v>258</v>
      </c>
      <c r="M13" s="342" t="s">
        <v>256</v>
      </c>
      <c r="N13" s="342" t="s">
        <v>259</v>
      </c>
      <c r="O13" s="342" t="s">
        <v>257</v>
      </c>
      <c r="P13" s="114"/>
      <c r="Q13" s="114"/>
      <c r="R13" s="630"/>
      <c r="S13" s="630"/>
    </row>
    <row r="14" spans="1:21" s="236" customFormat="1">
      <c r="A14" s="114"/>
      <c r="B14" s="114"/>
      <c r="C14" s="114"/>
      <c r="D14" s="205"/>
      <c r="E14" s="205"/>
      <c r="F14" s="205"/>
      <c r="G14" s="205"/>
      <c r="H14" s="205"/>
      <c r="I14" s="205"/>
      <c r="J14" s="343"/>
      <c r="K14" s="205"/>
      <c r="L14" s="205"/>
      <c r="M14" s="205"/>
      <c r="N14" s="205"/>
      <c r="O14" s="205"/>
      <c r="P14" s="114"/>
      <c r="Q14" s="114"/>
      <c r="R14" s="630"/>
      <c r="S14" s="630"/>
    </row>
    <row r="15" spans="1:21" ht="16" thickBot="1">
      <c r="B15" s="114"/>
      <c r="C15" s="114"/>
      <c r="D15" s="114"/>
      <c r="E15" s="205"/>
      <c r="F15" s="205"/>
      <c r="G15" s="205"/>
      <c r="H15" s="205"/>
      <c r="I15" s="205"/>
      <c r="J15" s="205"/>
      <c r="K15" s="343"/>
      <c r="L15" s="205"/>
      <c r="M15" s="205"/>
      <c r="N15" s="205"/>
      <c r="O15" s="205"/>
      <c r="P15" s="205"/>
      <c r="Q15" s="114"/>
      <c r="R15" s="114"/>
    </row>
    <row r="16" spans="1:21" s="287" customFormat="1" ht="26.5" customHeight="1" thickBot="1">
      <c r="A16" s="286"/>
      <c r="D16" s="281" t="s">
        <v>174</v>
      </c>
      <c r="E16" s="285">
        <v>1</v>
      </c>
      <c r="F16" s="285">
        <v>2</v>
      </c>
      <c r="G16" s="285">
        <v>3</v>
      </c>
      <c r="H16" s="285">
        <v>4</v>
      </c>
      <c r="I16" s="285">
        <v>5</v>
      </c>
      <c r="J16" s="285">
        <v>6</v>
      </c>
      <c r="K16" s="285">
        <v>7</v>
      </c>
      <c r="L16" s="285">
        <v>8</v>
      </c>
      <c r="M16" s="285">
        <v>9</v>
      </c>
      <c r="N16" s="285">
        <v>10</v>
      </c>
      <c r="O16" s="285">
        <v>11</v>
      </c>
      <c r="P16" s="285">
        <v>12</v>
      </c>
      <c r="R16" s="285">
        <v>2022</v>
      </c>
      <c r="U16" s="316"/>
    </row>
    <row r="17" spans="1:21">
      <c r="B17" s="114"/>
      <c r="C17" s="114"/>
      <c r="D17" s="118"/>
      <c r="E17" s="205"/>
      <c r="F17" s="205"/>
      <c r="G17" s="205"/>
      <c r="H17" s="205"/>
      <c r="I17" s="205"/>
      <c r="J17" s="205"/>
      <c r="K17" s="205"/>
      <c r="L17" s="205"/>
      <c r="M17" s="205"/>
      <c r="N17" s="205"/>
      <c r="O17" s="205"/>
      <c r="P17" s="205"/>
      <c r="Q17" s="114"/>
      <c r="R17" s="114"/>
    </row>
    <row r="20" spans="1:21">
      <c r="C20" s="234"/>
      <c r="D20" s="251"/>
      <c r="E20" s="205"/>
      <c r="F20" s="205"/>
      <c r="G20" s="205"/>
      <c r="H20" s="205"/>
      <c r="I20" s="205"/>
      <c r="J20" s="205"/>
      <c r="K20" s="205"/>
      <c r="L20" s="205"/>
      <c r="M20" s="205"/>
      <c r="N20" s="205"/>
      <c r="O20" s="205"/>
      <c r="P20" s="762"/>
      <c r="Q20" s="762"/>
    </row>
    <row r="21" spans="1:21" s="204" customFormat="1" ht="25">
      <c r="A21" s="241"/>
      <c r="B21" s="244"/>
      <c r="C21" s="252"/>
      <c r="D21" s="366" t="s">
        <v>176</v>
      </c>
      <c r="E21" s="367"/>
      <c r="F21" s="367"/>
      <c r="G21" s="367"/>
      <c r="H21" s="367"/>
      <c r="I21" s="367"/>
      <c r="J21" s="367"/>
      <c r="K21" s="367"/>
      <c r="L21" s="367"/>
      <c r="M21" s="367"/>
      <c r="N21" s="367"/>
      <c r="O21" s="367"/>
      <c r="P21" s="368"/>
      <c r="Q21" s="234"/>
      <c r="R21" s="244"/>
      <c r="U21" s="316"/>
    </row>
    <row r="22" spans="1:21" ht="33.5" customHeight="1">
      <c r="C22" s="234"/>
      <c r="D22" s="369"/>
      <c r="E22" s="370" t="s">
        <v>17</v>
      </c>
      <c r="F22" s="370" t="s">
        <v>18</v>
      </c>
      <c r="G22" s="370" t="s">
        <v>19</v>
      </c>
      <c r="H22" s="370" t="s">
        <v>20</v>
      </c>
      <c r="I22" s="370" t="s">
        <v>21</v>
      </c>
      <c r="J22" s="370" t="s">
        <v>22</v>
      </c>
      <c r="K22" s="370" t="s">
        <v>23</v>
      </c>
      <c r="L22" s="370" t="s">
        <v>24</v>
      </c>
      <c r="M22" s="370" t="s">
        <v>25</v>
      </c>
      <c r="N22" s="370" t="s">
        <v>26</v>
      </c>
      <c r="O22" s="370" t="s">
        <v>27</v>
      </c>
      <c r="P22" s="370" t="s">
        <v>28</v>
      </c>
      <c r="Q22" s="362"/>
    </row>
    <row r="23" spans="1:21">
      <c r="C23" s="234"/>
      <c r="D23" s="114" t="s">
        <v>150</v>
      </c>
      <c r="E23" s="364">
        <f>SUMIFS('Jounal entries final'!$H:$H,'Jounal entries final'!$E:$E,$D23,'Jounal entries final'!$B:$B,E$16,'Jounal entries final'!$C:$C,$R$16)</f>
        <v>3607884</v>
      </c>
      <c r="F23" s="378">
        <f>SUMIFS('Jounal entries final'!$H:$H,'Jounal entries final'!$E:$E,$D23,'Jounal entries final'!$B:$B,F$16,'Jounal entries final'!$C:$C,$R$16)</f>
        <v>7214915.9019999998</v>
      </c>
      <c r="G23" s="364">
        <f>SUMIFS('Jounal entries final'!$H:$H,'Jounal entries final'!$E:$E,$D23,'Jounal entries final'!$B:$B,G$16,'Jounal entries final'!$C:$C,$R$16)</f>
        <v>5825205.9000000004</v>
      </c>
      <c r="H23" s="364">
        <f>SUMIFS('Jounal entries final'!$H:$H,'Jounal entries final'!$E:$E,$D23,'Jounal entries final'!$B:$B,H$16,'Jounal entries final'!$C:$C,$R$16)</f>
        <v>22839043.623999998</v>
      </c>
      <c r="I23" s="364">
        <f>SUMIFS('Jounal entries final'!$H:$H,'Jounal entries final'!$E:$E,$D23,'Jounal entries final'!$B:$B,I$16,'Jounal entries final'!$C:$C,$R$16)</f>
        <v>25553263.207999997</v>
      </c>
      <c r="J23" s="364">
        <f>SUMIFS('Jounal entries final'!$H:$H,'Jounal entries final'!$E:$E,$D23,'Jounal entries final'!$B:$B,J$16,'Jounal entries final'!$C:$C,$R$16)</f>
        <v>26096565.181999996</v>
      </c>
      <c r="K23" s="364">
        <f>SUMIFS('Jounal entries final'!$H:$H,'Jounal entries final'!$E:$E,$D23,'Jounal entries final'!$B:$B,K$16,'Jounal entries final'!$C:$C,$R$16)</f>
        <v>35733386.943999998</v>
      </c>
      <c r="L23" s="364">
        <f>SUMIFS('Jounal entries final'!$H:$H,'Jounal entries final'!$E:$E,$D23,'Jounal entries final'!$B:$B,L$16,'Jounal entries final'!$C:$C,$R$16)</f>
        <v>43738790.821999997</v>
      </c>
      <c r="M23" s="364">
        <f>SUMIFS('Jounal entries final'!$H:$H,'Jounal entries final'!$E:$E,$D23,'Jounal entries final'!$B:$B,M$16,'Jounal entries final'!$C:$C,$R$16)</f>
        <v>45618337.523999996</v>
      </c>
      <c r="N23" s="364">
        <f>SUMIFS('Jounal entries final'!$H:$H,'Jounal entries final'!$E:$E,$D23,'Jounal entries final'!$B:$B,N$16,'Jounal entries final'!$C:$C,$R$16)</f>
        <v>58977900.255999997</v>
      </c>
      <c r="O23" s="364">
        <f>SUMIFS('Jounal entries final'!$H:$H,'Jounal entries final'!$E:$E,$D23,'Jounal entries final'!$B:$B,O$16,'Jounal entries final'!$C:$C,$R$16)</f>
        <v>63938757.963999994</v>
      </c>
      <c r="P23" s="364">
        <f>SUMIFS('Jounal entries final'!$H:$H,'Jounal entries final'!$E:$E,$D23,'Jounal entries final'!$B:$B,P$16,'Jounal entries final'!$C:$C,$R$16)</f>
        <v>71291763.714000002</v>
      </c>
      <c r="Q23" s="114"/>
    </row>
    <row r="24" spans="1:21">
      <c r="C24" s="234"/>
      <c r="D24" s="114" t="s">
        <v>67</v>
      </c>
      <c r="E24" s="364">
        <f>SUMIFS('Jounal entries final'!$H:$H,'Jounal entries final'!$E:$E,$D24,'Jounal entries final'!$B:$B,E$16,'Jounal entries final'!$C:$C,$R$16)</f>
        <v>1217348.9700000007</v>
      </c>
      <c r="F24" s="364">
        <f>SUMIFS('Jounal entries final'!$H:$H,'Jounal entries final'!$E:$E,$D24,'Jounal entries final'!$B:$B,F$16,'Jounal entries final'!$C:$C,$R$16)</f>
        <v>965431.99000000011</v>
      </c>
      <c r="G24" s="364">
        <f>SUMIFS('Jounal entries final'!$H:$H,'Jounal entries final'!$E:$E,$D24,'Jounal entries final'!$B:$B,G$16,'Jounal entries final'!$C:$C,$R$16)</f>
        <v>2687528.7600000016</v>
      </c>
      <c r="H24" s="364">
        <f>SUMIFS('Jounal entries final'!$H:$H,'Jounal entries final'!$E:$E,$D24,'Jounal entries final'!$B:$B,H$16,'Jounal entries final'!$C:$C,$R$16)</f>
        <v>2926518.75</v>
      </c>
      <c r="I24" s="364">
        <f>SUMIFS('Jounal entries final'!$H:$H,'Jounal entries final'!$E:$E,$D24,'Jounal entries final'!$B:$B,I$16,'Jounal entries final'!$C:$C,$R$16)</f>
        <v>3287397.4800000004</v>
      </c>
      <c r="J24" s="364">
        <f>SUMIFS('Jounal entries final'!$H:$H,'Jounal entries final'!$E:$E,$D24,'Jounal entries final'!$B:$B,J$16,'Jounal entries final'!$C:$C,$R$16)</f>
        <v>4631542.08</v>
      </c>
      <c r="K24" s="364">
        <f>SUMIFS('Jounal entries final'!$H:$H,'Jounal entries final'!$E:$E,$D24,'Jounal entries final'!$B:$B,K$16,'Jounal entries final'!$C:$C,$R$16)</f>
        <v>5088006.3199999984</v>
      </c>
      <c r="L24" s="364">
        <f>SUMIFS('Jounal entries final'!$H:$H,'Jounal entries final'!$E:$E,$D24,'Jounal entries final'!$B:$B,L$16,'Jounal entries final'!$C:$C,$R$16)</f>
        <v>5147864.5799999982</v>
      </c>
      <c r="M24" s="364">
        <f>SUMIFS('Jounal entries final'!$H:$H,'Jounal entries final'!$E:$E,$D24,'Jounal entries final'!$B:$B,M$16,'Jounal entries final'!$C:$C,$R$16)</f>
        <v>5851985.1599999992</v>
      </c>
      <c r="N24" s="364">
        <f>SUMIFS('Jounal entries final'!$H:$H,'Jounal entries final'!$E:$E,$D24,'Jounal entries final'!$B:$B,N$16,'Jounal entries final'!$C:$C,$R$16)</f>
        <v>6384810.0999999987</v>
      </c>
      <c r="O24" s="364">
        <f>SUMIFS('Jounal entries final'!$H:$H,'Jounal entries final'!$E:$E,$D24,'Jounal entries final'!$B:$B,O$16,'Jounal entries final'!$C:$C,$R$16)</f>
        <v>6198796.2399999984</v>
      </c>
      <c r="P24" s="364">
        <f>SUMIFS('Jounal entries final'!$H:$H,'Jounal entries final'!$E:$E,$D24,'Jounal entries final'!$B:$B,P$16,'Jounal entries final'!$C:$C,$R$16)</f>
        <v>6970908.2199999988</v>
      </c>
      <c r="Q24" s="114"/>
      <c r="T24" s="316"/>
    </row>
    <row r="25" spans="1:21">
      <c r="C25" s="234"/>
      <c r="D25" s="114" t="s">
        <v>97</v>
      </c>
      <c r="E25" s="364">
        <f>SUMIFS('Jounal entries final'!$H:$H,'Jounal entries final'!$E:$E,$D25,'Jounal entries final'!$B:$B,E$16,'Jounal entries final'!$C:$C,$R$16)</f>
        <v>15745707</v>
      </c>
      <c r="F25" s="364">
        <f>SUMIFS('Jounal entries final'!$H:$H,'Jounal entries final'!$E:$E,$D25,'Jounal entries final'!$B:$B,F$16,'Jounal entries final'!$C:$C,$R$16)</f>
        <v>27871048</v>
      </c>
      <c r="G25" s="364">
        <f>SUMIFS('Jounal entries final'!$H:$H,'Jounal entries final'!$E:$E,$D25,'Jounal entries final'!$B:$B,G$16,'Jounal entries final'!$C:$C,$R$16)</f>
        <v>34858942</v>
      </c>
      <c r="H25" s="364">
        <f>SUMIFS('Jounal entries final'!$H:$H,'Jounal entries final'!$E:$E,$D25,'Jounal entries final'!$B:$B,H$16,'Jounal entries final'!$C:$C,$R$16)</f>
        <v>25616326</v>
      </c>
      <c r="I25" s="364">
        <f>SUMIFS('Jounal entries final'!$H:$H,'Jounal entries final'!$E:$E,$D25,'Jounal entries final'!$B:$B,I$16,'Jounal entries final'!$C:$C,$R$16)</f>
        <v>27415787</v>
      </c>
      <c r="J25" s="364">
        <f>SUMIFS('Jounal entries final'!$H:$H,'Jounal entries final'!$E:$E,$D25,'Jounal entries final'!$B:$B,J$16,'Jounal entries final'!$C:$C,$R$16)</f>
        <v>32249372</v>
      </c>
      <c r="K25" s="364">
        <f>SUMIFS('Jounal entries final'!$H:$H,'Jounal entries final'!$E:$E,$D25,'Jounal entries final'!$B:$B,K$16,'Jounal entries final'!$C:$C,$R$16)</f>
        <v>31469236</v>
      </c>
      <c r="L25" s="364">
        <f>SUMIFS('Jounal entries final'!$H:$H,'Jounal entries final'!$E:$E,$D25,'Jounal entries final'!$B:$B,L$16,'Jounal entries final'!$C:$C,$R$16)</f>
        <v>31920418</v>
      </c>
      <c r="M25" s="364">
        <f>SUMIFS('Jounal entries final'!$H:$H,'Jounal entries final'!$E:$E,$D25,'Jounal entries final'!$B:$B,M$16,'Jounal entries final'!$C:$C,$R$16)</f>
        <v>31815762</v>
      </c>
      <c r="N25" s="364">
        <f>SUMIFS('Jounal entries final'!$H:$H,'Jounal entries final'!$E:$E,$D25,'Jounal entries final'!$B:$B,N$16,'Jounal entries final'!$C:$C,$R$16)</f>
        <v>25850551</v>
      </c>
      <c r="O25" s="364">
        <f>SUMIFS('Jounal entries final'!$H:$H,'Jounal entries final'!$E:$E,$D25,'Jounal entries final'!$B:$B,O$16,'Jounal entries final'!$C:$C,$R$16)</f>
        <v>28148846</v>
      </c>
      <c r="P25" s="364">
        <f>SUMIFS('Jounal entries final'!$H:$H,'Jounal entries final'!$E:$E,$D25,'Jounal entries final'!$B:$B,P$16,'Jounal entries final'!$C:$C,$R$16)</f>
        <v>25655312</v>
      </c>
      <c r="Q25" s="114"/>
      <c r="T25" s="316"/>
    </row>
    <row r="26" spans="1:21">
      <c r="C26" s="234"/>
      <c r="D26" s="114" t="s">
        <v>189</v>
      </c>
      <c r="E26" s="364">
        <f>SUMIFS('Jounal entries final'!$H:$H,'Jounal entries final'!$E:$E,$D26,'Jounal entries final'!$B:$B,E$16,'Jounal entries final'!$C:$C,$R$16)</f>
        <v>45000000</v>
      </c>
      <c r="F26" s="364">
        <f>SUMIFS('Jounal entries final'!$H:$H,'Jounal entries final'!$E:$E,$D26,'Jounal entries final'!$B:$B,F$16,'Jounal entries final'!$C:$C,$R$16)</f>
        <v>45000000</v>
      </c>
      <c r="G26" s="364">
        <f>SUMIFS('Jounal entries final'!$H:$H,'Jounal entries final'!$E:$E,$D26,'Jounal entries final'!$B:$B,G$16,'Jounal entries final'!$C:$C,$R$16)</f>
        <v>45000000</v>
      </c>
      <c r="H26" s="364">
        <f>SUMIFS('Jounal entries final'!$H:$H,'Jounal entries final'!$E:$E,$D26,'Jounal entries final'!$B:$B,H$16,'Jounal entries final'!$C:$C,$R$16)</f>
        <v>45000000</v>
      </c>
      <c r="I26" s="364">
        <f>SUMIFS('Jounal entries final'!$H:$H,'Jounal entries final'!$E:$E,$D26,'Jounal entries final'!$B:$B,I$16,'Jounal entries final'!$C:$C,$R$16)</f>
        <v>45000000</v>
      </c>
      <c r="J26" s="364">
        <f>SUMIFS('Jounal entries final'!$H:$H,'Jounal entries final'!$E:$E,$D26,'Jounal entries final'!$B:$B,J$16,'Jounal entries final'!$C:$C,$R$16)</f>
        <v>45000000</v>
      </c>
      <c r="K26" s="364">
        <f>SUMIFS('Jounal entries final'!$H:$H,'Jounal entries final'!$E:$E,$D26,'Jounal entries final'!$B:$B,K$16,'Jounal entries final'!$C:$C,$R$16)</f>
        <v>45000000</v>
      </c>
      <c r="L26" s="364">
        <f>SUMIFS('Jounal entries final'!$H:$H,'Jounal entries final'!$E:$E,$D26,'Jounal entries final'!$B:$B,L$16,'Jounal entries final'!$C:$C,$R$16)</f>
        <v>45000000</v>
      </c>
      <c r="M26" s="364">
        <f>SUMIFS('Jounal entries final'!$H:$H,'Jounal entries final'!$E:$E,$D26,'Jounal entries final'!$B:$B,M$16,'Jounal entries final'!$C:$C,$R$16)</f>
        <v>45000000</v>
      </c>
      <c r="N26" s="364">
        <f>SUMIFS('Jounal entries final'!$H:$H,'Jounal entries final'!$E:$E,$D26,'Jounal entries final'!$B:$B,N$16,'Jounal entries final'!$C:$C,$R$16)</f>
        <v>45000000</v>
      </c>
      <c r="O26" s="364">
        <f>SUMIFS('Jounal entries final'!$H:$H,'Jounal entries final'!$E:$E,$D26,'Jounal entries final'!$B:$B,O$16,'Jounal entries final'!$C:$C,$R$16)</f>
        <v>45000000</v>
      </c>
      <c r="P26" s="364">
        <f>SUMIFS('Jounal entries final'!$H:$H,'Jounal entries final'!$E:$E,$D26,'Jounal entries final'!$B:$B,P$16,'Jounal entries final'!$C:$C,$R$16)</f>
        <v>45000000</v>
      </c>
      <c r="Q26" s="114"/>
      <c r="T26" s="316"/>
    </row>
    <row r="27" spans="1:21">
      <c r="C27" s="114"/>
      <c r="D27" s="114" t="s">
        <v>190</v>
      </c>
      <c r="E27" s="364">
        <f>SUMIFS('Jounal entries final'!$H:$H,'Jounal entries final'!$E:$E,$D27,'Jounal entries final'!$B:$B,E$16,'Jounal entries final'!$C:$C,$R$16)</f>
        <v>9045000</v>
      </c>
      <c r="F27" s="364">
        <f>SUMIFS('Jounal entries final'!$H:$H,'Jounal entries final'!$E:$E,$D27,'Jounal entries final'!$B:$B,F$16,'Jounal entries final'!$C:$C,$R$16)</f>
        <v>9045000</v>
      </c>
      <c r="G27" s="364">
        <f>SUMIFS('Jounal entries final'!$H:$H,'Jounal entries final'!$E:$E,$D27,'Jounal entries final'!$B:$B,G$16,'Jounal entries final'!$C:$C,$R$16)</f>
        <v>9045000</v>
      </c>
      <c r="H27" s="364">
        <f>SUMIFS('Jounal entries final'!$H:$H,'Jounal entries final'!$E:$E,$D27,'Jounal entries final'!$B:$B,H$16,'Jounal entries final'!$C:$C,$R$16)</f>
        <v>9045000</v>
      </c>
      <c r="I27" s="364">
        <f>SUMIFS('Jounal entries final'!$H:$H,'Jounal entries final'!$E:$E,$D27,'Jounal entries final'!$B:$B,I$16,'Jounal entries final'!$C:$C,$R$16)</f>
        <v>9045000</v>
      </c>
      <c r="J27" s="364">
        <f>SUMIFS('Jounal entries final'!$H:$H,'Jounal entries final'!$E:$E,$D27,'Jounal entries final'!$B:$B,J$16,'Jounal entries final'!$C:$C,$R$16)</f>
        <v>9045000</v>
      </c>
      <c r="K27" s="364">
        <f>SUMIFS('Jounal entries final'!$H:$H,'Jounal entries final'!$E:$E,$D27,'Jounal entries final'!$B:$B,K$16,'Jounal entries final'!$C:$C,$R$16)</f>
        <v>9045000</v>
      </c>
      <c r="L27" s="364">
        <f>SUMIFS('Jounal entries final'!$H:$H,'Jounal entries final'!$E:$E,$D27,'Jounal entries final'!$B:$B,L$16,'Jounal entries final'!$C:$C,$R$16)</f>
        <v>9045000</v>
      </c>
      <c r="M27" s="364">
        <f>SUMIFS('Jounal entries final'!$H:$H,'Jounal entries final'!$E:$E,$D27,'Jounal entries final'!$B:$B,M$16,'Jounal entries final'!$C:$C,$R$16)</f>
        <v>9045000</v>
      </c>
      <c r="N27" s="364">
        <f>SUMIFS('Jounal entries final'!$H:$H,'Jounal entries final'!$E:$E,$D27,'Jounal entries final'!$B:$B,N$16,'Jounal entries final'!$C:$C,$R$16)</f>
        <v>9045000</v>
      </c>
      <c r="O27" s="364">
        <f>SUMIFS('Jounal entries final'!$H:$H,'Jounal entries final'!$E:$E,$D27,'Jounal entries final'!$B:$B,O$16,'Jounal entries final'!$C:$C,$R$16)</f>
        <v>9045000</v>
      </c>
      <c r="P27" s="364">
        <f>SUMIFS('Jounal entries final'!$H:$H,'Jounal entries final'!$E:$E,$D27,'Jounal entries final'!$B:$B,P$16,'Jounal entries final'!$C:$C,$R$16)</f>
        <v>9045000</v>
      </c>
      <c r="Q27" s="114"/>
      <c r="T27" s="316"/>
    </row>
    <row r="28" spans="1:21" ht="18">
      <c r="C28" s="114"/>
      <c r="D28" s="319" t="s">
        <v>194</v>
      </c>
      <c r="E28" s="363">
        <f>SUM(E23:E27)</f>
        <v>74615939.969999999</v>
      </c>
      <c r="F28" s="363">
        <f t="shared" ref="F28:P28" si="0">SUM(F23:F27)</f>
        <v>90096395.89199999</v>
      </c>
      <c r="G28" s="363">
        <f t="shared" si="0"/>
        <v>97416676.659999996</v>
      </c>
      <c r="H28" s="363">
        <f t="shared" si="0"/>
        <v>105426888.374</v>
      </c>
      <c r="I28" s="363">
        <f t="shared" si="0"/>
        <v>110301447.68799999</v>
      </c>
      <c r="J28" s="363">
        <f t="shared" si="0"/>
        <v>117022479.26199999</v>
      </c>
      <c r="K28" s="363">
        <f t="shared" si="0"/>
        <v>126335629.264</v>
      </c>
      <c r="L28" s="363">
        <f t="shared" si="0"/>
        <v>134852073.40200001</v>
      </c>
      <c r="M28" s="363">
        <f t="shared" si="0"/>
        <v>137331084.68399999</v>
      </c>
      <c r="N28" s="363">
        <f t="shared" si="0"/>
        <v>145258261.35600001</v>
      </c>
      <c r="O28" s="363">
        <f t="shared" si="0"/>
        <v>152331400.204</v>
      </c>
      <c r="P28" s="363">
        <f t="shared" si="0"/>
        <v>157962983.93400002</v>
      </c>
      <c r="Q28" s="114"/>
      <c r="T28" s="316"/>
    </row>
    <row r="29" spans="1:21" ht="16">
      <c r="C29" s="234"/>
      <c r="D29" s="118"/>
      <c r="E29" s="365"/>
      <c r="F29" s="365"/>
      <c r="G29" s="365"/>
      <c r="H29" s="365"/>
      <c r="I29" s="365"/>
      <c r="J29" s="365"/>
      <c r="K29" s="365"/>
      <c r="L29" s="365"/>
      <c r="M29" s="365"/>
      <c r="N29" s="365"/>
      <c r="O29" s="365"/>
      <c r="P29" s="365"/>
      <c r="Q29" s="364">
        <f>SUMIFS('Jounal entries final'!$H:$H,'Jounal entries final'!$E:$E,$D29,'Jounal entries final'!$B:$B,Q$16,'Jounal entries final'!$C:$C,$R$16)</f>
        <v>0</v>
      </c>
      <c r="T29" s="316"/>
    </row>
    <row r="30" spans="1:21" ht="22">
      <c r="C30" s="252"/>
      <c r="D30" s="114"/>
      <c r="E30" s="364"/>
      <c r="F30" s="364"/>
      <c r="G30" s="364"/>
      <c r="H30" s="364"/>
      <c r="I30" s="364"/>
      <c r="J30" s="364"/>
      <c r="K30" s="364"/>
      <c r="L30" s="364"/>
      <c r="M30" s="364"/>
      <c r="N30" s="364"/>
      <c r="O30" s="364"/>
      <c r="P30" s="364"/>
      <c r="Q30" s="364">
        <f>SUMIFS('Jounal entries final'!$H:$H,'Jounal entries final'!$E:$E,$D30,'Jounal entries final'!$B:$B,Q$16,'Jounal entries final'!$C:$C,$R$16)</f>
        <v>0</v>
      </c>
      <c r="T30" s="316"/>
    </row>
    <row r="31" spans="1:21">
      <c r="C31" s="234"/>
      <c r="D31" s="114" t="s">
        <v>68</v>
      </c>
      <c r="E31" s="364">
        <f>-SUMIFS('Jounal entries final'!$H:$H,'Jounal entries final'!$E:$E,$D31,'Jounal entries final'!$B:$B,E$16,'Jounal entries final'!$C:$C,$R$16)</f>
        <v>21833695</v>
      </c>
      <c r="F31" s="364">
        <f>-SUMIFS('Jounal entries final'!$H:$H,'Jounal entries final'!$E:$E,$D31,'Jounal entries final'!$B:$B,F$16,'Jounal entries final'!$C:$C,$R$16)</f>
        <v>29646200</v>
      </c>
      <c r="G31" s="364">
        <f>-SUMIFS('Jounal entries final'!$H:$H,'Jounal entries final'!$E:$E,$D31,'Jounal entries final'!$B:$B,G$16,'Jounal entries final'!$C:$C,$R$16)</f>
        <v>31818810</v>
      </c>
      <c r="H31" s="364">
        <f>-SUMIFS('Jounal entries final'!$H:$H,'Jounal entries final'!$E:$E,$D31,'Jounal entries final'!$B:$B,H$16,'Jounal entries final'!$C:$C,$R$16)</f>
        <v>33312505</v>
      </c>
      <c r="I31" s="364">
        <f>-SUMIFS('Jounal entries final'!$H:$H,'Jounal entries final'!$E:$E,$D31,'Jounal entries final'!$B:$B,I$16,'Jounal entries final'!$C:$C,$R$16)</f>
        <v>29079495</v>
      </c>
      <c r="J31" s="364">
        <f>-SUMIFS('Jounal entries final'!$H:$H,'Jounal entries final'!$E:$E,$D31,'Jounal entries final'!$B:$B,J$16,'Jounal entries final'!$C:$C,$R$16)</f>
        <v>26707000</v>
      </c>
      <c r="K31" s="364">
        <f>-SUMIFS('Jounal entries final'!$H:$H,'Jounal entries final'!$E:$E,$D31,'Jounal entries final'!$B:$B,K$16,'Jounal entries final'!$C:$C,$R$16)</f>
        <v>32809000</v>
      </c>
      <c r="L31" s="364">
        <f>-SUMIFS('Jounal entries final'!$H:$H,'Jounal entries final'!$E:$E,$D31,'Jounal entries final'!$B:$B,L$16,'Jounal entries final'!$C:$C,$R$16)</f>
        <v>35846010</v>
      </c>
      <c r="M31" s="364">
        <f>-SUMIFS('Jounal entries final'!$H:$H,'Jounal entries final'!$E:$E,$D31,'Jounal entries final'!$B:$B,M$16,'Jounal entries final'!$C:$C,$R$16)</f>
        <v>23717265</v>
      </c>
      <c r="N31" s="364">
        <f>-SUMIFS('Jounal entries final'!$H:$H,'Jounal entries final'!$E:$E,$D31,'Jounal entries final'!$B:$B,N$16,'Jounal entries final'!$C:$C,$R$16)</f>
        <v>30787275</v>
      </c>
      <c r="O31" s="364">
        <f>-SUMIFS('Jounal entries final'!$H:$H,'Jounal entries final'!$E:$E,$D31,'Jounal entries final'!$B:$B,O$16,'Jounal entries final'!$C:$C,$R$16)</f>
        <v>30693580</v>
      </c>
      <c r="P31" s="364">
        <f>-SUMIFS('Jounal entries final'!$H:$H,'Jounal entries final'!$E:$E,$D31,'Jounal entries final'!$B:$B,P$16,'Jounal entries final'!$C:$C,$R$16)</f>
        <v>27730960</v>
      </c>
      <c r="Q31" s="364">
        <f>-SUMIFS('Jounal entries final'!$H:$H,'Jounal entries final'!$E:$E,$D31,'Jounal entries final'!$B:$B,Q$16,'Jounal entries final'!$C:$C,$R$16)</f>
        <v>0</v>
      </c>
      <c r="T31" s="316"/>
    </row>
    <row r="32" spans="1:21">
      <c r="C32" s="234"/>
      <c r="D32" s="114" t="s">
        <v>192</v>
      </c>
      <c r="E32" s="378">
        <f>-SUMIFS('Jounal entries final'!$H:$H,'Jounal entries final'!$E:$E,$D32,'Jounal entries final'!$B:$B,E$16,'Jounal entries final'!$C:$C,$R$16)</f>
        <v>10500000</v>
      </c>
      <c r="F32" s="378">
        <f>-SUMIFS('Jounal entries final'!$H:$H,'Jounal entries final'!$E:$E,$D32,'Jounal entries final'!$B:$B,F$16,'Jounal entries final'!$C:$C,$R$16)</f>
        <v>10500000</v>
      </c>
      <c r="G32" s="364">
        <f>-SUMIFS('Jounal entries final'!$H:$H,'Jounal entries final'!$E:$E,$D32,'Jounal entries final'!$B:$B,G$16,'Jounal entries final'!$C:$C,$R$16)</f>
        <v>10500000</v>
      </c>
      <c r="H32" s="364">
        <f>-SUMIFS('Jounal entries final'!$H:$H,'Jounal entries final'!$E:$E,$D32,'Jounal entries final'!$B:$B,H$16,'Jounal entries final'!$C:$C,$R$16)</f>
        <v>10500000</v>
      </c>
      <c r="I32" s="364">
        <f>-SUMIFS('Jounal entries final'!$H:$H,'Jounal entries final'!$E:$E,$D32,'Jounal entries final'!$B:$B,I$16,'Jounal entries final'!$C:$C,$R$16)</f>
        <v>10500000</v>
      </c>
      <c r="J32" s="364">
        <f>-SUMIFS('Jounal entries final'!$H:$H,'Jounal entries final'!$E:$E,$D32,'Jounal entries final'!$B:$B,J$16,'Jounal entries final'!$C:$C,$R$16)</f>
        <v>10500000</v>
      </c>
      <c r="K32" s="364">
        <f>-SUMIFS('Jounal entries final'!$H:$H,'Jounal entries final'!$E:$E,$D32,'Jounal entries final'!$B:$B,K$16,'Jounal entries final'!$C:$C,$R$16)</f>
        <v>10500000</v>
      </c>
      <c r="L32" s="364">
        <f>-SUMIFS('Jounal entries final'!$H:$H,'Jounal entries final'!$E:$E,$D32,'Jounal entries final'!$B:$B,L$16,'Jounal entries final'!$C:$C,$R$16)</f>
        <v>10500000</v>
      </c>
      <c r="M32" s="364">
        <f>-SUMIFS('Jounal entries final'!$H:$H,'Jounal entries final'!$E:$E,$D32,'Jounal entries final'!$B:$B,M$16,'Jounal entries final'!$C:$C,$R$16)</f>
        <v>10500000</v>
      </c>
      <c r="N32" s="364">
        <f>-SUMIFS('Jounal entries final'!$H:$H,'Jounal entries final'!$E:$E,$D32,'Jounal entries final'!$B:$B,N$16,'Jounal entries final'!$C:$C,$R$16)</f>
        <v>10500000</v>
      </c>
      <c r="O32" s="364">
        <f>-SUMIFS('Jounal entries final'!$H:$H,'Jounal entries final'!$E:$E,$D32,'Jounal entries final'!$B:$B,O$16,'Jounal entries final'!$C:$C,$R$16)</f>
        <v>10500000</v>
      </c>
      <c r="P32" s="364">
        <f>-SUMIFS('Jounal entries final'!$H:$H,'Jounal entries final'!$E:$E,$D32,'Jounal entries final'!$B:$B,P$16,'Jounal entries final'!$C:$C,$R$16)</f>
        <v>10500000</v>
      </c>
      <c r="Q32" s="364">
        <f>-SUMIFS('Jounal entries final'!$H:$H,'Jounal entries final'!$E:$E,$D32,'Jounal entries final'!$B:$B,Q$16,'Jounal entries final'!$C:$C,$R$16)</f>
        <v>0</v>
      </c>
      <c r="T32" s="316"/>
    </row>
    <row r="33" spans="3:20" ht="18">
      <c r="C33" s="234"/>
      <c r="D33" s="319" t="s">
        <v>184</v>
      </c>
      <c r="E33" s="363">
        <f>SUM(E31:E32)</f>
        <v>32333695</v>
      </c>
      <c r="F33" s="363">
        <f>SUM(F31:F32)</f>
        <v>40146200</v>
      </c>
      <c r="G33" s="363">
        <f t="shared" ref="G33:P33" si="1">SUM(G31:G32)</f>
        <v>42318810</v>
      </c>
      <c r="H33" s="363">
        <f t="shared" si="1"/>
        <v>43812505</v>
      </c>
      <c r="I33" s="363">
        <f t="shared" si="1"/>
        <v>39579495</v>
      </c>
      <c r="J33" s="363">
        <f t="shared" si="1"/>
        <v>37207000</v>
      </c>
      <c r="K33" s="363">
        <f t="shared" si="1"/>
        <v>43309000</v>
      </c>
      <c r="L33" s="363">
        <f t="shared" si="1"/>
        <v>46346010</v>
      </c>
      <c r="M33" s="363">
        <f t="shared" si="1"/>
        <v>34217265</v>
      </c>
      <c r="N33" s="363">
        <f t="shared" si="1"/>
        <v>41287275</v>
      </c>
      <c r="O33" s="363">
        <f t="shared" si="1"/>
        <v>41193580</v>
      </c>
      <c r="P33" s="363">
        <f t="shared" si="1"/>
        <v>38230960</v>
      </c>
      <c r="Q33" s="234"/>
    </row>
    <row r="34" spans="3:20" ht="19">
      <c r="C34" s="234"/>
      <c r="D34" s="118"/>
      <c r="E34" s="346"/>
      <c r="F34" s="338"/>
      <c r="G34" s="338"/>
      <c r="H34" s="339"/>
      <c r="I34" s="338"/>
      <c r="J34" s="205"/>
      <c r="K34" s="345"/>
      <c r="L34" s="336"/>
      <c r="M34" s="349"/>
      <c r="N34" s="349"/>
      <c r="O34" s="350"/>
      <c r="P34" s="350"/>
      <c r="Q34" s="234"/>
    </row>
    <row r="35" spans="3:20">
      <c r="C35" s="234"/>
      <c r="D35" s="114" t="s">
        <v>156</v>
      </c>
      <c r="E35" s="378">
        <f>-SUMIFS('Jounal entries final'!$H:$H,'Jounal entries final'!$E:$E,$D35,'Jounal entries final'!$B:$B,E$16,'Jounal entries final'!$C:$C,$R$16)</f>
        <v>50000000</v>
      </c>
      <c r="F35" s="378">
        <f>-SUMIFS('Jounal entries final'!$H:$H,'Jounal entries final'!$E:$E,$D35,'Jounal entries final'!$B:$B,F$16,'Jounal entries final'!$C:$C,$R$16)</f>
        <v>50000000</v>
      </c>
      <c r="G35" s="364">
        <f>-SUMIFS('Jounal entries final'!$H:$H,'Jounal entries final'!$E:$E,$D35,'Jounal entries final'!$B:$B,G$16,'Jounal entries final'!$C:$C,$R$16)</f>
        <v>50000000</v>
      </c>
      <c r="H35" s="364">
        <f>-SUMIFS('Jounal entries final'!$H:$H,'Jounal entries final'!$E:$E,$D35,'Jounal entries final'!$B:$B,H$16,'Jounal entries final'!$C:$C,$R$16)</f>
        <v>50000000</v>
      </c>
      <c r="I35" s="364">
        <f>-SUMIFS('Jounal entries final'!$H:$H,'Jounal entries final'!$E:$E,$D35,'Jounal entries final'!$B:$B,I$16,'Jounal entries final'!$C:$C,$R$16)</f>
        <v>50000000</v>
      </c>
      <c r="J35" s="364">
        <f>-SUMIFS('Jounal entries final'!$H:$H,'Jounal entries final'!$E:$E,$D35,'Jounal entries final'!$B:$B,J$16,'Jounal entries final'!$C:$C,$R$16)</f>
        <v>50000000</v>
      </c>
      <c r="K35" s="364">
        <f>-SUMIFS('Jounal entries final'!$H:$H,'Jounal entries final'!$E:$E,$D35,'Jounal entries final'!$B:$B,K$16,'Jounal entries final'!$C:$C,$R$16)</f>
        <v>50000000</v>
      </c>
      <c r="L35" s="364">
        <f>-SUMIFS('Jounal entries final'!$H:$H,'Jounal entries final'!$E:$E,$D35,'Jounal entries final'!$B:$B,L$16,'Jounal entries final'!$C:$C,$R$16)</f>
        <v>50000000</v>
      </c>
      <c r="M35" s="364">
        <f>-SUMIFS('Jounal entries final'!$H:$H,'Jounal entries final'!$E:$E,$D35,'Jounal entries final'!$B:$B,M$16,'Jounal entries final'!$C:$C,$R$16)</f>
        <v>50000000</v>
      </c>
      <c r="N35" s="364">
        <f>-SUMIFS('Jounal entries final'!$H:$H,'Jounal entries final'!$E:$E,$D35,'Jounal entries final'!$B:$B,N$16,'Jounal entries final'!$C:$C,$R$16)</f>
        <v>50000000</v>
      </c>
      <c r="O35" s="364">
        <f>-SUMIFS('Jounal entries final'!$H:$H,'Jounal entries final'!$E:$E,$D35,'Jounal entries final'!$B:$B,O$16,'Jounal entries final'!$C:$C,$R$16)</f>
        <v>50000000</v>
      </c>
      <c r="P35" s="364">
        <f>-SUMIFS('Jounal entries final'!$H:$H,'Jounal entries final'!$E:$E,$D35,'Jounal entries final'!$B:$B,P$16,'Jounal entries final'!$C:$C,$R$16)</f>
        <v>50000000</v>
      </c>
      <c r="Q35" s="234"/>
      <c r="T35" s="316"/>
    </row>
    <row r="36" spans="3:20">
      <c r="C36" s="114"/>
      <c r="D36" s="114" t="s">
        <v>185</v>
      </c>
      <c r="E36" s="378">
        <f>SUMIFS('Jounal entries final'!$H:$H,'Jounal entries final'!$E:$E,$D36,'Jounal entries final'!$B:$B,E$16,'Jounal entries final'!$C:$C,$R$16)</f>
        <v>8334919</v>
      </c>
      <c r="F36" s="378">
        <f>-SUMIFS('Jounal entries final'!$H:$H,'Jounal entries final'!$E:$E,$D36,'Jounal entries final'!$B:$B,F$16,'Jounal entries final'!$C:$C,$R$16)</f>
        <v>0</v>
      </c>
      <c r="G36" s="364">
        <f>-SUMIFS('Jounal entries final'!$H:$H,'Jounal entries final'!$E:$E,$D36,'Jounal entries final'!$B:$B,G$16,'Jounal entries final'!$C:$C,$R$16)</f>
        <v>0</v>
      </c>
      <c r="H36" s="364">
        <f>-SUMIFS('Jounal entries final'!$H:$H,'Jounal entries final'!$E:$E,$D36,'Jounal entries final'!$B:$B,H$16,'Jounal entries final'!$C:$C,$R$16)</f>
        <v>0</v>
      </c>
      <c r="I36" s="364">
        <f>-SUMIFS('Jounal entries final'!$H:$H,'Jounal entries final'!$E:$E,$D36,'Jounal entries final'!$B:$B,I$16,'Jounal entries final'!$C:$C,$R$16)</f>
        <v>0</v>
      </c>
      <c r="J36" s="364">
        <f>-SUMIFS('Jounal entries final'!$H:$H,'Jounal entries final'!$E:$E,$D36,'Jounal entries final'!$B:$B,J$16,'Jounal entries final'!$C:$C,$R$16)</f>
        <v>0</v>
      </c>
      <c r="K36" s="364">
        <f>-SUMIFS('Jounal entries final'!$H:$H,'Jounal entries final'!$E:$E,$D36,'Jounal entries final'!$B:$B,K$16,'Jounal entries final'!$C:$C,$R$16)</f>
        <v>0</v>
      </c>
      <c r="L36" s="364">
        <f>-SUMIFS('Jounal entries final'!$H:$H,'Jounal entries final'!$E:$E,$D36,'Jounal entries final'!$B:$B,L$16,'Jounal entries final'!$C:$C,$R$16)</f>
        <v>0</v>
      </c>
      <c r="M36" s="364">
        <f>-SUMIFS('Jounal entries final'!$H:$H,'Jounal entries final'!$E:$E,$D36,'Jounal entries final'!$B:$B,M$16,'Jounal entries final'!$C:$C,$R$16)</f>
        <v>0</v>
      </c>
      <c r="N36" s="364">
        <f>-SUMIFS('Jounal entries final'!$H:$H,'Jounal entries final'!$E:$E,$D36,'Jounal entries final'!$B:$B,N$16,'Jounal entries final'!$C:$C,$R$16)</f>
        <v>0</v>
      </c>
      <c r="O36" s="364">
        <f>-SUMIFS('Jounal entries final'!$H:$H,'Jounal entries final'!$E:$E,$D36,'Jounal entries final'!$B:$B,O$16,'Jounal entries final'!$C:$C,$R$16)</f>
        <v>0</v>
      </c>
      <c r="P36" s="364">
        <f>-SUMIFS('Jounal entries final'!$H:$H,'Jounal entries final'!$E:$E,$D36,'Jounal entries final'!$B:$B,P$16,'Jounal entries final'!$C:$C,$R$16)</f>
        <v>0</v>
      </c>
      <c r="Q36" s="234"/>
      <c r="T36" s="316"/>
    </row>
    <row r="37" spans="3:20">
      <c r="C37" s="114"/>
      <c r="D37" s="114" t="s">
        <v>222</v>
      </c>
      <c r="E37" s="364">
        <f>'LTM P&amp;L'!D39</f>
        <v>617163.96999999695</v>
      </c>
      <c r="F37" s="364">
        <f>'LTM P&amp;L'!E39</f>
        <v>1212950.9219999984</v>
      </c>
      <c r="G37" s="364">
        <f>'LTM P&amp;L'!F39</f>
        <v>-221024.23199999891</v>
      </c>
      <c r="H37" s="364">
        <f>'LTM P&amp;L'!G39</f>
        <v>265211.71399999969</v>
      </c>
      <c r="I37" s="364">
        <f>'LTM P&amp;L'!H39</f>
        <v>-108935.68600000069</v>
      </c>
      <c r="J37" s="364">
        <f>'LTM P&amp;L'!I39</f>
        <v>2188031.574000001</v>
      </c>
      <c r="K37" s="364">
        <f>'LTM P&amp;L'!J39</f>
        <v>768150.00200000219</v>
      </c>
      <c r="L37" s="364">
        <f>'LTM P&amp;L'!K39</f>
        <v>-502060.86199999973</v>
      </c>
      <c r="M37" s="364">
        <f>'LTM P&amp;L'!L39</f>
        <v>806631.28200000059</v>
      </c>
      <c r="N37" s="364">
        <f>'LTM P&amp;L'!M39</f>
        <v>328481.67200000025</v>
      </c>
      <c r="O37" s="364">
        <f>'LTM P&amp;L'!N39</f>
        <v>93138.847999997437</v>
      </c>
      <c r="P37" s="364">
        <f>'LTM P&amp;L'!O39</f>
        <v>395393.73000000603</v>
      </c>
      <c r="Q37" s="234"/>
      <c r="T37" s="316"/>
    </row>
    <row r="38" spans="3:20" ht="18">
      <c r="C38" s="234"/>
      <c r="D38" s="319" t="s">
        <v>195</v>
      </c>
      <c r="E38" s="363">
        <f>E35-E36+E37</f>
        <v>42282244.969999999</v>
      </c>
      <c r="F38" s="363">
        <f>+F37+F35-F36</f>
        <v>51212950.921999998</v>
      </c>
      <c r="G38" s="363">
        <f t="shared" ref="G38:P38" si="2">+G37+G35-G36</f>
        <v>49778975.767999999</v>
      </c>
      <c r="H38" s="363">
        <f t="shared" si="2"/>
        <v>50265211.714000002</v>
      </c>
      <c r="I38" s="363">
        <f t="shared" si="2"/>
        <v>49891064.313999996</v>
      </c>
      <c r="J38" s="363">
        <f t="shared" si="2"/>
        <v>52188031.574000001</v>
      </c>
      <c r="K38" s="363">
        <f t="shared" si="2"/>
        <v>50768150.002000004</v>
      </c>
      <c r="L38" s="363">
        <f t="shared" si="2"/>
        <v>49497939.137999997</v>
      </c>
      <c r="M38" s="363">
        <f t="shared" si="2"/>
        <v>50806631.281999998</v>
      </c>
      <c r="N38" s="363">
        <f t="shared" si="2"/>
        <v>50328481.671999998</v>
      </c>
      <c r="O38" s="363">
        <f t="shared" si="2"/>
        <v>50093138.847999997</v>
      </c>
      <c r="P38" s="363">
        <f t="shared" si="2"/>
        <v>50395393.730000004</v>
      </c>
      <c r="Q38" s="234"/>
    </row>
    <row r="39" spans="3:20" ht="22">
      <c r="C39" s="252"/>
      <c r="D39" s="306"/>
      <c r="E39" s="336"/>
      <c r="F39" s="336"/>
      <c r="G39" s="352"/>
      <c r="H39" s="352"/>
      <c r="I39" s="352"/>
      <c r="J39" s="205"/>
      <c r="K39" s="345"/>
      <c r="L39" s="336"/>
      <c r="M39" s="351"/>
      <c r="N39" s="352"/>
      <c r="O39" s="345"/>
      <c r="P39" s="345"/>
      <c r="Q39" s="234"/>
    </row>
    <row r="40" spans="3:20" ht="34">
      <c r="C40" s="293"/>
      <c r="D40" s="289"/>
      <c r="E40" s="301"/>
      <c r="F40" s="301"/>
      <c r="G40" s="355"/>
      <c r="H40" s="302"/>
      <c r="I40" s="355"/>
      <c r="K40" s="355"/>
      <c r="L40" s="311"/>
      <c r="M40" s="312"/>
      <c r="N40" s="312"/>
      <c r="O40" s="312"/>
      <c r="P40" s="312"/>
      <c r="Q40" s="293"/>
    </row>
    <row r="41" spans="3:20">
      <c r="C41" s="293"/>
      <c r="D41" s="372" t="s">
        <v>229</v>
      </c>
      <c r="E41" s="373">
        <f>SUMIFS('Jounal entries final'!$H:$H,'Jounal entries final'!$E:$E,$D41,'Jounal entries final'!$B:$B,E$16,'Jounal entries final'!$C:$C,$R$16)</f>
        <v>0</v>
      </c>
      <c r="F41" s="373">
        <f>-SUMIFS('Jounal entries final'!$H:$H,'Jounal entries final'!$E:$E,$D41,'Jounal entries final'!$B:$B,F$16,'Jounal entries final'!$C:$C,$R$16)</f>
        <v>-21833695</v>
      </c>
      <c r="G41" s="373">
        <f>-SUMIFS('Jounal entries final'!$H:$H,'Jounal entries final'!$E:$E,$D41,'Jounal entries final'!$B:$B,G$16,'Jounal entries final'!$C:$C,$R$16)</f>
        <v>-30732505</v>
      </c>
      <c r="H41" s="373">
        <f>-SUMIFS('Jounal entries final'!$H:$H,'Jounal entries final'!$E:$E,$D41,'Jounal entries final'!$B:$B,H$16,'Jounal entries final'!$C:$C,$R$16)</f>
        <v>-32022505</v>
      </c>
      <c r="I41" s="373">
        <f>-SUMIFS('Jounal entries final'!$H:$H,'Jounal entries final'!$E:$E,$D41,'Jounal entries final'!$B:$B,I$16,'Jounal entries final'!$C:$C,$R$16)</f>
        <v>-30551000</v>
      </c>
      <c r="J41" s="373">
        <f>-SUMIFS('Jounal entries final'!$H:$H,'Jounal entries final'!$E:$E,$D41,'Jounal entries final'!$B:$B,J$16,'Jounal entries final'!$C:$C,$R$16)</f>
        <v>-28629000</v>
      </c>
      <c r="K41" s="373">
        <f>-SUMIFS('Jounal entries final'!$H:$H,'Jounal entries final'!$E:$E,$D41,'Jounal entries final'!$B:$B,K$16,'Jounal entries final'!$C:$C,$R$16)</f>
        <v>-30719000</v>
      </c>
      <c r="L41" s="373">
        <f>-SUMIFS('Jounal entries final'!$H:$H,'Jounal entries final'!$E:$E,$D41,'Jounal entries final'!$B:$B,L$16,'Jounal entries final'!$C:$C,$R$16)</f>
        <v>-33282505</v>
      </c>
      <c r="M41" s="373">
        <f>-SUMIFS('Jounal entries final'!$H:$H,'Jounal entries final'!$E:$E,$D41,'Jounal entries final'!$B:$B,M$16,'Jounal entries final'!$C:$C,$R$16)</f>
        <v>-28499885</v>
      </c>
      <c r="N41" s="373">
        <f>-SUMIFS('Jounal entries final'!$H:$H,'Jounal entries final'!$E:$E,$D41,'Jounal entries final'!$B:$B,N$16,'Jounal entries final'!$C:$C,$R$16)</f>
        <v>-29643580</v>
      </c>
      <c r="O41" s="373">
        <f>-SUMIFS('Jounal entries final'!$H:$H,'Jounal entries final'!$E:$E,$D41,'Jounal entries final'!$B:$B,O$16,'Jounal entries final'!$C:$C,$R$16)</f>
        <v>-30168580</v>
      </c>
      <c r="P41" s="373">
        <f>-SUMIFS('Jounal entries final'!$H:$H,'Jounal entries final'!$E:$E,$D41,'Jounal entries final'!$B:$B,P$16,'Jounal entries final'!$C:$C,$R$16)</f>
        <v>-28949770</v>
      </c>
      <c r="Q41" s="293"/>
    </row>
    <row r="42" spans="3:20">
      <c r="C42" s="293"/>
      <c r="D42" s="372" t="s">
        <v>230</v>
      </c>
      <c r="E42" s="373">
        <f>SUMIFS('Jounal entries final'!$H:$H,'Jounal entries final'!$E:$E,$D42,'Jounal entries final'!$B:$B,E$16,'Jounal entries final'!$C:$C,$R$16)</f>
        <v>0</v>
      </c>
      <c r="F42" s="373">
        <f>-SUMIFS('Jounal entries final'!$H:$H,'Jounal entries final'!$E:$E,$D42,'Jounal entries final'!$B:$B,F$16,'Jounal entries final'!$C:$C,$R$16)</f>
        <v>15745707</v>
      </c>
      <c r="G42" s="373">
        <f>-SUMIFS('Jounal entries final'!$H:$H,'Jounal entries final'!$E:$E,$D42,'Jounal entries final'!$B:$B,G$16,'Jounal entries final'!$C:$C,$R$16)</f>
        <v>27871048</v>
      </c>
      <c r="H42" s="373">
        <f>-SUMIFS('Jounal entries final'!$H:$H,'Jounal entries final'!$E:$E,$D42,'Jounal entries final'!$B:$B,H$16,'Jounal entries final'!$C:$C,$R$16)</f>
        <v>34858942</v>
      </c>
      <c r="I42" s="373">
        <f>-SUMIFS('Jounal entries final'!$H:$H,'Jounal entries final'!$E:$E,$D42,'Jounal entries final'!$B:$B,I$16,'Jounal entries final'!$C:$C,$R$16)</f>
        <v>25616326</v>
      </c>
      <c r="J42" s="373">
        <f>-SUMIFS('Jounal entries final'!$H:$H,'Jounal entries final'!$E:$E,$D42,'Jounal entries final'!$B:$B,J$16,'Jounal entries final'!$C:$C,$R$16)</f>
        <v>27415787</v>
      </c>
      <c r="K42" s="373">
        <f>-SUMIFS('Jounal entries final'!$H:$H,'Jounal entries final'!$E:$E,$D42,'Jounal entries final'!$B:$B,K$16,'Jounal entries final'!$C:$C,$R$16)</f>
        <v>32249372</v>
      </c>
      <c r="L42" s="373">
        <f>-SUMIFS('Jounal entries final'!$H:$H,'Jounal entries final'!$E:$E,$D42,'Jounal entries final'!$B:$B,L$16,'Jounal entries final'!$C:$C,$R$16)</f>
        <v>31469236</v>
      </c>
      <c r="M42" s="373">
        <f>-SUMIFS('Jounal entries final'!$H:$H,'Jounal entries final'!$E:$E,$D42,'Jounal entries final'!$B:$B,M$16,'Jounal entries final'!$C:$C,$R$16)</f>
        <v>31920418</v>
      </c>
      <c r="N42" s="373">
        <f>-SUMIFS('Jounal entries final'!$H:$H,'Jounal entries final'!$E:$E,$D42,'Jounal entries final'!$B:$B,N$16,'Jounal entries final'!$C:$C,$R$16)</f>
        <v>31815762</v>
      </c>
      <c r="O42" s="373">
        <f>-SUMIFS('Jounal entries final'!$H:$H,'Jounal entries final'!$E:$E,$D42,'Jounal entries final'!$B:$B,O$16,'Jounal entries final'!$C:$C,$R$16)</f>
        <v>25850551</v>
      </c>
      <c r="P42" s="373">
        <f>-SUMIFS('Jounal entries final'!$H:$H,'Jounal entries final'!$E:$E,$D42,'Jounal entries final'!$B:$B,P$16,'Jounal entries final'!$C:$C,$R$16)</f>
        <v>28148846</v>
      </c>
      <c r="Q42" s="293"/>
    </row>
    <row r="43" spans="3:20">
      <c r="C43" s="293"/>
      <c r="D43" s="372" t="s">
        <v>236</v>
      </c>
      <c r="E43" s="373">
        <f>SUMIFS('Jounal entries final'!$H:$H,'Jounal entries final'!$E:$E,$D43,'Jounal entries final'!$B:$B,E$16,'Jounal entries final'!$C:$C,$R$16)</f>
        <v>0</v>
      </c>
      <c r="F43" s="373">
        <f>-SUMIFS('Jounal entries final'!$H:$H,'Jounal entries final'!$E:$E,$D43,'Jounal entries final'!$B:$B,F$16,'Jounal entries final'!$C:$C,$R$16)</f>
        <v>1217348.9699999997</v>
      </c>
      <c r="G43" s="373">
        <f>-SUMIFS('Jounal entries final'!$H:$H,'Jounal entries final'!$E:$E,$D43,'Jounal entries final'!$B:$B,G$16,'Jounal entries final'!$C:$C,$R$16)</f>
        <v>965431.98999999987</v>
      </c>
      <c r="H43" s="373">
        <f>-SUMIFS('Jounal entries final'!$H:$H,'Jounal entries final'!$E:$E,$D43,'Jounal entries final'!$B:$B,H$16,'Jounal entries final'!$C:$C,$R$16)</f>
        <v>2687528.76</v>
      </c>
      <c r="I43" s="373">
        <f>-SUMIFS('Jounal entries final'!$H:$H,'Jounal entries final'!$E:$E,$D43,'Jounal entries final'!$B:$B,I$16,'Jounal entries final'!$C:$C,$R$16)</f>
        <v>2926518.75</v>
      </c>
      <c r="J43" s="373">
        <f>-SUMIFS('Jounal entries final'!$H:$H,'Jounal entries final'!$E:$E,$D43,'Jounal entries final'!$B:$B,J$16,'Jounal entries final'!$C:$C,$R$16)</f>
        <v>3287397.4799999995</v>
      </c>
      <c r="K43" s="373">
        <f>-SUMIFS('Jounal entries final'!$H:$H,'Jounal entries final'!$E:$E,$D43,'Jounal entries final'!$B:$B,K$16,'Jounal entries final'!$C:$C,$R$16)</f>
        <v>4631542.08</v>
      </c>
      <c r="L43" s="373">
        <f>-SUMIFS('Jounal entries final'!$H:$H,'Jounal entries final'!$E:$E,$D43,'Jounal entries final'!$B:$B,L$16,'Jounal entries final'!$C:$C,$R$16)</f>
        <v>5088006.3199999984</v>
      </c>
      <c r="M43" s="373">
        <f>-SUMIFS('Jounal entries final'!$H:$H,'Jounal entries final'!$E:$E,$D43,'Jounal entries final'!$B:$B,M$16,'Jounal entries final'!$C:$C,$R$16)</f>
        <v>5147864.5799999991</v>
      </c>
      <c r="N43" s="373">
        <f>-SUMIFS('Jounal entries final'!$H:$H,'Jounal entries final'!$E:$E,$D43,'Jounal entries final'!$B:$B,N$16,'Jounal entries final'!$C:$C,$R$16)</f>
        <v>5851985.1599999992</v>
      </c>
      <c r="O43" s="373">
        <f>-SUMIFS('Jounal entries final'!$H:$H,'Jounal entries final'!$E:$E,$D43,'Jounal entries final'!$B:$B,O$16,'Jounal entries final'!$C:$C,$R$16)</f>
        <v>6384810.0999999996</v>
      </c>
      <c r="P43" s="373">
        <f>-SUMIFS('Jounal entries final'!$H:$H,'Jounal entries final'!$E:$E,$D43,'Jounal entries final'!$B:$B,P$16,'Jounal entries final'!$C:$C,$R$16)</f>
        <v>6198796.2399999993</v>
      </c>
      <c r="Q43" s="293"/>
    </row>
    <row r="44" spans="3:20">
      <c r="C44" s="293"/>
      <c r="D44" s="372" t="s">
        <v>263</v>
      </c>
      <c r="E44" s="373">
        <f>SUMIFS('Jounal entries final'!$H:$H,'Jounal entries final'!$E:$E,$D44,'Jounal entries final'!$B:$B,E$16,'Jounal entries final'!$C:$C,$R$16)</f>
        <v>0</v>
      </c>
      <c r="F44" s="373">
        <f>-SUMIFS('Jounal entries final'!$H:$H,'Jounal entries final'!$E:$E,$D44,'Jounal entries final'!$B:$B,F$16,'Jounal entries final'!$C:$C,$R$16)</f>
        <v>3607884</v>
      </c>
      <c r="G44" s="373">
        <f>-SUMIFS('Jounal entries final'!$H:$H,'Jounal entries final'!$E:$E,$D44,'Jounal entries final'!$B:$B,G$16,'Jounal entries final'!$C:$C,$R$16)</f>
        <v>7214915.9019999998</v>
      </c>
      <c r="H44" s="373">
        <f>-SUMIFS('Jounal entries final'!$H:$H,'Jounal entries final'!$E:$E,$D44,'Jounal entries final'!$B:$B,H$16,'Jounal entries final'!$C:$C,$R$16)</f>
        <v>5825205.8999999994</v>
      </c>
      <c r="I44" s="373">
        <f>-SUMIFS('Jounal entries final'!$H:$H,'Jounal entries final'!$E:$E,$D44,'Jounal entries final'!$B:$B,I$16,'Jounal entries final'!$C:$C,$R$16)</f>
        <v>22839043.623999998</v>
      </c>
      <c r="J44" s="373">
        <f>-SUMIFS('Jounal entries final'!$H:$H,'Jounal entries final'!$E:$E,$D44,'Jounal entries final'!$B:$B,J$16,'Jounal entries final'!$C:$C,$R$16)</f>
        <v>25553263.207999997</v>
      </c>
      <c r="K44" s="373">
        <f>-SUMIFS('Jounal entries final'!$H:$H,'Jounal entries final'!$E:$E,$D44,'Jounal entries final'!$B:$B,K$16,'Jounal entries final'!$C:$C,$R$16)</f>
        <v>26096565.181999996</v>
      </c>
      <c r="L44" s="373">
        <f>-SUMIFS('Jounal entries final'!$H:$H,'Jounal entries final'!$E:$E,$D44,'Jounal entries final'!$B:$B,L$16,'Jounal entries final'!$C:$C,$R$16)</f>
        <v>35733386.943999998</v>
      </c>
      <c r="M44" s="373">
        <f>-SUMIFS('Jounal entries final'!$H:$H,'Jounal entries final'!$E:$E,$D44,'Jounal entries final'!$B:$B,M$16,'Jounal entries final'!$C:$C,$R$16)</f>
        <v>43738790.821999997</v>
      </c>
      <c r="N44" s="373">
        <f>-SUMIFS('Jounal entries final'!$H:$H,'Jounal entries final'!$E:$E,$D44,'Jounal entries final'!$B:$B,N$16,'Jounal entries final'!$C:$C,$R$16)</f>
        <v>45618337.523999996</v>
      </c>
      <c r="O44" s="373">
        <f>-SUMIFS('Jounal entries final'!$H:$H,'Jounal entries final'!$E:$E,$D44,'Jounal entries final'!$B:$B,O$16,'Jounal entries final'!$C:$C,$R$16)</f>
        <v>58977900.255999997</v>
      </c>
      <c r="P44" s="373">
        <f>-SUMIFS('Jounal entries final'!$H:$H,'Jounal entries final'!$E:$E,$D44,'Jounal entries final'!$B:$B,P$16,'Jounal entries final'!$C:$C,$R$16)</f>
        <v>63938757.964000002</v>
      </c>
      <c r="Q44" s="293"/>
    </row>
    <row r="45" spans="3:20">
      <c r="D45" s="374"/>
      <c r="E45" s="375"/>
      <c r="F45" s="375"/>
      <c r="G45" s="375"/>
      <c r="H45" s="375"/>
      <c r="I45" s="375"/>
      <c r="J45" s="375"/>
      <c r="K45" s="375"/>
      <c r="L45" s="375"/>
      <c r="M45" s="375"/>
      <c r="N45" s="375"/>
      <c r="O45" s="375"/>
      <c r="P45" s="375"/>
    </row>
    <row r="46" spans="3:20">
      <c r="D46" s="374"/>
      <c r="E46" s="375"/>
      <c r="F46" s="375"/>
      <c r="G46" s="375"/>
      <c r="H46" s="375"/>
      <c r="I46" s="375"/>
      <c r="J46" s="375"/>
      <c r="K46" s="375"/>
      <c r="L46" s="375"/>
      <c r="M46" s="375"/>
      <c r="N46" s="375"/>
      <c r="O46" s="375"/>
      <c r="P46" s="375"/>
    </row>
    <row r="47" spans="3:20" ht="18" customHeight="1">
      <c r="C47" s="293"/>
      <c r="D47" s="376" t="s">
        <v>196</v>
      </c>
      <c r="E47" s="377">
        <f>E28-E33-E38</f>
        <v>0</v>
      </c>
      <c r="F47" s="377">
        <f>F28-F33-F38-SUM(F41:F44)</f>
        <v>-8.3819031715393066E-9</v>
      </c>
      <c r="G47" s="377">
        <f t="shared" ref="G47:P47" si="3">G28-G33-G38-SUM(G41:G44)</f>
        <v>0</v>
      </c>
      <c r="H47" s="377">
        <f t="shared" si="3"/>
        <v>0</v>
      </c>
      <c r="I47" s="377">
        <f t="shared" si="3"/>
        <v>0</v>
      </c>
      <c r="J47" s="377">
        <f t="shared" si="3"/>
        <v>0</v>
      </c>
      <c r="K47" s="377">
        <f t="shared" si="3"/>
        <v>0</v>
      </c>
      <c r="L47" s="377">
        <f t="shared" si="3"/>
        <v>0</v>
      </c>
      <c r="M47" s="377">
        <f t="shared" si="3"/>
        <v>0</v>
      </c>
      <c r="N47" s="377">
        <f t="shared" si="3"/>
        <v>0</v>
      </c>
      <c r="O47" s="377">
        <f t="shared" si="3"/>
        <v>0</v>
      </c>
      <c r="P47" s="377">
        <f t="shared" si="3"/>
        <v>0</v>
      </c>
      <c r="Q47" s="299"/>
    </row>
    <row r="48" spans="3:20" ht="22">
      <c r="C48" s="295"/>
      <c r="D48" s="737"/>
      <c r="E48" s="737"/>
      <c r="F48" s="737"/>
      <c r="G48" s="355"/>
      <c r="H48" s="355"/>
      <c r="I48" s="355"/>
      <c r="K48" s="340"/>
      <c r="L48" s="798"/>
      <c r="M48" s="798"/>
      <c r="N48" s="798"/>
      <c r="O48" s="355"/>
      <c r="P48" s="355"/>
      <c r="Q48" s="293"/>
    </row>
    <row r="49" spans="3:17" ht="34">
      <c r="C49" s="293"/>
      <c r="D49" s="290"/>
      <c r="E49" s="359"/>
      <c r="F49" s="301"/>
      <c r="G49" s="355"/>
      <c r="H49" s="302"/>
      <c r="I49" s="355"/>
      <c r="K49" s="355"/>
      <c r="L49" s="781"/>
      <c r="M49" s="782"/>
      <c r="N49" s="782"/>
      <c r="O49" s="782"/>
      <c r="P49" s="782"/>
      <c r="Q49" s="293"/>
    </row>
    <row r="50" spans="3:17" ht="13.25" customHeight="1">
      <c r="C50" s="293"/>
      <c r="D50" s="288"/>
      <c r="E50" s="341"/>
      <c r="F50" s="341"/>
      <c r="G50" s="355"/>
      <c r="H50" s="302"/>
      <c r="I50" s="355"/>
      <c r="K50" s="355"/>
      <c r="L50" s="781"/>
      <c r="M50" s="782"/>
      <c r="N50" s="782"/>
      <c r="O50" s="782"/>
      <c r="P50" s="782"/>
      <c r="Q50" s="293"/>
    </row>
    <row r="51" spans="3:17" ht="18">
      <c r="C51" s="293"/>
      <c r="D51" s="249"/>
      <c r="E51" s="360"/>
      <c r="F51" s="360"/>
      <c r="G51" s="300"/>
      <c r="H51" s="361"/>
      <c r="I51" s="355"/>
      <c r="K51" s="355"/>
      <c r="L51" s="782"/>
      <c r="M51" s="782"/>
      <c r="N51" s="782"/>
      <c r="O51" s="782"/>
      <c r="P51" s="782"/>
      <c r="Q51" s="293"/>
    </row>
    <row r="52" spans="3:17" ht="18">
      <c r="C52" s="293"/>
      <c r="D52" s="249"/>
      <c r="E52" s="360"/>
      <c r="F52" s="360"/>
      <c r="G52" s="300"/>
      <c r="H52" s="361"/>
      <c r="I52" s="355"/>
      <c r="K52" s="355"/>
      <c r="L52" s="782"/>
      <c r="M52" s="782"/>
      <c r="N52" s="782"/>
      <c r="O52" s="782"/>
      <c r="P52" s="782"/>
      <c r="Q52" s="293"/>
    </row>
    <row r="53" spans="3:17" ht="19">
      <c r="C53" s="293"/>
      <c r="D53" s="249"/>
      <c r="E53" s="360"/>
      <c r="F53" s="360"/>
      <c r="G53" s="300"/>
      <c r="H53" s="361"/>
      <c r="I53" s="355"/>
      <c r="K53" s="355"/>
      <c r="L53" s="300"/>
      <c r="M53" s="799"/>
      <c r="N53" s="799"/>
      <c r="O53" s="800"/>
      <c r="P53" s="800"/>
      <c r="Q53" s="293"/>
    </row>
    <row r="54" spans="3:17" ht="19">
      <c r="C54" s="293"/>
      <c r="D54" s="246"/>
      <c r="E54" s="357"/>
      <c r="F54" s="356"/>
      <c r="G54" s="355"/>
      <c r="H54" s="355"/>
      <c r="I54" s="355"/>
      <c r="K54" s="355"/>
      <c r="L54" s="300"/>
      <c r="M54" s="357"/>
      <c r="N54" s="356"/>
      <c r="O54" s="355"/>
      <c r="P54" s="355"/>
      <c r="Q54" s="293"/>
    </row>
  </sheetData>
  <mergeCells count="6">
    <mergeCell ref="P20:Q20"/>
    <mergeCell ref="D48:F48"/>
    <mergeCell ref="L48:N48"/>
    <mergeCell ref="L49:P52"/>
    <mergeCell ref="M53:N53"/>
    <mergeCell ref="O53:P53"/>
  </mergeCells>
  <conditionalFormatting sqref="G40:H40">
    <cfRule type="iconSet" priority="1">
      <iconSet iconSet="3Arrows">
        <cfvo type="percent" val="0"/>
        <cfvo type="num" val="0"/>
        <cfvo type="num" val="9.9999999999999995E-8" gte="0"/>
      </iconSet>
    </cfRule>
  </conditionalFormatting>
  <conditionalFormatting sqref="G49:H50">
    <cfRule type="iconSet" priority="5">
      <iconSet iconSet="3Arrows">
        <cfvo type="percent" val="0"/>
        <cfvo type="num" val="0"/>
        <cfvo type="num" val="9.9999999999999995E-8" gte="0"/>
      </iconSet>
    </cfRule>
  </conditionalFormatting>
  <conditionalFormatting sqref="H53">
    <cfRule type="iconSet" priority="2">
      <iconSet iconSet="3Flags">
        <cfvo type="percent" val="0"/>
        <cfvo type="num" val="0"/>
        <cfvo type="num" val="1.0000000000000001E-17" gte="0"/>
      </iconSet>
    </cfRule>
  </conditionalFormatting>
  <conditionalFormatting sqref="O34:P34">
    <cfRule type="iconSet" priority="6">
      <iconSet iconSet="3Arrows">
        <cfvo type="percent" val="0"/>
        <cfvo type="num" val="0"/>
        <cfvo type="num" val="1E-25" gte="0"/>
      </iconSet>
    </cfRule>
  </conditionalFormatting>
  <conditionalFormatting sqref="O53:P53">
    <cfRule type="iconSet" priority="4">
      <iconSet iconSet="3Arrows">
        <cfvo type="percent" val="0"/>
        <cfvo type="num" val="0"/>
        <cfvo type="num" val="1E-25" gte="0"/>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3" id="{F1587C95-95E9-4756-8664-42BEAC1C4E3C}">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H51:H52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1C368-1A2A-4B3D-8139-56CDB7C3EB24}">
  <sheetPr codeName="Sheet36">
    <tabColor theme="4" tint="0.79998168889431442"/>
  </sheetPr>
  <dimension ref="A1:AA79"/>
  <sheetViews>
    <sheetView showGridLines="0" zoomScale="68" zoomScaleNormal="100" workbookViewId="0"/>
  </sheetViews>
  <sheetFormatPr baseColWidth="10" defaultColWidth="8.83203125" defaultRowHeight="15"/>
  <cols>
    <col min="1" max="1" width="2.83203125" style="236" customWidth="1"/>
    <col min="2" max="2" width="2.1640625" style="236" customWidth="1"/>
    <col min="3" max="3" width="28.5" style="243" customWidth="1"/>
    <col min="4" max="4" width="16.83203125" style="344" bestFit="1" customWidth="1"/>
    <col min="5" max="15" width="16" style="344" bestFit="1" customWidth="1"/>
    <col min="16" max="16" width="1.5" style="236" customWidth="1"/>
    <col min="17" max="17" width="8.83203125" style="236"/>
    <col min="18" max="16384" width="8.83203125" style="114"/>
  </cols>
  <sheetData>
    <row r="1" spans="1:17">
      <c r="A1" s="205"/>
      <c r="B1" s="205"/>
      <c r="C1" s="205"/>
      <c r="D1" s="205"/>
      <c r="E1" s="205"/>
      <c r="F1" s="205"/>
      <c r="G1" s="205"/>
      <c r="H1" s="205"/>
      <c r="I1" s="205"/>
      <c r="J1" s="205"/>
      <c r="K1" s="205"/>
      <c r="L1" s="205"/>
      <c r="M1" s="114"/>
      <c r="N1" s="114"/>
      <c r="O1" s="630"/>
      <c r="P1" s="630"/>
      <c r="Q1" s="114"/>
    </row>
    <row r="2" spans="1:17">
      <c r="A2" s="205"/>
      <c r="B2" s="205"/>
      <c r="C2" s="205"/>
      <c r="D2" s="205"/>
      <c r="E2" s="205"/>
      <c r="F2" s="205"/>
      <c r="G2" s="205"/>
      <c r="H2" s="205"/>
      <c r="I2" s="205"/>
      <c r="J2" s="205"/>
      <c r="K2" s="205"/>
      <c r="L2" s="205"/>
      <c r="M2" s="114"/>
      <c r="N2" s="114"/>
      <c r="O2" s="630"/>
      <c r="P2" s="630"/>
      <c r="Q2" s="114"/>
    </row>
    <row r="3" spans="1:17">
      <c r="A3" s="205"/>
      <c r="B3" s="205"/>
      <c r="C3" s="205"/>
      <c r="D3" s="205"/>
      <c r="E3" s="205"/>
      <c r="F3" s="205"/>
      <c r="G3" s="205"/>
      <c r="H3" s="205"/>
      <c r="I3" s="205"/>
      <c r="J3" s="205"/>
      <c r="K3" s="205"/>
      <c r="L3" s="205"/>
      <c r="M3" s="114"/>
      <c r="N3" s="114"/>
      <c r="O3" s="630"/>
      <c r="P3" s="630"/>
      <c r="Q3" s="114"/>
    </row>
    <row r="4" spans="1:17">
      <c r="A4" s="205"/>
      <c r="B4" s="205"/>
      <c r="C4" s="205"/>
      <c r="D4" s="205"/>
      <c r="E4" s="205"/>
      <c r="F4" s="205"/>
      <c r="G4" s="205"/>
      <c r="H4" s="205"/>
      <c r="I4" s="205"/>
      <c r="J4" s="205"/>
      <c r="K4" s="205"/>
      <c r="L4" s="205"/>
      <c r="M4" s="114"/>
      <c r="N4" s="114"/>
      <c r="O4" s="630"/>
      <c r="P4" s="630"/>
      <c r="Q4" s="114"/>
    </row>
    <row r="5" spans="1:17">
      <c r="A5" s="205"/>
      <c r="B5" s="205"/>
      <c r="C5" s="205"/>
      <c r="D5" s="205"/>
      <c r="E5" s="205"/>
      <c r="F5" s="205"/>
      <c r="G5" s="205"/>
      <c r="H5" s="205"/>
      <c r="I5" s="205"/>
      <c r="J5" s="205"/>
      <c r="K5" s="205"/>
      <c r="L5" s="205"/>
      <c r="M5" s="114"/>
      <c r="N5" s="114"/>
      <c r="O5" s="630"/>
      <c r="P5" s="630"/>
      <c r="Q5" s="114"/>
    </row>
    <row r="6" spans="1:17">
      <c r="A6" s="205"/>
      <c r="B6" s="205"/>
      <c r="C6" s="205"/>
      <c r="D6" s="205"/>
      <c r="E6" s="205"/>
      <c r="F6" s="205"/>
      <c r="G6" s="205"/>
      <c r="H6" s="205"/>
      <c r="I6" s="205"/>
      <c r="J6" s="205"/>
      <c r="K6" s="205"/>
      <c r="L6" s="205"/>
      <c r="M6" s="114"/>
      <c r="N6" s="114"/>
      <c r="O6" s="630"/>
      <c r="P6" s="630"/>
      <c r="Q6" s="114"/>
    </row>
    <row r="7" spans="1:17">
      <c r="A7" s="205"/>
      <c r="B7" s="205"/>
      <c r="C7" s="205"/>
      <c r="D7" s="205"/>
      <c r="E7" s="205"/>
      <c r="F7" s="205"/>
      <c r="G7" s="205"/>
      <c r="H7" s="205"/>
      <c r="I7" s="205"/>
      <c r="J7" s="205"/>
      <c r="K7" s="205"/>
      <c r="L7" s="205"/>
      <c r="M7" s="114"/>
      <c r="N7" s="114"/>
      <c r="O7" s="630"/>
      <c r="P7" s="630"/>
      <c r="Q7" s="114"/>
    </row>
    <row r="8" spans="1:17">
      <c r="A8" s="205"/>
      <c r="B8" s="205"/>
      <c r="C8" s="205"/>
      <c r="D8" s="205"/>
      <c r="E8" s="205"/>
      <c r="F8" s="205"/>
      <c r="G8" s="205"/>
      <c r="H8" s="205"/>
      <c r="I8" s="205"/>
      <c r="J8" s="205"/>
      <c r="K8" s="205"/>
      <c r="L8" s="205"/>
      <c r="M8" s="114"/>
      <c r="N8" s="114"/>
      <c r="O8" s="630"/>
      <c r="P8" s="630"/>
      <c r="Q8" s="114"/>
    </row>
    <row r="9" spans="1:17">
      <c r="A9" s="205"/>
      <c r="B9" s="205"/>
      <c r="C9" s="205"/>
      <c r="D9" s="205"/>
      <c r="E9" s="205"/>
      <c r="F9" s="205"/>
      <c r="G9" s="205"/>
      <c r="H9" s="205"/>
      <c r="I9" s="205"/>
      <c r="J9" s="205"/>
      <c r="K9" s="205"/>
      <c r="L9" s="205"/>
      <c r="M9" s="114"/>
      <c r="N9" s="114"/>
      <c r="O9" s="630"/>
      <c r="P9" s="630"/>
      <c r="Q9" s="114"/>
    </row>
    <row r="10" spans="1:17">
      <c r="A10" s="205"/>
      <c r="B10" s="205"/>
      <c r="C10" s="205"/>
      <c r="D10" s="205"/>
      <c r="E10" s="205"/>
      <c r="F10" s="205"/>
      <c r="G10" s="205"/>
      <c r="H10" s="205"/>
      <c r="I10" s="205"/>
      <c r="J10" s="205"/>
      <c r="K10" s="205"/>
      <c r="L10" s="205"/>
      <c r="M10" s="114"/>
      <c r="N10" s="114"/>
      <c r="O10" s="630"/>
      <c r="P10" s="630"/>
      <c r="Q10" s="114"/>
    </row>
    <row r="11" spans="1:17">
      <c r="A11" s="205"/>
      <c r="B11" s="205"/>
      <c r="C11" s="205"/>
      <c r="D11" s="205"/>
      <c r="E11" s="205"/>
      <c r="F11" s="205"/>
      <c r="G11" s="205"/>
      <c r="H11" s="205"/>
      <c r="I11" s="205"/>
      <c r="J11" s="205"/>
      <c r="K11" s="205"/>
      <c r="L11" s="205"/>
      <c r="M11" s="114"/>
      <c r="N11" s="114"/>
      <c r="O11" s="630"/>
      <c r="P11" s="630"/>
      <c r="Q11" s="114"/>
    </row>
    <row r="12" spans="1:17">
      <c r="A12" s="205"/>
      <c r="B12" s="205"/>
      <c r="C12" s="205"/>
      <c r="D12" s="205"/>
      <c r="E12" s="205"/>
      <c r="F12" s="205"/>
      <c r="G12" s="205"/>
      <c r="H12" s="205"/>
      <c r="I12" s="205"/>
      <c r="J12" s="205"/>
      <c r="K12" s="205"/>
      <c r="L12" s="205"/>
      <c r="M12" s="114"/>
      <c r="N12" s="114"/>
      <c r="O12" s="630"/>
      <c r="P12" s="630"/>
      <c r="Q12" s="114"/>
    </row>
    <row r="13" spans="1:17" s="236" customFormat="1" ht="19">
      <c r="A13" s="121"/>
      <c r="B13" s="121"/>
      <c r="C13" s="121"/>
      <c r="D13" s="205"/>
      <c r="E13" s="205"/>
      <c r="F13" s="205"/>
      <c r="G13" s="205"/>
      <c r="H13" s="205"/>
      <c r="I13" s="342" t="s">
        <v>258</v>
      </c>
      <c r="J13" s="342" t="s">
        <v>256</v>
      </c>
      <c r="K13" s="342" t="s">
        <v>259</v>
      </c>
      <c r="L13" s="342" t="s">
        <v>257</v>
      </c>
      <c r="M13" s="114"/>
      <c r="N13" s="114"/>
      <c r="O13" s="630"/>
      <c r="P13" s="630"/>
    </row>
    <row r="14" spans="1:17" s="236" customFormat="1">
      <c r="A14" s="205"/>
      <c r="B14" s="205"/>
      <c r="C14" s="205"/>
      <c r="D14" s="205"/>
      <c r="E14" s="205"/>
      <c r="F14" s="205"/>
      <c r="G14" s="343"/>
      <c r="H14" s="205"/>
      <c r="I14" s="205"/>
      <c r="J14" s="205"/>
      <c r="K14" s="205"/>
      <c r="L14" s="205"/>
      <c r="M14" s="114"/>
      <c r="N14" s="114"/>
      <c r="O14" s="630"/>
      <c r="P14" s="630"/>
    </row>
    <row r="15" spans="1:17" ht="16" hidden="1" thickBot="1">
      <c r="A15" s="114"/>
      <c r="B15" s="114"/>
      <c r="C15" s="114"/>
      <c r="D15" s="205"/>
      <c r="E15" s="205"/>
      <c r="F15" s="205"/>
      <c r="G15" s="205"/>
      <c r="H15" s="205"/>
      <c r="I15" s="205"/>
      <c r="J15" s="343"/>
      <c r="K15" s="205"/>
      <c r="L15" s="205"/>
      <c r="M15" s="205"/>
      <c r="N15" s="205"/>
      <c r="O15" s="205"/>
      <c r="P15" s="114"/>
      <c r="Q15" s="114"/>
    </row>
    <row r="16" spans="1:17" s="287" customFormat="1" ht="26.5" hidden="1" customHeight="1" thickBot="1">
      <c r="C16" s="281" t="s">
        <v>174</v>
      </c>
      <c r="D16" s="285">
        <v>1</v>
      </c>
      <c r="E16" s="285">
        <v>2</v>
      </c>
      <c r="F16" s="285">
        <v>3</v>
      </c>
      <c r="G16" s="285">
        <v>4</v>
      </c>
      <c r="H16" s="285">
        <v>5</v>
      </c>
      <c r="I16" s="285">
        <v>6</v>
      </c>
      <c r="J16" s="285">
        <v>7</v>
      </c>
      <c r="K16" s="285">
        <v>8</v>
      </c>
      <c r="L16" s="285">
        <v>9</v>
      </c>
      <c r="M16" s="285">
        <v>10</v>
      </c>
      <c r="N16" s="285">
        <v>11</v>
      </c>
      <c r="O16" s="285">
        <v>12</v>
      </c>
      <c r="Q16" s="285">
        <v>2022</v>
      </c>
    </row>
    <row r="17" spans="1:27" hidden="1">
      <c r="A17" s="114"/>
      <c r="B17" s="114"/>
      <c r="C17" s="118"/>
      <c r="D17" s="205"/>
      <c r="E17" s="205"/>
      <c r="F17" s="205"/>
      <c r="G17" s="205"/>
      <c r="H17" s="205"/>
      <c r="I17" s="205"/>
      <c r="J17" s="205"/>
      <c r="K17" s="205"/>
      <c r="L17" s="205"/>
      <c r="M17" s="205"/>
      <c r="N17" s="205"/>
      <c r="O17" s="205"/>
      <c r="P17" s="114"/>
      <c r="Q17" s="114"/>
    </row>
    <row r="18" spans="1:27">
      <c r="R18" s="236"/>
    </row>
    <row r="19" spans="1:27">
      <c r="R19" s="236"/>
    </row>
    <row r="20" spans="1:27" ht="16" thickBot="1">
      <c r="B20" s="243"/>
      <c r="D20" s="243"/>
      <c r="E20" s="243"/>
      <c r="F20" s="243"/>
      <c r="G20" s="243"/>
      <c r="H20" s="243"/>
      <c r="I20" s="243"/>
      <c r="J20" s="243"/>
      <c r="K20" s="243"/>
      <c r="L20" s="243"/>
      <c r="M20" s="243"/>
      <c r="N20" s="243"/>
      <c r="O20" s="243"/>
      <c r="P20" s="243"/>
      <c r="R20" s="236"/>
    </row>
    <row r="21" spans="1:27" s="204" customFormat="1" ht="23" thickBot="1">
      <c r="A21" s="244"/>
      <c r="B21" s="243"/>
      <c r="C21" s="646" t="s">
        <v>174</v>
      </c>
      <c r="D21" s="647" t="str">
        <f>'Dashboard Aifina'!G16</f>
        <v>October</v>
      </c>
      <c r="E21" s="650">
        <f>VLOOKUP(D21,Reference!$A$2:$C$13,2,0)</f>
        <v>10</v>
      </c>
      <c r="F21" s="667">
        <v>2022</v>
      </c>
      <c r="G21" s="651">
        <v>2023</v>
      </c>
      <c r="H21" s="244"/>
      <c r="I21" s="244"/>
      <c r="J21" s="244"/>
      <c r="K21" s="244"/>
      <c r="L21" s="244"/>
      <c r="M21" s="244"/>
      <c r="N21" s="244"/>
      <c r="O21" s="244"/>
      <c r="P21" s="244"/>
      <c r="Q21" s="244"/>
      <c r="R21" s="244"/>
    </row>
    <row r="22" spans="1:27" ht="33.5" customHeight="1">
      <c r="R22" s="236"/>
    </row>
    <row r="23" spans="1:27" ht="21" customHeight="1" thickBot="1">
      <c r="B23" s="234"/>
      <c r="C23" s="251"/>
      <c r="D23" s="234"/>
      <c r="E23" s="234"/>
      <c r="F23" s="234"/>
      <c r="L23" s="818" t="s">
        <v>251</v>
      </c>
      <c r="M23" s="818"/>
      <c r="N23" s="818"/>
      <c r="O23" s="818"/>
      <c r="P23" s="114"/>
      <c r="Q23" s="114"/>
      <c r="R23" s="236"/>
      <c r="T23" s="719"/>
      <c r="U23" s="719"/>
      <c r="V23" s="719"/>
    </row>
    <row r="24" spans="1:27" ht="21" customHeight="1">
      <c r="B24" s="252"/>
      <c r="C24" s="719" t="s">
        <v>165</v>
      </c>
      <c r="D24" s="719"/>
      <c r="E24" s="719"/>
      <c r="F24" s="234"/>
      <c r="L24" s="809" t="str">
        <f>CONCATENATE("- ",HLOOKUP(E21,'DSO Comments'!$B$4:$M$9,3,0),CHAR(10),"- ",VLOOKUP(E21,'DIO Comments'!$A$6:$E$17,5,0),CHAR(10),"- ",HLOOKUP(E21,'DPO Comments'!$B$2:$M$5,4,0))</f>
        <v>- DSO drops to 69 days, suggesting some improvement in collections as accounts receivable decrease ($25.85M). The reduction mitigates some risk but still remains higher than the start of the year.
- With raw materials now 76.4% of COGS, DIO rises further, reflecting inefficiencies in converting inventory into sales.
- DPO returns to 109 days, indicating the company is still relying on extended payment terms. The continued high DPO could create operational inefficiencies and strain supplier relationships.</v>
      </c>
      <c r="M24" s="810"/>
      <c r="N24" s="810"/>
      <c r="O24" s="810"/>
      <c r="P24" s="810"/>
      <c r="Q24" s="811"/>
      <c r="R24" s="236"/>
      <c r="V24" s="204"/>
      <c r="W24" s="204"/>
      <c r="X24" s="204"/>
      <c r="Y24" s="204"/>
      <c r="Z24" s="204"/>
      <c r="AA24" s="204"/>
    </row>
    <row r="25" spans="1:27" ht="34">
      <c r="B25" s="234"/>
      <c r="C25" s="275">
        <f>SUM(D27:D28)-D29</f>
        <v>-17.528482545509974</v>
      </c>
      <c r="D25" s="278"/>
      <c r="E25" s="258"/>
      <c r="F25" s="234"/>
      <c r="L25" s="812"/>
      <c r="M25" s="813"/>
      <c r="N25" s="813"/>
      <c r="O25" s="813"/>
      <c r="P25" s="813"/>
      <c r="Q25" s="814"/>
      <c r="R25" s="236"/>
      <c r="T25" s="724"/>
      <c r="U25" s="724"/>
      <c r="V25" s="724"/>
      <c r="W25" s="724"/>
      <c r="X25" s="724"/>
      <c r="Y25" s="724"/>
      <c r="Z25" s="724"/>
      <c r="AA25" s="724"/>
    </row>
    <row r="26" spans="1:27" ht="15" customHeight="1">
      <c r="B26" s="234"/>
      <c r="C26" s="274"/>
      <c r="D26" s="277" t="s">
        <v>254</v>
      </c>
      <c r="E26" s="277" t="s">
        <v>255</v>
      </c>
      <c r="F26" s="234"/>
      <c r="L26" s="812"/>
      <c r="M26" s="813"/>
      <c r="N26" s="813"/>
      <c r="O26" s="813"/>
      <c r="P26" s="813"/>
      <c r="Q26" s="814"/>
      <c r="R26" s="236"/>
      <c r="T26" s="724"/>
      <c r="U26" s="724"/>
      <c r="V26" s="724"/>
      <c r="W26" s="724"/>
      <c r="X26" s="724"/>
      <c r="Y26" s="724"/>
      <c r="Z26" s="724"/>
      <c r="AA26" s="724"/>
    </row>
    <row r="27" spans="1:27" ht="18">
      <c r="B27" s="234"/>
      <c r="C27" s="254" t="s">
        <v>160</v>
      </c>
      <c r="D27" s="276">
        <f>INDEX('Working Capital'!$G$11:$R$11,MATCH('Dashboard Aifina'!$H$16,'Working Capital'!$G$1:$R$1,0))</f>
        <v>68.614582982194293</v>
      </c>
      <c r="E27" s="276">
        <f>INDEX('Working Capital'!$G$11:$R$11,MATCH('Dashboard Aifina'!$H$16-1,'Working Capital'!$G$1:$R$1,0))</f>
        <v>80.270290522238199</v>
      </c>
      <c r="F27" s="279">
        <f>(D27-E27)</f>
        <v>-11.655707540043906</v>
      </c>
      <c r="L27" s="812"/>
      <c r="M27" s="813"/>
      <c r="N27" s="813"/>
      <c r="O27" s="813"/>
      <c r="P27" s="813"/>
      <c r="Q27" s="814"/>
      <c r="R27" s="236"/>
      <c r="T27" s="724"/>
      <c r="U27" s="724"/>
      <c r="V27" s="724"/>
      <c r="W27" s="724"/>
      <c r="X27" s="724"/>
      <c r="Y27" s="724"/>
      <c r="Z27" s="724"/>
      <c r="AA27" s="724"/>
    </row>
    <row r="28" spans="1:27" ht="18">
      <c r="B28" s="234"/>
      <c r="C28" s="254" t="s">
        <v>161</v>
      </c>
      <c r="D28" s="276">
        <f>INDEX('Working Capital'!$G$16:$R$16,MATCH('Dashboard Aifina'!$H$16,'Working Capital'!$G$1:$R$1,0))</f>
        <v>22.538998297104317</v>
      </c>
      <c r="E28" s="276">
        <f>INDEX('Working Capital'!$G$16:$R$16,MATCH('Dashboard Aifina'!$H$16-1,'Working Capital'!$G$1:$R$1,0))</f>
        <v>19.663390809157995</v>
      </c>
      <c r="F28" s="279">
        <f>(D28-E28)</f>
        <v>2.875607487946322</v>
      </c>
      <c r="L28" s="812"/>
      <c r="M28" s="813"/>
      <c r="N28" s="813"/>
      <c r="O28" s="813"/>
      <c r="P28" s="813"/>
      <c r="Q28" s="814"/>
      <c r="R28" s="236"/>
      <c r="T28" s="724"/>
      <c r="U28" s="724"/>
      <c r="V28" s="724"/>
      <c r="W28" s="724"/>
      <c r="X28" s="724"/>
      <c r="Y28" s="724"/>
      <c r="Z28" s="724"/>
      <c r="AA28" s="724"/>
    </row>
    <row r="29" spans="1:27" ht="19" thickBot="1">
      <c r="B29" s="234"/>
      <c r="C29" s="254" t="s">
        <v>162</v>
      </c>
      <c r="D29" s="276">
        <f>INDEX('Working Capital'!$G$22:$R$22,MATCH('Dashboard Aifina'!$H$16,'Working Capital'!$G$1:$R$1,0))</f>
        <v>108.68206382480858</v>
      </c>
      <c r="E29" s="276">
        <f>INDEX('Working Capital'!$G$22:$R$22,MATCH('Dashboard Aifina'!$H$16-1,'Working Capital'!$G$1:$R$1,0))</f>
        <v>79.692931179505024</v>
      </c>
      <c r="F29" s="279">
        <f>(D29-E29)</f>
        <v>28.989132645303556</v>
      </c>
      <c r="L29" s="815"/>
      <c r="M29" s="816"/>
      <c r="N29" s="816"/>
      <c r="O29" s="816"/>
      <c r="P29" s="816"/>
      <c r="Q29" s="817"/>
      <c r="R29" s="236"/>
      <c r="T29" s="724"/>
      <c r="U29" s="724"/>
      <c r="V29" s="724"/>
      <c r="W29" s="724"/>
      <c r="X29" s="724"/>
      <c r="Y29" s="724"/>
      <c r="Z29" s="724"/>
      <c r="AA29" s="724"/>
    </row>
    <row r="30" spans="1:27" ht="19">
      <c r="B30" s="234"/>
      <c r="C30" s="255"/>
      <c r="D30" s="256"/>
      <c r="E30" s="257"/>
      <c r="F30" s="234"/>
      <c r="L30" s="205"/>
      <c r="M30" s="598"/>
      <c r="N30" s="598"/>
      <c r="O30" s="598"/>
      <c r="P30" s="114"/>
      <c r="Q30" s="114"/>
      <c r="R30" s="236"/>
    </row>
    <row r="31" spans="1:27">
      <c r="R31" s="236"/>
    </row>
    <row r="32" spans="1:27">
      <c r="R32" s="236"/>
    </row>
    <row r="33" spans="2:18" ht="25">
      <c r="B33" s="252"/>
      <c r="C33" s="366" t="s">
        <v>265</v>
      </c>
      <c r="D33" s="367"/>
      <c r="E33" s="367"/>
      <c r="F33" s="367"/>
      <c r="G33" s="367"/>
      <c r="H33" s="367"/>
      <c r="I33" s="367"/>
      <c r="J33" s="367"/>
      <c r="K33" s="367"/>
      <c r="L33" s="367"/>
      <c r="M33" s="367"/>
      <c r="N33" s="367"/>
      <c r="O33" s="368"/>
      <c r="P33" s="234"/>
      <c r="R33" s="236"/>
    </row>
    <row r="34" spans="2:18">
      <c r="B34" s="234"/>
      <c r="C34" s="369"/>
      <c r="D34" s="370" t="s">
        <v>17</v>
      </c>
      <c r="E34" s="370" t="s">
        <v>18</v>
      </c>
      <c r="F34" s="370" t="s">
        <v>19</v>
      </c>
      <c r="G34" s="370" t="s">
        <v>20</v>
      </c>
      <c r="H34" s="370" t="s">
        <v>21</v>
      </c>
      <c r="I34" s="370" t="s">
        <v>22</v>
      </c>
      <c r="J34" s="370" t="s">
        <v>23</v>
      </c>
      <c r="K34" s="370" t="s">
        <v>24</v>
      </c>
      <c r="L34" s="370" t="s">
        <v>25</v>
      </c>
      <c r="M34" s="370" t="s">
        <v>26</v>
      </c>
      <c r="N34" s="370" t="s">
        <v>27</v>
      </c>
      <c r="O34" s="370" t="s">
        <v>28</v>
      </c>
      <c r="P34" s="362"/>
      <c r="R34" s="236"/>
    </row>
    <row r="35" spans="2:18">
      <c r="B35" s="234"/>
      <c r="C35" s="119" t="s">
        <v>98</v>
      </c>
      <c r="D35" s="379">
        <f>-SUMIFS('Jounal entries final'!$H:$H,'Jounal entries final'!$E:$E,$C35,'Jounal entries final'!$B:$B,D$16,'Jounal entries final'!$C:$C,$Q$16)</f>
        <v>13745707</v>
      </c>
      <c r="E35" s="379">
        <f>-SUMIFS('Jounal entries final'!$H:$H,'Jounal entries final'!$E:$E,$C35,'Jounal entries final'!$B:$B,E$16,'Jounal entries final'!$C:$C,$Q$16)</f>
        <v>12726467</v>
      </c>
      <c r="F35" s="379">
        <f>-SUMIFS('Jounal entries final'!$H:$H,'Jounal entries final'!$E:$E,$C35,'Jounal entries final'!$B:$B,F$16,'Jounal entries final'!$C:$C,$Q$16)</f>
        <v>10796660</v>
      </c>
      <c r="G35" s="379">
        <f>-SUMIFS('Jounal entries final'!$H:$H,'Jounal entries final'!$E:$E,$C35,'Jounal entries final'!$B:$B,G$16,'Jounal entries final'!$C:$C,$Q$16)</f>
        <v>12478398</v>
      </c>
      <c r="H35" s="379">
        <f>-SUMIFS('Jounal entries final'!$H:$H,'Jounal entries final'!$E:$E,$C35,'Jounal entries final'!$B:$B,H$16,'Jounal entries final'!$C:$C,$Q$16)</f>
        <v>11877090</v>
      </c>
      <c r="I35" s="379">
        <f>-SUMIFS('Jounal entries final'!$H:$H,'Jounal entries final'!$E:$E,$C35,'Jounal entries final'!$B:$B,I$16,'Jounal entries final'!$C:$C,$Q$16)</f>
        <v>12577816</v>
      </c>
      <c r="J35" s="379">
        <f>-SUMIFS('Jounal entries final'!$H:$H,'Jounal entries final'!$E:$E,$C35,'Jounal entries final'!$B:$B,J$16,'Jounal entries final'!$C:$C,$Q$16)</f>
        <v>13117891</v>
      </c>
      <c r="K35" s="379">
        <f>-SUMIFS('Jounal entries final'!$H:$H,'Jounal entries final'!$E:$E,$C35,'Jounal entries final'!$B:$B,K$16,'Jounal entries final'!$C:$C,$Q$16)</f>
        <v>11066732</v>
      </c>
      <c r="L35" s="379">
        <f>-SUMIFS('Jounal entries final'!$H:$H,'Jounal entries final'!$E:$E,$C35,'Jounal entries final'!$B:$B,L$16,'Jounal entries final'!$C:$C,$Q$16)</f>
        <v>11487586</v>
      </c>
      <c r="M35" s="379">
        <f>-SUMIFS('Jounal entries final'!$H:$H,'Jounal entries final'!$E:$E,$C35,'Jounal entries final'!$B:$B,M$16,'Jounal entries final'!$C:$C,$Q$16)</f>
        <v>11353191</v>
      </c>
      <c r="N35" s="379">
        <f>-SUMIFS('Jounal entries final'!$H:$H,'Jounal entries final'!$E:$E,$C35,'Jounal entries final'!$B:$B,N$16,'Jounal entries final'!$C:$C,$Q$16)</f>
        <v>11279738</v>
      </c>
      <c r="O35" s="379">
        <f>-SUMIFS('Jounal entries final'!$H:$H,'Jounal entries final'!$E:$E,$C35,'Jounal entries final'!$B:$B,O$16,'Jounal entries final'!$C:$C,$Q$16)</f>
        <v>10797568</v>
      </c>
      <c r="P35" s="114"/>
      <c r="R35" s="236"/>
    </row>
    <row r="36" spans="2:18">
      <c r="B36" s="234"/>
      <c r="C36" s="119" t="s">
        <v>187</v>
      </c>
      <c r="D36" s="379">
        <f>SUMIFS('Jounal entries final'!$H:$H,'Jounal entries final'!$E:$E,$C36,'Jounal entries final'!$B:$B,D$16,'Jounal entries final'!$C:$C,$Q$16)</f>
        <v>15745707</v>
      </c>
      <c r="E36" s="379">
        <f>SUMIFS('Jounal entries final'!$H:$H,'Jounal entries final'!$E:$E,$C36,'Jounal entries final'!$B:$B,E$16,'Jounal entries final'!$C:$C,$Q$16)</f>
        <v>27871048</v>
      </c>
      <c r="F36" s="379">
        <f>SUMIFS('Jounal entries final'!$H:$H,'Jounal entries final'!$E:$E,$C36,'Jounal entries final'!$B:$B,F$16,'Jounal entries final'!$C:$C,$Q$16)</f>
        <v>34858942</v>
      </c>
      <c r="G36" s="379">
        <f>SUMIFS('Jounal entries final'!$H:$H,'Jounal entries final'!$E:$E,$C36,'Jounal entries final'!$B:$B,G$16,'Jounal entries final'!$C:$C,$Q$16)</f>
        <v>25616326</v>
      </c>
      <c r="H36" s="379">
        <f>SUMIFS('Jounal entries final'!$H:$H,'Jounal entries final'!$E:$E,$C36,'Jounal entries final'!$B:$B,H$16,'Jounal entries final'!$C:$C,$Q$16)</f>
        <v>27415787</v>
      </c>
      <c r="I36" s="379">
        <f>SUMIFS('Jounal entries final'!$H:$H,'Jounal entries final'!$E:$E,$C36,'Jounal entries final'!$B:$B,I$16,'Jounal entries final'!$C:$C,$Q$16)</f>
        <v>32249372</v>
      </c>
      <c r="J36" s="379">
        <f>SUMIFS('Jounal entries final'!$H:$H,'Jounal entries final'!$E:$E,$C36,'Jounal entries final'!$B:$B,J$16,'Jounal entries final'!$C:$C,$Q$16)</f>
        <v>31469236</v>
      </c>
      <c r="K36" s="379">
        <f>SUMIFS('Jounal entries final'!$H:$H,'Jounal entries final'!$E:$E,$C36,'Jounal entries final'!$B:$B,K$16,'Jounal entries final'!$C:$C,$Q$16)</f>
        <v>31920418</v>
      </c>
      <c r="L36" s="379">
        <f>SUMIFS('Jounal entries final'!$H:$H,'Jounal entries final'!$E:$E,$C36,'Jounal entries final'!$B:$B,L$16,'Jounal entries final'!$C:$C,$Q$16)</f>
        <v>31815762</v>
      </c>
      <c r="M36" s="379">
        <f>SUMIFS('Jounal entries final'!$H:$H,'Jounal entries final'!$E:$E,$C36,'Jounal entries final'!$B:$B,M$16,'Jounal entries final'!$C:$C,$Q$16)</f>
        <v>25850551</v>
      </c>
      <c r="N36" s="379">
        <f>SUMIFS('Jounal entries final'!$H:$H,'Jounal entries final'!$E:$E,$C36,'Jounal entries final'!$B:$B,N$16,'Jounal entries final'!$C:$C,$Q$16)</f>
        <v>28148846</v>
      </c>
      <c r="O36" s="379">
        <f>SUMIFS('Jounal entries final'!$H:$H,'Jounal entries final'!$E:$E,$C36,'Jounal entries final'!$B:$B,O$16,'Jounal entries final'!$C:$C,$Q$16)</f>
        <v>25655312</v>
      </c>
      <c r="P36" s="114"/>
      <c r="R36" s="236"/>
    </row>
    <row r="37" spans="2:18">
      <c r="B37" s="234"/>
      <c r="C37" s="119"/>
      <c r="D37" s="124"/>
      <c r="E37" s="114"/>
      <c r="F37" s="114"/>
      <c r="G37" s="114"/>
      <c r="H37" s="114"/>
      <c r="I37" s="114"/>
      <c r="J37" s="114"/>
      <c r="K37" s="114"/>
      <c r="L37" s="114"/>
      <c r="M37" s="114"/>
      <c r="N37" s="114"/>
      <c r="O37" s="114"/>
      <c r="P37" s="114"/>
      <c r="R37" s="236"/>
    </row>
    <row r="38" spans="2:18" ht="18">
      <c r="B38" s="234"/>
      <c r="C38" s="380" t="s">
        <v>160</v>
      </c>
      <c r="D38" s="381">
        <f>(D36/SUM(D35))*30</f>
        <v>34.364999195748901</v>
      </c>
      <c r="E38" s="381">
        <f>(E36/SUM(D35:E35))*60</f>
        <v>63.170591127120879</v>
      </c>
      <c r="F38" s="381">
        <f>(F36/SUM(D35:F35))*90</f>
        <v>84.180384607685866</v>
      </c>
      <c r="G38" s="381">
        <f t="shared" ref="G38:N38" si="0">(G36/SUM(E35:G35))*90</f>
        <v>64.038102274834188</v>
      </c>
      <c r="H38" s="381">
        <f t="shared" si="0"/>
        <v>70.192604730726558</v>
      </c>
      <c r="I38" s="381">
        <f t="shared" si="0"/>
        <v>78.58607721637901</v>
      </c>
      <c r="J38" s="381">
        <f t="shared" si="0"/>
        <v>75.379835043954799</v>
      </c>
      <c r="K38" s="381">
        <f t="shared" si="0"/>
        <v>78.146001683947034</v>
      </c>
      <c r="L38" s="381">
        <f t="shared" si="0"/>
        <v>80.270290522238199</v>
      </c>
      <c r="M38" s="381">
        <f t="shared" si="0"/>
        <v>68.614582982194293</v>
      </c>
      <c r="N38" s="381">
        <f t="shared" si="0"/>
        <v>74.248473096024483</v>
      </c>
      <c r="O38" s="381">
        <f>(O36/SUM(M35:O35))*90</f>
        <v>69.068015351372139</v>
      </c>
      <c r="P38" s="114"/>
      <c r="R38" s="236"/>
    </row>
    <row r="39" spans="2:18">
      <c r="B39" s="114"/>
      <c r="C39" s="119"/>
      <c r="D39" s="124"/>
      <c r="E39" s="114"/>
      <c r="F39" s="114"/>
      <c r="G39" s="114"/>
      <c r="H39" s="114"/>
      <c r="I39" s="114"/>
      <c r="J39" s="114"/>
      <c r="K39" s="114"/>
      <c r="L39" s="114"/>
      <c r="M39" s="114"/>
      <c r="N39" s="114"/>
      <c r="O39" s="114"/>
      <c r="P39" s="114"/>
      <c r="R39" s="236"/>
    </row>
    <row r="40" spans="2:18">
      <c r="B40" s="114"/>
      <c r="C40" s="119" t="s">
        <v>143</v>
      </c>
      <c r="D40" s="379">
        <f>SUMIFS('Jounal entries final'!$H:$H,'Jounal entries final'!$E:$E,$C40,'Jounal entries final'!$B:$B,D$16,'Jounal entries final'!$C:$C,$Q$16)</f>
        <v>10562853.030000003</v>
      </c>
      <c r="E40" s="379">
        <f>SUMIFS('Jounal entries final'!$H:$H,'Jounal entries final'!$E:$E,$C40,'Jounal entries final'!$B:$B,E$16,'Jounal entries final'!$C:$C,$Q$16)</f>
        <v>9023618.0780000016</v>
      </c>
      <c r="F40" s="379">
        <f>SUMIFS('Jounal entries final'!$H:$H,'Jounal entries final'!$E:$E,$C40,'Jounal entries final'!$B:$B,F$16,'Jounal entries final'!$C:$C,$Q$16)</f>
        <v>8408548.2319999989</v>
      </c>
      <c r="G40" s="379">
        <f>SUMIFS('Jounal entries final'!$H:$H,'Jounal entries final'!$E:$E,$C40,'Jounal entries final'!$B:$B,G$16,'Jounal entries final'!$C:$C,$Q$16)</f>
        <v>9582592.2860000003</v>
      </c>
      <c r="H40" s="379">
        <f>SUMIFS('Jounal entries final'!$H:$H,'Jounal entries final'!$E:$E,$C40,'Jounal entries final'!$B:$B,H$16,'Jounal entries final'!$C:$C,$Q$16)</f>
        <v>9481912.6860000007</v>
      </c>
      <c r="I40" s="379">
        <f>SUMIFS('Jounal entries final'!$H:$H,'Jounal entries final'!$E:$E,$C40,'Jounal entries final'!$B:$B,I$16,'Jounal entries final'!$C:$C,$Q$16)</f>
        <v>7875175.425999999</v>
      </c>
      <c r="J40" s="379">
        <f>SUMIFS('Jounal entries final'!$H:$H,'Jounal entries final'!$E:$E,$C40,'Jounal entries final'!$B:$B,J$16,'Jounal entries final'!$C:$C,$Q$16)</f>
        <v>9646932.9979999978</v>
      </c>
      <c r="K40" s="379">
        <f>SUMIFS('Jounal entries final'!$H:$H,'Jounal entries final'!$E:$E,$C40,'Jounal entries final'!$B:$B,K$16,'Jounal entries final'!$C:$C,$Q$16)</f>
        <v>8940122.8619999997</v>
      </c>
      <c r="L40" s="379">
        <f>SUMIFS('Jounal entries final'!$H:$H,'Jounal entries final'!$E:$E,$C40,'Jounal entries final'!$B:$B,L$16,'Jounal entries final'!$C:$C,$Q$16)</f>
        <v>8197676.7179999994</v>
      </c>
      <c r="M40" s="379">
        <f>SUMIFS('Jounal entries final'!$H:$H,'Jounal entries final'!$E:$E,$C40,'Jounal entries final'!$B:$B,M$16,'Jounal entries final'!$C:$C,$Q$16)</f>
        <v>8357251.3279999997</v>
      </c>
      <c r="N40" s="379">
        <f>SUMIFS('Jounal entries final'!$H:$H,'Jounal entries final'!$E:$E,$C40,'Jounal entries final'!$B:$B,N$16,'Jounal entries final'!$C:$C,$Q$16)</f>
        <v>8523529.1520000026</v>
      </c>
      <c r="O40" s="379">
        <f>SUMIFS('Jounal entries final'!$H:$H,'Jounal entries final'!$E:$E,$C40,'Jounal entries final'!$B:$B,O$16,'Jounal entries final'!$C:$C,$Q$16)</f>
        <v>7765783.269999994</v>
      </c>
      <c r="P40" s="114"/>
      <c r="R40" s="236"/>
    </row>
    <row r="41" spans="2:18">
      <c r="B41" s="234"/>
      <c r="C41" s="119" t="s">
        <v>67</v>
      </c>
      <c r="D41" s="379">
        <f>SUMIFS('Jounal entries final'!$H:$H,'Jounal entries final'!$E:$E,$C41,'Jounal entries final'!$B:$B,D$16,'Jounal entries final'!$C:$C,$Q$16)</f>
        <v>1217348.9700000007</v>
      </c>
      <c r="E41" s="379">
        <f>SUMIFS('Jounal entries final'!$H:$H,'Jounal entries final'!$E:$E,$C41,'Jounal entries final'!$B:$B,E$16,'Jounal entries final'!$C:$C,$Q$16)</f>
        <v>965431.99000000011</v>
      </c>
      <c r="F41" s="379">
        <f>SUMIFS('Jounal entries final'!$H:$H,'Jounal entries final'!$E:$E,$C41,'Jounal entries final'!$B:$B,F$16,'Jounal entries final'!$C:$C,$Q$16)</f>
        <v>2687528.7600000016</v>
      </c>
      <c r="G41" s="379">
        <f>SUMIFS('Jounal entries final'!$H:$H,'Jounal entries final'!$E:$E,$C41,'Jounal entries final'!$B:$B,G$16,'Jounal entries final'!$C:$C,$Q$16)</f>
        <v>2926518.75</v>
      </c>
      <c r="H41" s="379">
        <f>SUMIFS('Jounal entries final'!$H:$H,'Jounal entries final'!$E:$E,$C41,'Jounal entries final'!$B:$B,H$16,'Jounal entries final'!$C:$C,$Q$16)</f>
        <v>3287397.4800000004</v>
      </c>
      <c r="I41" s="379">
        <f>SUMIFS('Jounal entries final'!$H:$H,'Jounal entries final'!$E:$E,$C41,'Jounal entries final'!$B:$B,I$16,'Jounal entries final'!$C:$C,$Q$16)</f>
        <v>4631542.08</v>
      </c>
      <c r="J41" s="379">
        <f>SUMIFS('Jounal entries final'!$H:$H,'Jounal entries final'!$E:$E,$C41,'Jounal entries final'!$B:$B,J$16,'Jounal entries final'!$C:$C,$Q$16)</f>
        <v>5088006.3199999984</v>
      </c>
      <c r="K41" s="379">
        <f>SUMIFS('Jounal entries final'!$H:$H,'Jounal entries final'!$E:$E,$C41,'Jounal entries final'!$B:$B,K$16,'Jounal entries final'!$C:$C,$Q$16)</f>
        <v>5147864.5799999982</v>
      </c>
      <c r="L41" s="379">
        <f>SUMIFS('Jounal entries final'!$H:$H,'Jounal entries final'!$E:$E,$C41,'Jounal entries final'!$B:$B,L$16,'Jounal entries final'!$C:$C,$Q$16)</f>
        <v>5851985.1599999992</v>
      </c>
      <c r="M41" s="379">
        <f>SUMIFS('Jounal entries final'!$H:$H,'Jounal entries final'!$E:$E,$C41,'Jounal entries final'!$B:$B,M$16,'Jounal entries final'!$C:$C,$Q$16)</f>
        <v>6384810.0999999987</v>
      </c>
      <c r="N41" s="379">
        <f>SUMIFS('Jounal entries final'!$H:$H,'Jounal entries final'!$E:$E,$C41,'Jounal entries final'!$B:$B,N$16,'Jounal entries final'!$C:$C,$Q$16)</f>
        <v>6198796.2399999984</v>
      </c>
      <c r="O41" s="379">
        <f>SUMIFS('Jounal entries final'!$H:$H,'Jounal entries final'!$E:$E,$C41,'Jounal entries final'!$B:$B,O$16,'Jounal entries final'!$C:$C,$Q$16)</f>
        <v>6970908.2199999988</v>
      </c>
      <c r="P41" s="364">
        <f>SUMIFS('Jounal entries final'!$H:$H,'Jounal entries final'!$E:$E,$C41,'Jounal entries final'!$B:$B,P$16,'Jounal entries final'!$C:$C,$Q$16)</f>
        <v>0</v>
      </c>
      <c r="R41" s="236"/>
    </row>
    <row r="42" spans="2:18" ht="18" customHeight="1">
      <c r="B42" s="252"/>
      <c r="C42" s="119"/>
      <c r="D42" s="124"/>
      <c r="E42" s="124"/>
      <c r="F42" s="124"/>
      <c r="G42" s="124"/>
      <c r="H42" s="124"/>
      <c r="I42" s="124"/>
      <c r="J42" s="124"/>
      <c r="K42" s="124"/>
      <c r="L42" s="124"/>
      <c r="M42" s="124"/>
      <c r="N42" s="124"/>
      <c r="O42" s="124"/>
      <c r="P42" s="364">
        <f>SUMIFS('Jounal entries final'!$H:$H,'Jounal entries final'!$E:$E,$C42,'Jounal entries final'!$B:$B,P$16,'Jounal entries final'!$C:$C,$Q$16)</f>
        <v>0</v>
      </c>
      <c r="R42" s="236"/>
    </row>
    <row r="43" spans="2:18" ht="18">
      <c r="B43" s="234"/>
      <c r="C43" s="380" t="s">
        <v>161</v>
      </c>
      <c r="D43" s="381">
        <f>(D41/SUM(D40))*30</f>
        <v>3.4574436467379317</v>
      </c>
      <c r="E43" s="381">
        <f>(E41/SUM(D40:E40))*60</f>
        <v>2.9574454265189423</v>
      </c>
      <c r="F43" s="381">
        <f>(F41/SUM(D40:F40))*90</f>
        <v>8.6400221933191972</v>
      </c>
      <c r="G43" s="381">
        <f>(G41/SUM(E40:G40))*90</f>
        <v>9.749733152862559</v>
      </c>
      <c r="H43" s="381">
        <f t="shared" ref="H43:N43" si="1">(H41/SUM(F40:H40))*90</f>
        <v>10.769308056263759</v>
      </c>
      <c r="I43" s="381">
        <f t="shared" si="1"/>
        <v>15.473041292314146</v>
      </c>
      <c r="J43" s="381">
        <f t="shared" si="1"/>
        <v>16.957495586848911</v>
      </c>
      <c r="K43" s="381">
        <f t="shared" si="1"/>
        <v>17.508267053999926</v>
      </c>
      <c r="L43" s="381">
        <f t="shared" si="1"/>
        <v>19.663390809157995</v>
      </c>
      <c r="M43" s="381">
        <f t="shared" si="1"/>
        <v>22.538998297104317</v>
      </c>
      <c r="N43" s="381">
        <f t="shared" si="1"/>
        <v>22.245852573598167</v>
      </c>
      <c r="O43" s="381">
        <f>(O41/SUM(M40:O40))*90</f>
        <v>25.455140366169701</v>
      </c>
      <c r="P43" s="364">
        <f>SUMIFS('Jounal entries final'!$H:$H,'Jounal entries final'!$E:$E,$C43,'Jounal entries final'!$B:$B,P$16,'Jounal entries final'!$C:$C,$Q$16)</f>
        <v>0</v>
      </c>
      <c r="R43" s="236"/>
    </row>
    <row r="44" spans="2:18">
      <c r="B44" s="234"/>
      <c r="C44" s="118"/>
      <c r="D44" s="114"/>
      <c r="E44" s="114"/>
      <c r="F44" s="114"/>
      <c r="G44" s="114"/>
      <c r="H44" s="114"/>
      <c r="I44" s="114"/>
      <c r="J44" s="114"/>
      <c r="K44" s="114"/>
      <c r="L44" s="114"/>
      <c r="M44" s="114"/>
      <c r="N44" s="114"/>
      <c r="O44" s="114"/>
      <c r="P44" s="234"/>
      <c r="R44" s="236"/>
    </row>
    <row r="45" spans="2:18" ht="13.25" customHeight="1">
      <c r="B45" s="234"/>
      <c r="C45" s="119"/>
      <c r="D45" s="124"/>
      <c r="E45" s="114"/>
      <c r="F45" s="114"/>
      <c r="G45" s="114"/>
      <c r="H45" s="114"/>
      <c r="I45" s="114"/>
      <c r="J45" s="114"/>
      <c r="K45" s="114"/>
      <c r="L45" s="114"/>
      <c r="M45" s="114"/>
      <c r="N45" s="114"/>
      <c r="O45" s="114"/>
      <c r="P45" s="234"/>
      <c r="R45" s="236"/>
    </row>
    <row r="46" spans="2:18">
      <c r="B46" s="234"/>
      <c r="C46" s="119" t="s">
        <v>188</v>
      </c>
      <c r="D46" s="379">
        <f>-SUMIFS('Jounal entries final'!$H:$H,'Jounal entries final'!$E:$E,$C46,'Jounal entries final'!$B:$B,D$16,'Jounal entries final'!$C:$C,$Q$16)</f>
        <v>21833695</v>
      </c>
      <c r="E46" s="379">
        <f>-SUMIFS('Jounal entries final'!$H:$H,'Jounal entries final'!$E:$E,$C46,'Jounal entries final'!$B:$B,E$16,'Jounal entries final'!$C:$C,$Q$16)</f>
        <v>29646200</v>
      </c>
      <c r="F46" s="379">
        <f>-SUMIFS('Jounal entries final'!$H:$H,'Jounal entries final'!$E:$E,$C46,'Jounal entries final'!$B:$B,F$16,'Jounal entries final'!$C:$C,$Q$16)</f>
        <v>31818810</v>
      </c>
      <c r="G46" s="379">
        <f>-SUMIFS('Jounal entries final'!$H:$H,'Jounal entries final'!$E:$E,$C46,'Jounal entries final'!$B:$B,G$16,'Jounal entries final'!$C:$C,$Q$16)</f>
        <v>33312505</v>
      </c>
      <c r="H46" s="379">
        <f>-SUMIFS('Jounal entries final'!$H:$H,'Jounal entries final'!$E:$E,$C46,'Jounal entries final'!$B:$B,H$16,'Jounal entries final'!$C:$C,$Q$16)</f>
        <v>29079495</v>
      </c>
      <c r="I46" s="379">
        <f>-SUMIFS('Jounal entries final'!$H:$H,'Jounal entries final'!$E:$E,$C46,'Jounal entries final'!$B:$B,I$16,'Jounal entries final'!$C:$C,$Q$16)</f>
        <v>26707000</v>
      </c>
      <c r="J46" s="379">
        <f>-SUMIFS('Jounal entries final'!$H:$H,'Jounal entries final'!$E:$E,$C46,'Jounal entries final'!$B:$B,J$16,'Jounal entries final'!$C:$C,$Q$16)</f>
        <v>32809000</v>
      </c>
      <c r="K46" s="379">
        <f>-SUMIFS('Jounal entries final'!$H:$H,'Jounal entries final'!$E:$E,$C46,'Jounal entries final'!$B:$B,K$16,'Jounal entries final'!$C:$C,$Q$16)</f>
        <v>35846010</v>
      </c>
      <c r="L46" s="379">
        <f>-SUMIFS('Jounal entries final'!$H:$H,'Jounal entries final'!$E:$E,$C46,'Jounal entries final'!$B:$B,L$16,'Jounal entries final'!$C:$C,$Q$16)</f>
        <v>23717265</v>
      </c>
      <c r="M46" s="379">
        <f>-SUMIFS('Jounal entries final'!$H:$H,'Jounal entries final'!$E:$E,$C46,'Jounal entries final'!$B:$B,M$16,'Jounal entries final'!$C:$C,$Q$16)</f>
        <v>30787275</v>
      </c>
      <c r="N46" s="379">
        <f>-SUMIFS('Jounal entries final'!$H:$H,'Jounal entries final'!$E:$E,$C46,'Jounal entries final'!$B:$B,N$16,'Jounal entries final'!$C:$C,$Q$16)</f>
        <v>30693580</v>
      </c>
      <c r="O46" s="379">
        <f>-SUMIFS('Jounal entries final'!$H:$H,'Jounal entries final'!$E:$E,$C46,'Jounal entries final'!$B:$B,O$16,'Jounal entries final'!$C:$C,$Q$16)</f>
        <v>27730960</v>
      </c>
      <c r="P46" s="234"/>
      <c r="R46" s="236"/>
    </row>
    <row r="47" spans="2:18">
      <c r="B47" s="234"/>
      <c r="C47" s="119" t="s">
        <v>143</v>
      </c>
      <c r="D47" s="379">
        <f>SUMIFS('Jounal entries final'!$H:$H,'Jounal entries final'!$E:$E,$C47,'Jounal entries final'!$B:$B,D$16,'Jounal entries final'!$C:$C,$Q$16)</f>
        <v>10562853.030000003</v>
      </c>
      <c r="E47" s="379">
        <f>SUMIFS('Jounal entries final'!$H:$H,'Jounal entries final'!$E:$E,$C47,'Jounal entries final'!$B:$B,E$16,'Jounal entries final'!$C:$C,$Q$16)</f>
        <v>9023618.0780000016</v>
      </c>
      <c r="F47" s="379">
        <f>SUMIFS('Jounal entries final'!$H:$H,'Jounal entries final'!$E:$E,$C47,'Jounal entries final'!$B:$B,F$16,'Jounal entries final'!$C:$C,$Q$16)</f>
        <v>8408548.2319999989</v>
      </c>
      <c r="G47" s="379">
        <f>SUMIFS('Jounal entries final'!$H:$H,'Jounal entries final'!$E:$E,$C47,'Jounal entries final'!$B:$B,G$16,'Jounal entries final'!$C:$C,$Q$16)</f>
        <v>9582592.2860000003</v>
      </c>
      <c r="H47" s="379">
        <f>SUMIFS('Jounal entries final'!$H:$H,'Jounal entries final'!$E:$E,$C47,'Jounal entries final'!$B:$B,H$16,'Jounal entries final'!$C:$C,$Q$16)</f>
        <v>9481912.6860000007</v>
      </c>
      <c r="I47" s="379">
        <f>SUMIFS('Jounal entries final'!$H:$H,'Jounal entries final'!$E:$E,$C47,'Jounal entries final'!$B:$B,I$16,'Jounal entries final'!$C:$C,$Q$16)</f>
        <v>7875175.425999999</v>
      </c>
      <c r="J47" s="379">
        <f>SUMIFS('Jounal entries final'!$H:$H,'Jounal entries final'!$E:$E,$C47,'Jounal entries final'!$B:$B,J$16,'Jounal entries final'!$C:$C,$Q$16)</f>
        <v>9646932.9979999978</v>
      </c>
      <c r="K47" s="379">
        <f>SUMIFS('Jounal entries final'!$H:$H,'Jounal entries final'!$E:$E,$C47,'Jounal entries final'!$B:$B,K$16,'Jounal entries final'!$C:$C,$Q$16)</f>
        <v>8940122.8619999997</v>
      </c>
      <c r="L47" s="379">
        <f>SUMIFS('Jounal entries final'!$H:$H,'Jounal entries final'!$E:$E,$C47,'Jounal entries final'!$B:$B,L$16,'Jounal entries final'!$C:$C,$Q$16)</f>
        <v>8197676.7179999994</v>
      </c>
      <c r="M47" s="379">
        <f>SUMIFS('Jounal entries final'!$H:$H,'Jounal entries final'!$E:$E,$C47,'Jounal entries final'!$B:$B,M$16,'Jounal entries final'!$C:$C,$Q$16)</f>
        <v>8357251.3279999997</v>
      </c>
      <c r="N47" s="379">
        <f>SUMIFS('Jounal entries final'!$H:$H,'Jounal entries final'!$E:$E,$C47,'Jounal entries final'!$B:$B,N$16,'Jounal entries final'!$C:$C,$Q$16)</f>
        <v>8523529.1520000026</v>
      </c>
      <c r="O47" s="379">
        <f>SUMIFS('Jounal entries final'!$H:$H,'Jounal entries final'!$E:$E,$C47,'Jounal entries final'!$B:$B,O$16,'Jounal entries final'!$C:$C,$Q$16)</f>
        <v>7765783.269999994</v>
      </c>
      <c r="P47" s="234"/>
      <c r="R47" s="236"/>
    </row>
    <row r="48" spans="2:18">
      <c r="B48" s="114"/>
      <c r="C48" s="119"/>
      <c r="D48" s="124"/>
      <c r="E48" s="114"/>
      <c r="F48" s="114"/>
      <c r="G48" s="114"/>
      <c r="H48" s="114"/>
      <c r="I48" s="114"/>
      <c r="J48" s="114"/>
      <c r="K48" s="114"/>
      <c r="L48" s="114"/>
      <c r="M48" s="114"/>
      <c r="N48" s="114"/>
      <c r="O48" s="114"/>
      <c r="P48" s="234"/>
      <c r="R48" s="236"/>
    </row>
    <row r="49" spans="2:18" ht="18">
      <c r="B49" s="114"/>
      <c r="C49" s="380" t="s">
        <v>162</v>
      </c>
      <c r="D49" s="381">
        <f>(D46/SUM(D47))*30</f>
        <v>62.010788954430794</v>
      </c>
      <c r="E49" s="381">
        <f>(E46/SUM(D47:E47))*60</f>
        <v>90.816359424412539</v>
      </c>
      <c r="F49" s="381">
        <f t="shared" ref="F49" si="2">(F46/SUM(D47:F47))*90</f>
        <v>102.29294237022663</v>
      </c>
      <c r="G49" s="381">
        <f t="shared" ref="G49:O49" si="3">(G46/SUM(E47:G47))*90</f>
        <v>110.98101948036374</v>
      </c>
      <c r="H49" s="381">
        <f t="shared" si="3"/>
        <v>95.26260261524007</v>
      </c>
      <c r="I49" s="381">
        <f t="shared" si="3"/>
        <v>89.222662054240445</v>
      </c>
      <c r="J49" s="381">
        <f t="shared" si="3"/>
        <v>109.34704827743337</v>
      </c>
      <c r="K49" s="381">
        <f t="shared" si="3"/>
        <v>121.91492339146811</v>
      </c>
      <c r="L49" s="381">
        <f t="shared" si="3"/>
        <v>79.692931179505024</v>
      </c>
      <c r="M49" s="381">
        <f t="shared" si="3"/>
        <v>108.68206382480858</v>
      </c>
      <c r="N49" s="381">
        <f t="shared" si="3"/>
        <v>110.15120181397371</v>
      </c>
      <c r="O49" s="381">
        <f t="shared" si="3"/>
        <v>101.26305741099506</v>
      </c>
      <c r="P49" s="234"/>
      <c r="R49" s="236"/>
    </row>
    <row r="50" spans="2:18">
      <c r="B50" s="234"/>
      <c r="C50" s="118"/>
      <c r="D50" s="129"/>
      <c r="E50" s="129"/>
      <c r="F50" s="129"/>
      <c r="G50" s="129"/>
      <c r="H50" s="129"/>
      <c r="I50" s="129"/>
      <c r="J50" s="129"/>
      <c r="K50" s="129"/>
      <c r="L50" s="129"/>
      <c r="M50" s="129"/>
      <c r="N50" s="129"/>
      <c r="O50" s="129"/>
      <c r="P50" s="234"/>
      <c r="R50" s="236"/>
    </row>
    <row r="51" spans="2:18" ht="18">
      <c r="B51" s="114"/>
      <c r="C51" s="380" t="s">
        <v>264</v>
      </c>
      <c r="D51" s="381">
        <f>(D38+D43)-D49</f>
        <v>-24.188346111943964</v>
      </c>
      <c r="E51" s="381">
        <f t="shared" ref="E51:O51" si="4">(E38+E43)-E49</f>
        <v>-24.688322870772723</v>
      </c>
      <c r="F51" s="381">
        <f t="shared" si="4"/>
        <v>-9.4725355692215629</v>
      </c>
      <c r="G51" s="381">
        <f t="shared" si="4"/>
        <v>-37.193184052666993</v>
      </c>
      <c r="H51" s="381">
        <f t="shared" si="4"/>
        <v>-14.300689828249759</v>
      </c>
      <c r="I51" s="381">
        <f t="shared" si="4"/>
        <v>4.8364564544527155</v>
      </c>
      <c r="J51" s="381">
        <f t="shared" si="4"/>
        <v>-17.009717646629667</v>
      </c>
      <c r="K51" s="381">
        <f t="shared" si="4"/>
        <v>-26.260654653521144</v>
      </c>
      <c r="L51" s="381">
        <f t="shared" si="4"/>
        <v>20.240750151891177</v>
      </c>
      <c r="M51" s="381">
        <f t="shared" si="4"/>
        <v>-17.528482545509974</v>
      </c>
      <c r="N51" s="381">
        <f t="shared" si="4"/>
        <v>-13.65687614435106</v>
      </c>
      <c r="O51" s="381">
        <f t="shared" si="4"/>
        <v>-6.7399016934532199</v>
      </c>
      <c r="P51" s="234"/>
      <c r="R51" s="236"/>
    </row>
    <row r="52" spans="2:18">
      <c r="B52" s="234"/>
      <c r="C52" s="118"/>
      <c r="D52" s="129"/>
      <c r="E52" s="129"/>
      <c r="F52" s="129"/>
      <c r="G52" s="129"/>
      <c r="H52" s="129"/>
      <c r="I52" s="129"/>
      <c r="J52" s="129"/>
      <c r="K52" s="129"/>
      <c r="L52" s="129"/>
      <c r="M52" s="129"/>
      <c r="N52" s="129"/>
      <c r="O52" s="129"/>
      <c r="P52" s="234"/>
      <c r="R52" s="236"/>
    </row>
    <row r="53" spans="2:18">
      <c r="R53" s="236"/>
    </row>
    <row r="54" spans="2:18">
      <c r="R54" s="236"/>
    </row>
    <row r="55" spans="2:18">
      <c r="R55" s="236"/>
    </row>
    <row r="56" spans="2:18">
      <c r="R56" s="236"/>
    </row>
    <row r="57" spans="2:18">
      <c r="R57" s="236"/>
    </row>
    <row r="58" spans="2:18">
      <c r="R58" s="236"/>
    </row>
    <row r="59" spans="2:18">
      <c r="R59" s="236"/>
    </row>
    <row r="60" spans="2:18">
      <c r="R60" s="236"/>
    </row>
    <row r="61" spans="2:18">
      <c r="R61" s="236"/>
    </row>
    <row r="62" spans="2:18">
      <c r="R62" s="236"/>
    </row>
    <row r="63" spans="2:18">
      <c r="R63" s="236"/>
    </row>
    <row r="64" spans="2:18">
      <c r="R64" s="236"/>
    </row>
    <row r="65" spans="18:18">
      <c r="R65" s="236"/>
    </row>
    <row r="66" spans="18:18">
      <c r="R66" s="236"/>
    </row>
    <row r="67" spans="18:18">
      <c r="R67" s="236"/>
    </row>
    <row r="68" spans="18:18">
      <c r="R68" s="236"/>
    </row>
    <row r="69" spans="18:18">
      <c r="R69" s="236"/>
    </row>
    <row r="70" spans="18:18">
      <c r="R70" s="236"/>
    </row>
    <row r="71" spans="18:18">
      <c r="R71" s="236"/>
    </row>
    <row r="72" spans="18:18">
      <c r="R72" s="236"/>
    </row>
    <row r="73" spans="18:18">
      <c r="R73" s="236"/>
    </row>
    <row r="74" spans="18:18">
      <c r="R74" s="236"/>
    </row>
    <row r="75" spans="18:18">
      <c r="R75" s="236"/>
    </row>
    <row r="76" spans="18:18">
      <c r="R76" s="236"/>
    </row>
    <row r="77" spans="18:18">
      <c r="R77" s="236"/>
    </row>
    <row r="78" spans="18:18">
      <c r="R78" s="236"/>
    </row>
    <row r="79" spans="18:18">
      <c r="R79" s="236"/>
    </row>
  </sheetData>
  <mergeCells count="5">
    <mergeCell ref="C24:E24"/>
    <mergeCell ref="T23:V23"/>
    <mergeCell ref="T25:AA29"/>
    <mergeCell ref="L24:Q29"/>
    <mergeCell ref="L23:O23"/>
  </mergeCells>
  <conditionalFormatting sqref="C36">
    <cfRule type="cellIs" dxfId="57" priority="10" operator="lessThan">
      <formula>0</formula>
    </cfRule>
  </conditionalFormatting>
  <conditionalFormatting sqref="C40:C41">
    <cfRule type="cellIs" dxfId="56" priority="9" operator="lessThan">
      <formula>0</formula>
    </cfRule>
  </conditionalFormatting>
  <conditionalFormatting sqref="C46:C47">
    <cfRule type="cellIs" dxfId="55" priority="8" operator="lessThan">
      <formula>0</formula>
    </cfRule>
  </conditionalFormatting>
  <conditionalFormatting sqref="C37:D37">
    <cfRule type="cellIs" dxfId="54" priority="7" operator="lessThan">
      <formula>0</formula>
    </cfRule>
  </conditionalFormatting>
  <conditionalFormatting sqref="C48:D48">
    <cfRule type="cellIs" dxfId="53" priority="6" operator="lessThan">
      <formula>0</formula>
    </cfRule>
  </conditionalFormatting>
  <conditionalFormatting sqref="F25:F26">
    <cfRule type="iconSet" priority="5">
      <iconSet iconSet="3Arrows">
        <cfvo type="percent" val="0"/>
        <cfvo type="num" val="0"/>
        <cfvo type="num" val="9.9999999999999995E-8" gte="0"/>
      </iconSet>
    </cfRule>
  </conditionalFormatting>
  <conditionalFormatting sqref="F29">
    <cfRule type="iconSet" priority="3">
      <iconSet iconSet="3Flags">
        <cfvo type="percent" val="0"/>
        <cfvo type="num" val="0"/>
        <cfvo type="num" val="1.0000000000000001E-17" gte="0"/>
      </iconSet>
    </cfRule>
  </conditionalFormatting>
  <conditionalFormatting sqref="S28:S29">
    <cfRule type="iconSet" priority="1">
      <iconSet iconSet="3Arrows">
        <cfvo type="percent" val="0"/>
        <cfvo type="num" val="0"/>
        <cfvo type="num" val="1E-25" gte="0"/>
      </iconSet>
    </cfRule>
  </conditionalFormatting>
  <hyperlinks>
    <hyperlink ref="D38" location="'Indepth Working Capital'!A1" display="'Indepth Working Capital'!A1" xr:uid="{6479463E-4DE7-4835-8EB2-14B9BE5E6438}"/>
  </hyperlink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4" id="{C0BD5974-FF20-4CB0-B629-AFB615619742}">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F27:F28</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E0080-F89B-439F-9071-F84B6F9D630A}">
  <sheetPr codeName="Sheet37">
    <tabColor theme="4" tint="0.79998168889431442"/>
  </sheetPr>
  <dimension ref="A1:Q78"/>
  <sheetViews>
    <sheetView showGridLines="0" zoomScale="80" zoomScaleNormal="80" workbookViewId="0">
      <selection activeCell="E19" sqref="E19"/>
    </sheetView>
  </sheetViews>
  <sheetFormatPr baseColWidth="10" defaultColWidth="8.83203125" defaultRowHeight="15"/>
  <cols>
    <col min="1" max="1" width="2.83203125" style="236" customWidth="1"/>
    <col min="2" max="2" width="2.1640625" style="236" customWidth="1"/>
    <col min="3" max="3" width="28.5" style="243" customWidth="1"/>
    <col min="4" max="4" width="16.83203125" style="344" bestFit="1" customWidth="1"/>
    <col min="5" max="15" width="16" style="344" bestFit="1" customWidth="1"/>
    <col min="16" max="16" width="1.5" style="236" customWidth="1"/>
    <col min="17" max="17" width="8.83203125" style="236"/>
    <col min="18" max="16384" width="8.83203125" style="114"/>
  </cols>
  <sheetData>
    <row r="1" spans="1:17">
      <c r="A1" s="205"/>
      <c r="B1" s="205"/>
      <c r="C1" s="205"/>
      <c r="D1" s="205"/>
      <c r="E1" s="205"/>
      <c r="F1" s="205"/>
      <c r="G1" s="205"/>
      <c r="H1" s="205"/>
      <c r="I1" s="205"/>
      <c r="J1" s="205"/>
      <c r="K1" s="205"/>
      <c r="L1" s="205"/>
      <c r="M1" s="114"/>
      <c r="N1" s="114"/>
      <c r="O1" s="630"/>
      <c r="P1" s="630"/>
      <c r="Q1" s="114"/>
    </row>
    <row r="2" spans="1:17">
      <c r="A2" s="205"/>
      <c r="B2" s="205"/>
      <c r="C2" s="205"/>
      <c r="D2" s="205"/>
      <c r="E2" s="205"/>
      <c r="F2" s="205"/>
      <c r="G2" s="205"/>
      <c r="H2" s="205"/>
      <c r="I2" s="205"/>
      <c r="J2" s="205"/>
      <c r="K2" s="205"/>
      <c r="L2" s="205"/>
      <c r="M2" s="114"/>
      <c r="N2" s="114"/>
      <c r="O2" s="630"/>
      <c r="P2" s="630"/>
      <c r="Q2" s="114"/>
    </row>
    <row r="3" spans="1:17">
      <c r="A3" s="205"/>
      <c r="B3" s="205"/>
      <c r="C3" s="205"/>
      <c r="D3" s="205"/>
      <c r="E3" s="205"/>
      <c r="F3" s="205"/>
      <c r="G3" s="205"/>
      <c r="H3" s="205"/>
      <c r="I3" s="205"/>
      <c r="J3" s="205"/>
      <c r="K3" s="205"/>
      <c r="L3" s="205"/>
      <c r="M3" s="114"/>
      <c r="N3" s="114"/>
      <c r="O3" s="630"/>
      <c r="P3" s="630"/>
      <c r="Q3" s="114"/>
    </row>
    <row r="4" spans="1:17">
      <c r="A4" s="205"/>
      <c r="B4" s="205"/>
      <c r="C4" s="205"/>
      <c r="D4" s="205"/>
      <c r="E4" s="205"/>
      <c r="F4" s="205"/>
      <c r="G4" s="205"/>
      <c r="H4" s="205"/>
      <c r="I4" s="205"/>
      <c r="J4" s="205"/>
      <c r="K4" s="205"/>
      <c r="L4" s="205"/>
      <c r="M4" s="114"/>
      <c r="N4" s="114"/>
      <c r="O4" s="630"/>
      <c r="P4" s="630"/>
      <c r="Q4" s="114"/>
    </row>
    <row r="5" spans="1:17">
      <c r="A5" s="205"/>
      <c r="B5" s="205"/>
      <c r="C5" s="205"/>
      <c r="D5" s="205"/>
      <c r="E5" s="205"/>
      <c r="F5" s="205"/>
      <c r="G5" s="205"/>
      <c r="H5" s="205"/>
      <c r="I5" s="205"/>
      <c r="J5" s="205"/>
      <c r="K5" s="205"/>
      <c r="L5" s="205"/>
      <c r="M5" s="114"/>
      <c r="N5" s="114"/>
      <c r="O5" s="630"/>
      <c r="P5" s="630"/>
      <c r="Q5" s="114"/>
    </row>
    <row r="6" spans="1:17">
      <c r="A6" s="205"/>
      <c r="B6" s="205"/>
      <c r="C6" s="205"/>
      <c r="D6" s="205"/>
      <c r="E6" s="205"/>
      <c r="F6" s="205"/>
      <c r="G6" s="205"/>
      <c r="H6" s="205"/>
      <c r="I6" s="205"/>
      <c r="J6" s="205"/>
      <c r="K6" s="205"/>
      <c r="L6" s="205"/>
      <c r="M6" s="114"/>
      <c r="N6" s="114"/>
      <c r="O6" s="630"/>
      <c r="P6" s="630"/>
      <c r="Q6" s="114"/>
    </row>
    <row r="7" spans="1:17">
      <c r="A7" s="205"/>
      <c r="B7" s="205"/>
      <c r="C7" s="205"/>
      <c r="D7" s="205"/>
      <c r="E7" s="205"/>
      <c r="F7" s="205"/>
      <c r="G7" s="205"/>
      <c r="H7" s="205"/>
      <c r="I7" s="205"/>
      <c r="J7" s="205"/>
      <c r="K7" s="205"/>
      <c r="L7" s="205"/>
      <c r="M7" s="114"/>
      <c r="N7" s="114"/>
      <c r="O7" s="630"/>
      <c r="P7" s="630"/>
      <c r="Q7" s="114"/>
    </row>
    <row r="8" spans="1:17">
      <c r="A8" s="205"/>
      <c r="B8" s="205"/>
      <c r="C8" s="205"/>
      <c r="D8" s="205"/>
      <c r="E8" s="205"/>
      <c r="F8" s="205"/>
      <c r="G8" s="205"/>
      <c r="H8" s="205"/>
      <c r="I8" s="205"/>
      <c r="J8" s="205"/>
      <c r="K8" s="205"/>
      <c r="L8" s="205"/>
      <c r="M8" s="114"/>
      <c r="N8" s="114"/>
      <c r="O8" s="630"/>
      <c r="P8" s="630"/>
      <c r="Q8" s="114"/>
    </row>
    <row r="9" spans="1:17">
      <c r="A9" s="205"/>
      <c r="B9" s="205"/>
      <c r="C9" s="205"/>
      <c r="D9" s="205"/>
      <c r="E9" s="205"/>
      <c r="F9" s="205"/>
      <c r="G9" s="205"/>
      <c r="H9" s="205"/>
      <c r="I9" s="205"/>
      <c r="J9" s="205"/>
      <c r="K9" s="205"/>
      <c r="L9" s="205"/>
      <c r="M9" s="114"/>
      <c r="N9" s="114"/>
      <c r="O9" s="630"/>
      <c r="P9" s="630"/>
      <c r="Q9" s="114"/>
    </row>
    <row r="10" spans="1:17">
      <c r="A10" s="205"/>
      <c r="B10" s="205"/>
      <c r="C10" s="205"/>
      <c r="D10" s="205"/>
      <c r="E10" s="205"/>
      <c r="F10" s="205"/>
      <c r="G10" s="205"/>
      <c r="H10" s="205"/>
      <c r="I10" s="205"/>
      <c r="J10" s="205"/>
      <c r="K10" s="205"/>
      <c r="L10" s="205"/>
      <c r="M10" s="114"/>
      <c r="N10" s="114"/>
      <c r="O10" s="630"/>
      <c r="P10" s="630"/>
      <c r="Q10" s="114"/>
    </row>
    <row r="11" spans="1:17">
      <c r="A11" s="205"/>
      <c r="B11" s="205"/>
      <c r="C11" s="205"/>
      <c r="D11" s="205"/>
      <c r="E11" s="205"/>
      <c r="F11" s="205"/>
      <c r="G11" s="205"/>
      <c r="H11" s="205"/>
      <c r="I11" s="205"/>
      <c r="J11" s="205"/>
      <c r="K11" s="205"/>
      <c r="L11" s="205"/>
      <c r="M11" s="114"/>
      <c r="N11" s="114"/>
      <c r="O11" s="630"/>
      <c r="P11" s="630"/>
      <c r="Q11" s="114"/>
    </row>
    <row r="12" spans="1:17">
      <c r="A12" s="205"/>
      <c r="B12" s="205"/>
      <c r="C12" s="205"/>
      <c r="D12" s="205"/>
      <c r="E12" s="205"/>
      <c r="F12" s="205"/>
      <c r="G12" s="205"/>
      <c r="H12" s="205"/>
      <c r="I12" s="205"/>
      <c r="J12" s="205"/>
      <c r="K12" s="205"/>
      <c r="L12" s="205"/>
      <c r="M12" s="114"/>
      <c r="N12" s="114"/>
      <c r="O12" s="630"/>
      <c r="P12" s="630"/>
      <c r="Q12" s="114"/>
    </row>
    <row r="13" spans="1:17" s="236" customFormat="1" ht="19">
      <c r="A13" s="121"/>
      <c r="B13" s="121"/>
      <c r="C13" s="121"/>
      <c r="D13" s="205"/>
      <c r="E13" s="205"/>
      <c r="F13" s="205"/>
      <c r="G13" s="205"/>
      <c r="H13" s="205"/>
      <c r="I13" s="342" t="s">
        <v>258</v>
      </c>
      <c r="J13" s="342" t="s">
        <v>256</v>
      </c>
      <c r="K13" s="342" t="s">
        <v>259</v>
      </c>
      <c r="L13" s="342" t="s">
        <v>257</v>
      </c>
      <c r="M13" s="114"/>
      <c r="N13" s="114"/>
      <c r="O13" s="630"/>
      <c r="P13" s="630"/>
    </row>
    <row r="14" spans="1:17" s="236" customFormat="1" ht="16" thickBot="1">
      <c r="A14" s="205"/>
      <c r="B14" s="205"/>
      <c r="C14" s="205"/>
      <c r="D14" s="205"/>
      <c r="E14" s="205"/>
      <c r="F14" s="205"/>
      <c r="G14" s="343"/>
      <c r="H14" s="205"/>
      <c r="I14" s="205"/>
      <c r="J14" s="205"/>
      <c r="K14" s="205"/>
      <c r="L14" s="205"/>
      <c r="M14" s="114"/>
      <c r="N14" s="114"/>
      <c r="O14" s="630"/>
      <c r="P14" s="630"/>
    </row>
    <row r="15" spans="1:17" ht="19" hidden="1">
      <c r="A15" s="114"/>
      <c r="B15" s="114"/>
      <c r="C15" s="118"/>
      <c r="D15" s="121"/>
      <c r="E15" s="121"/>
      <c r="F15" s="121"/>
      <c r="G15" s="205"/>
      <c r="H15" s="205"/>
      <c r="I15" s="205"/>
      <c r="J15" s="205"/>
      <c r="K15" s="205"/>
      <c r="L15" s="342" t="s">
        <v>258</v>
      </c>
      <c r="M15" s="342" t="s">
        <v>256</v>
      </c>
      <c r="N15" s="342" t="s">
        <v>259</v>
      </c>
      <c r="O15" s="342" t="s">
        <v>257</v>
      </c>
      <c r="P15" s="114"/>
      <c r="Q15" s="114"/>
    </row>
    <row r="16" spans="1:17" ht="16" hidden="1" thickBot="1">
      <c r="A16" s="114"/>
      <c r="B16" s="114"/>
      <c r="C16" s="114"/>
      <c r="D16" s="205"/>
      <c r="E16" s="205"/>
      <c r="F16" s="205"/>
      <c r="G16" s="205"/>
      <c r="H16" s="205"/>
      <c r="I16" s="205"/>
      <c r="J16" s="343"/>
      <c r="K16" s="205"/>
      <c r="L16" s="205"/>
      <c r="M16" s="205"/>
      <c r="N16" s="205"/>
      <c r="O16" s="205"/>
      <c r="P16" s="114"/>
      <c r="Q16" s="114"/>
    </row>
    <row r="17" spans="1:17" s="287" customFormat="1" ht="26.5" hidden="1" customHeight="1" thickBot="1">
      <c r="C17" s="281" t="s">
        <v>174</v>
      </c>
      <c r="D17" s="285">
        <v>1</v>
      </c>
      <c r="E17" s="285">
        <v>2</v>
      </c>
      <c r="F17" s="285">
        <v>3</v>
      </c>
      <c r="G17" s="285">
        <v>4</v>
      </c>
      <c r="H17" s="285">
        <v>5</v>
      </c>
      <c r="I17" s="285">
        <v>6</v>
      </c>
      <c r="J17" s="285">
        <v>7</v>
      </c>
      <c r="K17" s="285">
        <v>8</v>
      </c>
      <c r="L17" s="285">
        <v>9</v>
      </c>
      <c r="M17" s="285">
        <v>10</v>
      </c>
      <c r="N17" s="285">
        <v>11</v>
      </c>
      <c r="O17" s="285">
        <v>12</v>
      </c>
      <c r="Q17" s="285">
        <v>2022</v>
      </c>
    </row>
    <row r="18" spans="1:17" ht="16" thickBot="1">
      <c r="A18" s="114"/>
      <c r="B18" s="114"/>
      <c r="C18" s="118"/>
      <c r="D18" s="656"/>
      <c r="E18" s="205"/>
      <c r="F18" s="205"/>
      <c r="G18" s="205"/>
      <c r="H18" s="205"/>
      <c r="I18" s="205"/>
      <c r="J18" s="205"/>
      <c r="K18" s="205"/>
      <c r="L18" s="205"/>
      <c r="M18" s="205"/>
      <c r="N18" s="205"/>
      <c r="O18" s="205"/>
      <c r="P18" s="114"/>
      <c r="Q18" s="114"/>
    </row>
    <row r="19" spans="1:17" ht="42" customHeight="1" thickBot="1">
      <c r="D19" s="657" t="s">
        <v>160</v>
      </c>
      <c r="E19" s="658" t="s">
        <v>161</v>
      </c>
      <c r="F19" s="658" t="s">
        <v>162</v>
      </c>
    </row>
    <row r="21" spans="1:17" ht="16" thickBot="1">
      <c r="B21" s="243"/>
      <c r="D21" s="243"/>
      <c r="E21" s="243"/>
      <c r="F21" s="243"/>
      <c r="G21" s="243"/>
      <c r="H21" s="243"/>
      <c r="I21" s="243"/>
      <c r="J21" s="243"/>
      <c r="K21" s="243"/>
      <c r="L21" s="243"/>
      <c r="M21" s="243"/>
      <c r="N21" s="243"/>
      <c r="O21" s="243"/>
      <c r="P21" s="243"/>
    </row>
    <row r="22" spans="1:17" s="204" customFormat="1" ht="23" thickBot="1">
      <c r="A22" s="244"/>
      <c r="B22" s="243"/>
      <c r="C22" s="281" t="s">
        <v>174</v>
      </c>
      <c r="D22" s="284" t="s">
        <v>21</v>
      </c>
      <c r="E22" s="283">
        <v>2022</v>
      </c>
      <c r="F22" s="244"/>
      <c r="G22" s="244"/>
      <c r="H22" s="244"/>
      <c r="I22" s="244"/>
      <c r="J22" s="244"/>
      <c r="K22" s="244"/>
      <c r="L22" s="244"/>
      <c r="M22" s="244"/>
      <c r="N22" s="244"/>
      <c r="O22" s="244"/>
      <c r="P22" s="244"/>
      <c r="Q22" s="244"/>
    </row>
    <row r="23" spans="1:17" ht="33.5" customHeight="1"/>
    <row r="24" spans="1:17" ht="21" customHeight="1">
      <c r="B24" s="234"/>
      <c r="C24" s="251"/>
      <c r="D24" s="234"/>
      <c r="E24" s="234"/>
      <c r="F24" s="234"/>
    </row>
    <row r="25" spans="1:17" ht="21" customHeight="1">
      <c r="B25" s="252"/>
      <c r="C25" s="719" t="s">
        <v>266</v>
      </c>
      <c r="D25" s="719"/>
      <c r="E25" s="719"/>
      <c r="F25" s="234"/>
    </row>
    <row r="26" spans="1:17" ht="34">
      <c r="B26" s="234"/>
      <c r="C26" s="275">
        <f>INDEX(D44:O44,MATCH(D22,D40:O40,0))</f>
        <v>70.192604730726558</v>
      </c>
      <c r="D26" s="278"/>
      <c r="E26" s="258"/>
      <c r="F26" s="234"/>
    </row>
    <row r="27" spans="1:17" ht="15" customHeight="1" thickBot="1">
      <c r="B27" s="234"/>
      <c r="C27" s="384" t="s">
        <v>268</v>
      </c>
      <c r="D27" s="277"/>
      <c r="E27" s="277"/>
      <c r="F27" s="234"/>
    </row>
    <row r="28" spans="1:17" ht="18" customHeight="1">
      <c r="B28" s="234"/>
      <c r="C28" s="720" t="s">
        <v>269</v>
      </c>
      <c r="D28" s="721"/>
      <c r="E28" s="721"/>
      <c r="F28" s="722"/>
    </row>
    <row r="29" spans="1:17" ht="18" customHeight="1">
      <c r="B29" s="234"/>
      <c r="C29" s="723"/>
      <c r="D29" s="724"/>
      <c r="E29" s="724"/>
      <c r="F29" s="725"/>
    </row>
    <row r="30" spans="1:17">
      <c r="B30" s="234"/>
      <c r="C30" s="723"/>
      <c r="D30" s="724"/>
      <c r="E30" s="724"/>
      <c r="F30" s="725"/>
    </row>
    <row r="31" spans="1:17">
      <c r="B31" s="234"/>
      <c r="C31" s="723"/>
      <c r="D31" s="724"/>
      <c r="E31" s="724"/>
      <c r="F31" s="725"/>
    </row>
    <row r="32" spans="1:17">
      <c r="B32" s="114"/>
      <c r="C32" s="723"/>
      <c r="D32" s="724"/>
      <c r="E32" s="724"/>
      <c r="F32" s="725"/>
    </row>
    <row r="33" spans="1:16" ht="32.5" customHeight="1">
      <c r="B33" s="114"/>
      <c r="C33" s="723"/>
      <c r="D33" s="724"/>
      <c r="E33" s="724"/>
      <c r="F33" s="725"/>
    </row>
    <row r="34" spans="1:16" ht="75.5" customHeight="1" thickBot="1">
      <c r="B34" s="114"/>
      <c r="C34" s="726"/>
      <c r="D34" s="727"/>
      <c r="E34" s="727"/>
      <c r="F34" s="728"/>
    </row>
    <row r="39" spans="1:16" ht="25">
      <c r="B39" s="252"/>
      <c r="C39" s="366" t="s">
        <v>265</v>
      </c>
      <c r="D39" s="367"/>
      <c r="E39" s="367"/>
      <c r="F39" s="367"/>
      <c r="G39" s="367"/>
      <c r="H39" s="367"/>
      <c r="I39" s="367"/>
      <c r="J39" s="367"/>
      <c r="K39" s="367"/>
      <c r="L39" s="367"/>
      <c r="M39" s="367"/>
      <c r="N39" s="367"/>
      <c r="O39" s="368"/>
      <c r="P39" s="234"/>
    </row>
    <row r="40" spans="1:16">
      <c r="B40" s="234"/>
      <c r="C40" s="369"/>
      <c r="D40" s="370" t="s">
        <v>17</v>
      </c>
      <c r="E40" s="370" t="s">
        <v>18</v>
      </c>
      <c r="F40" s="370" t="s">
        <v>19</v>
      </c>
      <c r="G40" s="370" t="s">
        <v>20</v>
      </c>
      <c r="H40" s="370" t="s">
        <v>21</v>
      </c>
      <c r="I40" s="370" t="s">
        <v>22</v>
      </c>
      <c r="J40" s="370" t="s">
        <v>23</v>
      </c>
      <c r="K40" s="370" t="s">
        <v>24</v>
      </c>
      <c r="L40" s="370" t="s">
        <v>25</v>
      </c>
      <c r="M40" s="370" t="s">
        <v>26</v>
      </c>
      <c r="N40" s="370" t="s">
        <v>27</v>
      </c>
      <c r="O40" s="370" t="s">
        <v>28</v>
      </c>
      <c r="P40" s="362"/>
    </row>
    <row r="41" spans="1:16">
      <c r="B41" s="234"/>
      <c r="C41" s="119" t="s">
        <v>98</v>
      </c>
      <c r="D41" s="379">
        <f>-SUMIFS('Jounal entries final'!$H:$H,'Jounal entries final'!$E:$E,$C41,'Jounal entries final'!$B:$B,D$17,'Jounal entries final'!$C:$C,$Q$17)</f>
        <v>13745707</v>
      </c>
      <c r="E41" s="379">
        <f>-SUMIFS('Jounal entries final'!$H:$H,'Jounal entries final'!$E:$E,$C41,'Jounal entries final'!$B:$B,E$17,'Jounal entries final'!$C:$C,$Q$17)</f>
        <v>12726467</v>
      </c>
      <c r="F41" s="379">
        <f>-SUMIFS('Jounal entries final'!$H:$H,'Jounal entries final'!$E:$E,$C41,'Jounal entries final'!$B:$B,F$17,'Jounal entries final'!$C:$C,$Q$17)</f>
        <v>10796660</v>
      </c>
      <c r="G41" s="379">
        <f>-SUMIFS('Jounal entries final'!$H:$H,'Jounal entries final'!$E:$E,$C41,'Jounal entries final'!$B:$B,G$17,'Jounal entries final'!$C:$C,$Q$17)</f>
        <v>12478398</v>
      </c>
      <c r="H41" s="379">
        <f>-SUMIFS('Jounal entries final'!$H:$H,'Jounal entries final'!$E:$E,$C41,'Jounal entries final'!$B:$B,H$17,'Jounal entries final'!$C:$C,$Q$17)</f>
        <v>11877090</v>
      </c>
      <c r="I41" s="379">
        <f>-SUMIFS('Jounal entries final'!$H:$H,'Jounal entries final'!$E:$E,$C41,'Jounal entries final'!$B:$B,I$17,'Jounal entries final'!$C:$C,$Q$17)</f>
        <v>12577816</v>
      </c>
      <c r="J41" s="379">
        <f>-SUMIFS('Jounal entries final'!$H:$H,'Jounal entries final'!$E:$E,$C41,'Jounal entries final'!$B:$B,J$17,'Jounal entries final'!$C:$C,$Q$17)</f>
        <v>13117891</v>
      </c>
      <c r="K41" s="379">
        <f>-SUMIFS('Jounal entries final'!$H:$H,'Jounal entries final'!$E:$E,$C41,'Jounal entries final'!$B:$B,K$17,'Jounal entries final'!$C:$C,$Q$17)</f>
        <v>11066732</v>
      </c>
      <c r="L41" s="379">
        <f>-SUMIFS('Jounal entries final'!$H:$H,'Jounal entries final'!$E:$E,$C41,'Jounal entries final'!$B:$B,L$17,'Jounal entries final'!$C:$C,$Q$17)</f>
        <v>11487586</v>
      </c>
      <c r="M41" s="379">
        <f>-SUMIFS('Jounal entries final'!$H:$H,'Jounal entries final'!$E:$E,$C41,'Jounal entries final'!$B:$B,M$17,'Jounal entries final'!$C:$C,$Q$17)</f>
        <v>11353191</v>
      </c>
      <c r="N41" s="379">
        <f>-SUMIFS('Jounal entries final'!$H:$H,'Jounal entries final'!$E:$E,$C41,'Jounal entries final'!$B:$B,N$17,'Jounal entries final'!$C:$C,$Q$17)</f>
        <v>11279738</v>
      </c>
      <c r="O41" s="379">
        <f>-SUMIFS('Jounal entries final'!$H:$H,'Jounal entries final'!$E:$E,$C41,'Jounal entries final'!$B:$B,O$17,'Jounal entries final'!$C:$C,$Q$17)</f>
        <v>10797568</v>
      </c>
      <c r="P41" s="114"/>
    </row>
    <row r="42" spans="1:16">
      <c r="B42" s="234"/>
      <c r="C42" s="119" t="s">
        <v>187</v>
      </c>
      <c r="D42" s="379">
        <f>SUMIFS('Jounal entries final'!$H:$H,'Jounal entries final'!$E:$E,$C42,'Jounal entries final'!$B:$B,D$17,'Jounal entries final'!$C:$C,$Q$17)</f>
        <v>15745707</v>
      </c>
      <c r="E42" s="379">
        <f>SUMIFS('Jounal entries final'!$H:$H,'Jounal entries final'!$E:$E,$C42,'Jounal entries final'!$B:$B,E$17,'Jounal entries final'!$C:$C,$Q$17)</f>
        <v>27871048</v>
      </c>
      <c r="F42" s="379">
        <f>SUMIFS('Jounal entries final'!$H:$H,'Jounal entries final'!$E:$E,$C42,'Jounal entries final'!$B:$B,F$17,'Jounal entries final'!$C:$C,$Q$17)</f>
        <v>34858942</v>
      </c>
      <c r="G42" s="379">
        <f>SUMIFS('Jounal entries final'!$H:$H,'Jounal entries final'!$E:$E,$C42,'Jounal entries final'!$B:$B,G$17,'Jounal entries final'!$C:$C,$Q$17)</f>
        <v>25616326</v>
      </c>
      <c r="H42" s="379">
        <f>SUMIFS('Jounal entries final'!$H:$H,'Jounal entries final'!$E:$E,$C42,'Jounal entries final'!$B:$B,H$17,'Jounal entries final'!$C:$C,$Q$17)</f>
        <v>27415787</v>
      </c>
      <c r="I42" s="379">
        <f>SUMIFS('Jounal entries final'!$H:$H,'Jounal entries final'!$E:$E,$C42,'Jounal entries final'!$B:$B,I$17,'Jounal entries final'!$C:$C,$Q$17)</f>
        <v>32249372</v>
      </c>
      <c r="J42" s="379">
        <f>SUMIFS('Jounal entries final'!$H:$H,'Jounal entries final'!$E:$E,$C42,'Jounal entries final'!$B:$B,J$17,'Jounal entries final'!$C:$C,$Q$17)</f>
        <v>31469236</v>
      </c>
      <c r="K42" s="379">
        <f>SUMIFS('Jounal entries final'!$H:$H,'Jounal entries final'!$E:$E,$C42,'Jounal entries final'!$B:$B,K$17,'Jounal entries final'!$C:$C,$Q$17)</f>
        <v>31920418</v>
      </c>
      <c r="L42" s="379">
        <f>SUMIFS('Jounal entries final'!$H:$H,'Jounal entries final'!$E:$E,$C42,'Jounal entries final'!$B:$B,L$17,'Jounal entries final'!$C:$C,$Q$17)</f>
        <v>31815762</v>
      </c>
      <c r="M42" s="379">
        <f>SUMIFS('Jounal entries final'!$H:$H,'Jounal entries final'!$E:$E,$C42,'Jounal entries final'!$B:$B,M$17,'Jounal entries final'!$C:$C,$Q$17)</f>
        <v>25850551</v>
      </c>
      <c r="N42" s="379">
        <f>SUMIFS('Jounal entries final'!$H:$H,'Jounal entries final'!$E:$E,$C42,'Jounal entries final'!$B:$B,N$17,'Jounal entries final'!$C:$C,$Q$17)</f>
        <v>28148846</v>
      </c>
      <c r="O42" s="379">
        <f>SUMIFS('Jounal entries final'!$H:$H,'Jounal entries final'!$E:$E,$C42,'Jounal entries final'!$B:$B,O$17,'Jounal entries final'!$C:$C,$Q$17)</f>
        <v>25655312</v>
      </c>
      <c r="P42" s="114"/>
    </row>
    <row r="43" spans="1:16">
      <c r="B43" s="234"/>
      <c r="C43" s="119"/>
      <c r="D43" s="124"/>
      <c r="E43" s="114"/>
      <c r="F43" s="114"/>
      <c r="G43" s="114"/>
      <c r="H43" s="114"/>
      <c r="I43" s="114"/>
      <c r="J43" s="114"/>
      <c r="K43" s="114"/>
      <c r="L43" s="114"/>
      <c r="M43" s="114"/>
      <c r="N43" s="114"/>
      <c r="O43" s="114"/>
      <c r="P43" s="114"/>
    </row>
    <row r="44" spans="1:16" ht="18">
      <c r="B44" s="234"/>
      <c r="C44" s="380" t="s">
        <v>160</v>
      </c>
      <c r="D44" s="381">
        <f>(D42/SUM(D41))*30</f>
        <v>34.364999195748901</v>
      </c>
      <c r="E44" s="381">
        <f>(E42/SUM(D41:E41))*60</f>
        <v>63.170591127120879</v>
      </c>
      <c r="F44" s="381">
        <f>(F42/SUM(D41:F41))*90</f>
        <v>84.180384607685866</v>
      </c>
      <c r="G44" s="381">
        <f t="shared" ref="G44:N44" si="0">(G42/SUM(E41:G41))*90</f>
        <v>64.038102274834188</v>
      </c>
      <c r="H44" s="381">
        <f t="shared" si="0"/>
        <v>70.192604730726558</v>
      </c>
      <c r="I44" s="381">
        <f t="shared" si="0"/>
        <v>78.58607721637901</v>
      </c>
      <c r="J44" s="381">
        <f t="shared" si="0"/>
        <v>75.379835043954799</v>
      </c>
      <c r="K44" s="381">
        <f t="shared" si="0"/>
        <v>78.146001683947034</v>
      </c>
      <c r="L44" s="381">
        <f t="shared" si="0"/>
        <v>80.270290522238199</v>
      </c>
      <c r="M44" s="381">
        <f t="shared" si="0"/>
        <v>68.614582982194293</v>
      </c>
      <c r="N44" s="381">
        <f t="shared" si="0"/>
        <v>74.248473096024483</v>
      </c>
      <c r="O44" s="381">
        <f>(O42/SUM(M41:O41))*90</f>
        <v>69.068015351372139</v>
      </c>
      <c r="P44" s="114"/>
    </row>
    <row r="45" spans="1:16">
      <c r="B45" s="114"/>
      <c r="C45" s="119"/>
      <c r="D45" s="124"/>
      <c r="E45" s="114"/>
      <c r="F45" s="114"/>
      <c r="G45" s="114"/>
      <c r="H45" s="114"/>
      <c r="I45" s="114"/>
      <c r="J45" s="114"/>
      <c r="K45" s="114"/>
      <c r="L45" s="114"/>
      <c r="M45" s="114"/>
      <c r="N45" s="114"/>
      <c r="O45" s="114"/>
      <c r="P45" s="114"/>
    </row>
    <row r="46" spans="1:16" ht="15.5" customHeight="1">
      <c r="A46" s="819" t="s">
        <v>267</v>
      </c>
      <c r="B46" s="114"/>
      <c r="C46" s="118" t="s">
        <v>39</v>
      </c>
      <c r="D46" s="379">
        <f>-SUMIFS('Jounal entries final'!$H:$H,'Jounal entries final'!$E:$E,$C$41,'Jounal entries final'!$M:$M,$C46,'Jounal entries final'!$B:$B,D$17,'Jounal entries final'!$C:$C,$Q$17)</f>
        <v>4248900</v>
      </c>
      <c r="E46" s="379">
        <f>-SUMIFS('Jounal entries final'!$H:$H,'Jounal entries final'!$E:$E,$C$41,'Jounal entries final'!$M:$M,$C46,'Jounal entries final'!$B:$B,E$17,'Jounal entries final'!$C:$C,$Q$17)</f>
        <v>2424273</v>
      </c>
      <c r="F46" s="379">
        <f>-SUMIFS('Jounal entries final'!$H:$H,'Jounal entries final'!$E:$E,$C$41,'Jounal entries final'!$M:$M,$C46,'Jounal entries final'!$B:$B,F$17,'Jounal entries final'!$C:$C,$Q$17)</f>
        <v>3772578</v>
      </c>
      <c r="G46" s="379">
        <f>-SUMIFS('Jounal entries final'!$H:$H,'Jounal entries final'!$E:$E,$C$41,'Jounal entries final'!$M:$M,$C46,'Jounal entries final'!$B:$B,G$17,'Jounal entries final'!$C:$C,$Q$17)</f>
        <v>2832624</v>
      </c>
      <c r="H46" s="379">
        <f>-SUMIFS('Jounal entries final'!$H:$H,'Jounal entries final'!$E:$E,$C$41,'Jounal entries final'!$M:$M,$C46,'Jounal entries final'!$B:$B,H$17,'Jounal entries final'!$C:$C,$Q$17)</f>
        <v>3776886</v>
      </c>
      <c r="I46" s="379">
        <f>-SUMIFS('Jounal entries final'!$H:$H,'Jounal entries final'!$E:$E,$C$41,'Jounal entries final'!$M:$M,$C46,'Jounal entries final'!$B:$B,I$17,'Jounal entries final'!$C:$C,$Q$17)</f>
        <v>3504204</v>
      </c>
      <c r="J46" s="379">
        <f>-SUMIFS('Jounal entries final'!$H:$H,'Jounal entries final'!$E:$E,$C$41,'Jounal entries final'!$M:$M,$C46,'Jounal entries final'!$B:$B,J$17,'Jounal entries final'!$C:$C,$Q$17)</f>
        <v>3161070</v>
      </c>
      <c r="K46" s="379">
        <f>-SUMIFS('Jounal entries final'!$H:$H,'Jounal entries final'!$E:$E,$C$41,'Jounal entries final'!$M:$M,$C46,'Jounal entries final'!$B:$B,K$17,'Jounal entries final'!$C:$C,$Q$17)</f>
        <v>1654350</v>
      </c>
      <c r="L46" s="379">
        <f>-SUMIFS('Jounal entries final'!$H:$H,'Jounal entries final'!$E:$E,$C$41,'Jounal entries final'!$M:$M,$C46,'Jounal entries final'!$B:$B,L$17,'Jounal entries final'!$C:$C,$Q$17)</f>
        <v>2098719</v>
      </c>
      <c r="M46" s="379">
        <f>-SUMIFS('Jounal entries final'!$H:$H,'Jounal entries final'!$E:$E,$C$41,'Jounal entries final'!$M:$M,$C46,'Jounal entries final'!$B:$B,M$17,'Jounal entries final'!$C:$C,$Q$17)</f>
        <v>2665260</v>
      </c>
      <c r="N46" s="379">
        <f>-SUMIFS('Jounal entries final'!$H:$H,'Jounal entries final'!$E:$E,$C$41,'Jounal entries final'!$M:$M,$C46,'Jounal entries final'!$B:$B,N$17,'Jounal entries final'!$C:$C,$Q$17)</f>
        <v>3494754</v>
      </c>
      <c r="O46" s="379">
        <f>-SUMIFS('Jounal entries final'!$H:$H,'Jounal entries final'!$E:$E,$C$41,'Jounal entries final'!$M:$M,$C46,'Jounal entries final'!$B:$B,O$17,'Jounal entries final'!$C:$C,$Q$17)</f>
        <v>2085210</v>
      </c>
      <c r="P46" s="114"/>
    </row>
    <row r="47" spans="1:16">
      <c r="A47" s="819"/>
      <c r="B47" s="234"/>
      <c r="C47" s="118" t="s">
        <v>31</v>
      </c>
      <c r="D47" s="379">
        <f>-SUMIFS('Jounal entries final'!$H:$H,'Jounal entries final'!$E:$E,$C$41,'Jounal entries final'!$M:$M,$C47,'Jounal entries final'!$B:$B,D$17,'Jounal entries final'!$C:$C,$Q$17)</f>
        <v>872984</v>
      </c>
      <c r="E47" s="379">
        <f>-SUMIFS('Jounal entries final'!$H:$H,'Jounal entries final'!$E:$E,$C$41,'Jounal entries final'!$M:$M,$C47,'Jounal entries final'!$B:$B,E$17,'Jounal entries final'!$C:$C,$Q$17)</f>
        <v>1025715</v>
      </c>
      <c r="F47" s="379">
        <f>-SUMIFS('Jounal entries final'!$H:$H,'Jounal entries final'!$E:$E,$C$41,'Jounal entries final'!$M:$M,$C47,'Jounal entries final'!$B:$B,F$17,'Jounal entries final'!$C:$C,$Q$17)</f>
        <v>1050962</v>
      </c>
      <c r="G47" s="379">
        <f>-SUMIFS('Jounal entries final'!$H:$H,'Jounal entries final'!$E:$E,$C$41,'Jounal entries final'!$M:$M,$C47,'Jounal entries final'!$B:$B,G$17,'Jounal entries final'!$C:$C,$Q$17)</f>
        <v>1429818</v>
      </c>
      <c r="H47" s="379">
        <f>-SUMIFS('Jounal entries final'!$H:$H,'Jounal entries final'!$E:$E,$C$41,'Jounal entries final'!$M:$M,$C47,'Jounal entries final'!$B:$B,H$17,'Jounal entries final'!$C:$C,$Q$17)</f>
        <v>902070</v>
      </c>
      <c r="I47" s="379">
        <f>-SUMIFS('Jounal entries final'!$H:$H,'Jounal entries final'!$E:$E,$C$41,'Jounal entries final'!$M:$M,$C47,'Jounal entries final'!$B:$B,I$17,'Jounal entries final'!$C:$C,$Q$17)</f>
        <v>515645</v>
      </c>
      <c r="J47" s="379">
        <f>-SUMIFS('Jounal entries final'!$H:$H,'Jounal entries final'!$E:$E,$C$41,'Jounal entries final'!$M:$M,$C47,'Jounal entries final'!$B:$B,J$17,'Jounal entries final'!$C:$C,$Q$17)</f>
        <v>1019031</v>
      </c>
      <c r="K47" s="379">
        <f>-SUMIFS('Jounal entries final'!$H:$H,'Jounal entries final'!$E:$E,$C$41,'Jounal entries final'!$M:$M,$C47,'Jounal entries final'!$B:$B,K$17,'Jounal entries final'!$C:$C,$Q$17)</f>
        <v>1355424</v>
      </c>
      <c r="L47" s="379">
        <f>-SUMIFS('Jounal entries final'!$H:$H,'Jounal entries final'!$E:$E,$C$41,'Jounal entries final'!$M:$M,$C47,'Jounal entries final'!$B:$B,L$17,'Jounal entries final'!$C:$C,$Q$17)</f>
        <v>1397760</v>
      </c>
      <c r="M47" s="379">
        <f>-SUMIFS('Jounal entries final'!$H:$H,'Jounal entries final'!$E:$E,$C$41,'Jounal entries final'!$M:$M,$C47,'Jounal entries final'!$B:$B,M$17,'Jounal entries final'!$C:$C,$Q$17)</f>
        <v>425961</v>
      </c>
      <c r="N47" s="379">
        <f>-SUMIFS('Jounal entries final'!$H:$H,'Jounal entries final'!$E:$E,$C$41,'Jounal entries final'!$M:$M,$C47,'Jounal entries final'!$B:$B,N$17,'Jounal entries final'!$C:$C,$Q$17)</f>
        <v>761550</v>
      </c>
      <c r="O47" s="379">
        <f>-SUMIFS('Jounal entries final'!$H:$H,'Jounal entries final'!$E:$E,$C$41,'Jounal entries final'!$M:$M,$C47,'Jounal entries final'!$B:$B,O$17,'Jounal entries final'!$C:$C,$Q$17)</f>
        <v>457200</v>
      </c>
      <c r="P47" s="364">
        <f>SUMIFS('Jounal entries final'!$H:$H,'Jounal entries final'!$E:$E,$C47,'Jounal entries final'!$B:$B,P$17,'Jounal entries final'!$C:$C,$Q$17)</f>
        <v>0</v>
      </c>
    </row>
    <row r="48" spans="1:16" ht="18" customHeight="1">
      <c r="A48" s="819"/>
      <c r="B48" s="252"/>
      <c r="C48" s="118" t="s">
        <v>40</v>
      </c>
      <c r="D48" s="379">
        <f>-SUMIFS('Jounal entries final'!$H:$H,'Jounal entries final'!$E:$E,$C$41,'Jounal entries final'!$M:$M,$C48,'Jounal entries final'!$B:$B,D$17,'Jounal entries final'!$C:$C,$Q$17)</f>
        <v>601126</v>
      </c>
      <c r="E48" s="379">
        <f>-SUMIFS('Jounal entries final'!$H:$H,'Jounal entries final'!$E:$E,$C$41,'Jounal entries final'!$M:$M,$C48,'Jounal entries final'!$B:$B,E$17,'Jounal entries final'!$C:$C,$Q$17)</f>
        <v>273400</v>
      </c>
      <c r="F48" s="379">
        <f>-SUMIFS('Jounal entries final'!$H:$H,'Jounal entries final'!$E:$E,$C$41,'Jounal entries final'!$M:$M,$C48,'Jounal entries final'!$B:$B,F$17,'Jounal entries final'!$C:$C,$Q$17)</f>
        <v>1217721</v>
      </c>
      <c r="G48" s="379">
        <f>-SUMIFS('Jounal entries final'!$H:$H,'Jounal entries final'!$E:$E,$C$41,'Jounal entries final'!$M:$M,$C48,'Jounal entries final'!$B:$B,G$17,'Jounal entries final'!$C:$C,$Q$17)</f>
        <v>1466607</v>
      </c>
      <c r="H48" s="379">
        <f>-SUMIFS('Jounal entries final'!$H:$H,'Jounal entries final'!$E:$E,$C$41,'Jounal entries final'!$M:$M,$C48,'Jounal entries final'!$B:$B,H$17,'Jounal entries final'!$C:$C,$Q$17)</f>
        <v>173788</v>
      </c>
      <c r="I48" s="379">
        <f>-SUMIFS('Jounal entries final'!$H:$H,'Jounal entries final'!$E:$E,$C$41,'Jounal entries final'!$M:$M,$C48,'Jounal entries final'!$B:$B,I$17,'Jounal entries final'!$C:$C,$Q$17)</f>
        <v>1584380</v>
      </c>
      <c r="J48" s="379">
        <f>-SUMIFS('Jounal entries final'!$H:$H,'Jounal entries final'!$E:$E,$C$41,'Jounal entries final'!$M:$M,$C48,'Jounal entries final'!$B:$B,J$17,'Jounal entries final'!$C:$C,$Q$17)</f>
        <v>1750932</v>
      </c>
      <c r="K48" s="379">
        <f>-SUMIFS('Jounal entries final'!$H:$H,'Jounal entries final'!$E:$E,$C$41,'Jounal entries final'!$M:$M,$C48,'Jounal entries final'!$B:$B,K$17,'Jounal entries final'!$C:$C,$Q$17)</f>
        <v>444024</v>
      </c>
      <c r="L48" s="379">
        <f>-SUMIFS('Jounal entries final'!$H:$H,'Jounal entries final'!$E:$E,$C$41,'Jounal entries final'!$M:$M,$C48,'Jounal entries final'!$B:$B,L$17,'Jounal entries final'!$C:$C,$Q$17)</f>
        <v>383184</v>
      </c>
      <c r="M48" s="379">
        <f>-SUMIFS('Jounal entries final'!$H:$H,'Jounal entries final'!$E:$E,$C$41,'Jounal entries final'!$M:$M,$C48,'Jounal entries final'!$B:$B,M$17,'Jounal entries final'!$C:$C,$Q$17)</f>
        <v>173664</v>
      </c>
      <c r="N48" s="379">
        <f>-SUMIFS('Jounal entries final'!$H:$H,'Jounal entries final'!$E:$E,$C$41,'Jounal entries final'!$M:$M,$C48,'Jounal entries final'!$B:$B,N$17,'Jounal entries final'!$C:$C,$Q$17)</f>
        <v>846141</v>
      </c>
      <c r="O48" s="379">
        <f>-SUMIFS('Jounal entries final'!$H:$H,'Jounal entries final'!$E:$E,$C$41,'Jounal entries final'!$M:$M,$C48,'Jounal entries final'!$B:$B,O$17,'Jounal entries final'!$C:$C,$Q$17)</f>
        <v>369024</v>
      </c>
      <c r="P48" s="364">
        <f>SUMIFS('Jounal entries final'!$H:$H,'Jounal entries final'!$E:$E,$C48,'Jounal entries final'!$B:$B,P$17,'Jounal entries final'!$C:$C,$Q$17)</f>
        <v>0</v>
      </c>
    </row>
    <row r="49" spans="1:16">
      <c r="A49" s="819"/>
      <c r="B49" s="234"/>
      <c r="C49" s="118" t="s">
        <v>36</v>
      </c>
      <c r="D49" s="379">
        <f>-SUMIFS('Jounal entries final'!$H:$H,'Jounal entries final'!$E:$E,$C$41,'Jounal entries final'!$M:$M,$C49,'Jounal entries final'!$B:$B,D$17,'Jounal entries final'!$C:$C,$Q$17)</f>
        <v>644640</v>
      </c>
      <c r="E49" s="379">
        <f>-SUMIFS('Jounal entries final'!$H:$H,'Jounal entries final'!$E:$E,$C$41,'Jounal entries final'!$M:$M,$C49,'Jounal entries final'!$B:$B,E$17,'Jounal entries final'!$C:$C,$Q$17)</f>
        <v>1348382</v>
      </c>
      <c r="F49" s="379">
        <f>-SUMIFS('Jounal entries final'!$H:$H,'Jounal entries final'!$E:$E,$C$41,'Jounal entries final'!$M:$M,$C49,'Jounal entries final'!$B:$B,F$17,'Jounal entries final'!$C:$C,$Q$17)</f>
        <v>861150</v>
      </c>
      <c r="G49" s="379">
        <f>-SUMIFS('Jounal entries final'!$H:$H,'Jounal entries final'!$E:$E,$C$41,'Jounal entries final'!$M:$M,$C49,'Jounal entries final'!$B:$B,G$17,'Jounal entries final'!$C:$C,$Q$17)</f>
        <v>1073682</v>
      </c>
      <c r="H49" s="379">
        <f>-SUMIFS('Jounal entries final'!$H:$H,'Jounal entries final'!$E:$E,$C$41,'Jounal entries final'!$M:$M,$C49,'Jounal entries final'!$B:$B,H$17,'Jounal entries final'!$C:$C,$Q$17)</f>
        <v>846009</v>
      </c>
      <c r="I49" s="379">
        <f>-SUMIFS('Jounal entries final'!$H:$H,'Jounal entries final'!$E:$E,$C$41,'Jounal entries final'!$M:$M,$C49,'Jounal entries final'!$B:$B,I$17,'Jounal entries final'!$C:$C,$Q$17)</f>
        <v>915151</v>
      </c>
      <c r="J49" s="379">
        <f>-SUMIFS('Jounal entries final'!$H:$H,'Jounal entries final'!$E:$E,$C$41,'Jounal entries final'!$M:$M,$C49,'Jounal entries final'!$B:$B,J$17,'Jounal entries final'!$C:$C,$Q$17)</f>
        <v>1990443</v>
      </c>
      <c r="K49" s="379">
        <f>-SUMIFS('Jounal entries final'!$H:$H,'Jounal entries final'!$E:$E,$C$41,'Jounal entries final'!$M:$M,$C49,'Jounal entries final'!$B:$B,K$17,'Jounal entries final'!$C:$C,$Q$17)</f>
        <v>1462450</v>
      </c>
      <c r="L49" s="379">
        <f>-SUMIFS('Jounal entries final'!$H:$H,'Jounal entries final'!$E:$E,$C$41,'Jounal entries final'!$M:$M,$C49,'Jounal entries final'!$B:$B,L$17,'Jounal entries final'!$C:$C,$Q$17)</f>
        <v>1400236</v>
      </c>
      <c r="M49" s="379">
        <f>-SUMIFS('Jounal entries final'!$H:$H,'Jounal entries final'!$E:$E,$C$41,'Jounal entries final'!$M:$M,$C49,'Jounal entries final'!$B:$B,M$17,'Jounal entries final'!$C:$C,$Q$17)</f>
        <v>947030</v>
      </c>
      <c r="N49" s="379">
        <f>-SUMIFS('Jounal entries final'!$H:$H,'Jounal entries final'!$E:$E,$C$41,'Jounal entries final'!$M:$M,$C49,'Jounal entries final'!$B:$B,N$17,'Jounal entries final'!$C:$C,$Q$17)</f>
        <v>829568</v>
      </c>
      <c r="O49" s="379">
        <f>-SUMIFS('Jounal entries final'!$H:$H,'Jounal entries final'!$E:$E,$C$41,'Jounal entries final'!$M:$M,$C49,'Jounal entries final'!$B:$B,O$17,'Jounal entries final'!$C:$C,$Q$17)</f>
        <v>976488</v>
      </c>
      <c r="P49" s="364">
        <f>SUMIFS('Jounal entries final'!$H:$H,'Jounal entries final'!$E:$E,$C49,'Jounal entries final'!$B:$B,P$17,'Jounal entries final'!$C:$C,$Q$17)</f>
        <v>0</v>
      </c>
    </row>
    <row r="50" spans="1:16">
      <c r="A50" s="819"/>
      <c r="B50" s="234"/>
      <c r="C50" s="118" t="s">
        <v>32</v>
      </c>
      <c r="D50" s="379">
        <f>-SUMIFS('Jounal entries final'!$H:$H,'Jounal entries final'!$E:$E,$C$41,'Jounal entries final'!$M:$M,$C50,'Jounal entries final'!$B:$B,D$17,'Jounal entries final'!$C:$C,$Q$17)</f>
        <v>1115827</v>
      </c>
      <c r="E50" s="379">
        <f>-SUMIFS('Jounal entries final'!$H:$H,'Jounal entries final'!$E:$E,$C$41,'Jounal entries final'!$M:$M,$C50,'Jounal entries final'!$B:$B,E$17,'Jounal entries final'!$C:$C,$Q$17)</f>
        <v>1827738</v>
      </c>
      <c r="F50" s="379">
        <f>-SUMIFS('Jounal entries final'!$H:$H,'Jounal entries final'!$E:$E,$C$41,'Jounal entries final'!$M:$M,$C50,'Jounal entries final'!$B:$B,F$17,'Jounal entries final'!$C:$C,$Q$17)</f>
        <v>421857</v>
      </c>
      <c r="G50" s="379">
        <f>-SUMIFS('Jounal entries final'!$H:$H,'Jounal entries final'!$E:$E,$C$41,'Jounal entries final'!$M:$M,$C50,'Jounal entries final'!$B:$B,G$17,'Jounal entries final'!$C:$C,$Q$17)</f>
        <v>1250755</v>
      </c>
      <c r="H50" s="379">
        <f>-SUMIFS('Jounal entries final'!$H:$H,'Jounal entries final'!$E:$E,$C$41,'Jounal entries final'!$M:$M,$C50,'Jounal entries final'!$B:$B,H$17,'Jounal entries final'!$C:$C,$Q$17)</f>
        <v>567120</v>
      </c>
      <c r="I50" s="379">
        <f>-SUMIFS('Jounal entries final'!$H:$H,'Jounal entries final'!$E:$E,$C$41,'Jounal entries final'!$M:$M,$C50,'Jounal entries final'!$B:$B,I$17,'Jounal entries final'!$C:$C,$Q$17)</f>
        <v>804344</v>
      </c>
      <c r="J50" s="379">
        <f>-SUMIFS('Jounal entries final'!$H:$H,'Jounal entries final'!$E:$E,$C$41,'Jounal entries final'!$M:$M,$C50,'Jounal entries final'!$B:$B,J$17,'Jounal entries final'!$C:$C,$Q$17)</f>
        <v>754700</v>
      </c>
      <c r="K50" s="379">
        <f>-SUMIFS('Jounal entries final'!$H:$H,'Jounal entries final'!$E:$E,$C$41,'Jounal entries final'!$M:$M,$C50,'Jounal entries final'!$B:$B,K$17,'Jounal entries final'!$C:$C,$Q$17)</f>
        <v>756884</v>
      </c>
      <c r="L50" s="379">
        <f>-SUMIFS('Jounal entries final'!$H:$H,'Jounal entries final'!$E:$E,$C$41,'Jounal entries final'!$M:$M,$C50,'Jounal entries final'!$B:$B,L$17,'Jounal entries final'!$C:$C,$Q$17)</f>
        <v>1976853</v>
      </c>
      <c r="M50" s="379">
        <f>-SUMIFS('Jounal entries final'!$H:$H,'Jounal entries final'!$E:$E,$C$41,'Jounal entries final'!$M:$M,$C50,'Jounal entries final'!$B:$B,M$17,'Jounal entries final'!$C:$C,$Q$17)</f>
        <v>1398420</v>
      </c>
      <c r="N50" s="379">
        <f>-SUMIFS('Jounal entries final'!$H:$H,'Jounal entries final'!$E:$E,$C$41,'Jounal entries final'!$M:$M,$C50,'Jounal entries final'!$B:$B,N$17,'Jounal entries final'!$C:$C,$Q$17)</f>
        <v>1112020</v>
      </c>
      <c r="O50" s="379">
        <f>-SUMIFS('Jounal entries final'!$H:$H,'Jounal entries final'!$E:$E,$C$41,'Jounal entries final'!$M:$M,$C50,'Jounal entries final'!$B:$B,O$17,'Jounal entries final'!$C:$C,$Q$17)</f>
        <v>677376</v>
      </c>
      <c r="P50" s="234"/>
    </row>
    <row r="51" spans="1:16" ht="13.25" customHeight="1">
      <c r="A51" s="819"/>
      <c r="B51" s="234"/>
      <c r="C51" s="118" t="s">
        <v>37</v>
      </c>
      <c r="D51" s="379">
        <f>-SUMIFS('Jounal entries final'!$H:$H,'Jounal entries final'!$E:$E,$C$41,'Jounal entries final'!$M:$M,$C51,'Jounal entries final'!$B:$B,D$17,'Jounal entries final'!$C:$C,$Q$17)</f>
        <v>550988</v>
      </c>
      <c r="E51" s="379">
        <f>-SUMIFS('Jounal entries final'!$H:$H,'Jounal entries final'!$E:$E,$C$41,'Jounal entries final'!$M:$M,$C51,'Jounal entries final'!$B:$B,E$17,'Jounal entries final'!$C:$C,$Q$17)</f>
        <v>483771</v>
      </c>
      <c r="F51" s="379">
        <f>-SUMIFS('Jounal entries final'!$H:$H,'Jounal entries final'!$E:$E,$C$41,'Jounal entries final'!$M:$M,$C51,'Jounal entries final'!$B:$B,F$17,'Jounal entries final'!$C:$C,$Q$17)</f>
        <v>585872</v>
      </c>
      <c r="G51" s="379">
        <f>-SUMIFS('Jounal entries final'!$H:$H,'Jounal entries final'!$E:$E,$C$41,'Jounal entries final'!$M:$M,$C51,'Jounal entries final'!$B:$B,G$17,'Jounal entries final'!$C:$C,$Q$17)</f>
        <v>558195</v>
      </c>
      <c r="H51" s="379">
        <f>-SUMIFS('Jounal entries final'!$H:$H,'Jounal entries final'!$E:$E,$C$41,'Jounal entries final'!$M:$M,$C51,'Jounal entries final'!$B:$B,H$17,'Jounal entries final'!$C:$C,$Q$17)</f>
        <v>713388</v>
      </c>
      <c r="I51" s="379">
        <f>-SUMIFS('Jounal entries final'!$H:$H,'Jounal entries final'!$E:$E,$C$41,'Jounal entries final'!$M:$M,$C51,'Jounal entries final'!$B:$B,I$17,'Jounal entries final'!$C:$C,$Q$17)</f>
        <v>675328</v>
      </c>
      <c r="J51" s="379">
        <f>-SUMIFS('Jounal entries final'!$H:$H,'Jounal entries final'!$E:$E,$C$41,'Jounal entries final'!$M:$M,$C51,'Jounal entries final'!$B:$B,J$17,'Jounal entries final'!$C:$C,$Q$17)</f>
        <v>670390</v>
      </c>
      <c r="K51" s="379">
        <f>-SUMIFS('Jounal entries final'!$H:$H,'Jounal entries final'!$E:$E,$C$41,'Jounal entries final'!$M:$M,$C51,'Jounal entries final'!$B:$B,K$17,'Jounal entries final'!$C:$C,$Q$17)</f>
        <v>708324</v>
      </c>
      <c r="L51" s="379">
        <f>-SUMIFS('Jounal entries final'!$H:$H,'Jounal entries final'!$E:$E,$C$41,'Jounal entries final'!$M:$M,$C51,'Jounal entries final'!$B:$B,L$17,'Jounal entries final'!$C:$C,$Q$17)</f>
        <v>682770</v>
      </c>
      <c r="M51" s="379">
        <f>-SUMIFS('Jounal entries final'!$H:$H,'Jounal entries final'!$E:$E,$C$41,'Jounal entries final'!$M:$M,$C51,'Jounal entries final'!$B:$B,M$17,'Jounal entries final'!$C:$C,$Q$17)</f>
        <v>487665</v>
      </c>
      <c r="N51" s="379">
        <f>-SUMIFS('Jounal entries final'!$H:$H,'Jounal entries final'!$E:$E,$C$41,'Jounal entries final'!$M:$M,$C51,'Jounal entries final'!$B:$B,N$17,'Jounal entries final'!$C:$C,$Q$17)</f>
        <v>718977</v>
      </c>
      <c r="O51" s="379">
        <f>-SUMIFS('Jounal entries final'!$H:$H,'Jounal entries final'!$E:$E,$C$41,'Jounal entries final'!$M:$M,$C51,'Jounal entries final'!$B:$B,O$17,'Jounal entries final'!$C:$C,$Q$17)</f>
        <v>567736</v>
      </c>
      <c r="P51" s="234"/>
    </row>
    <row r="52" spans="1:16">
      <c r="A52" s="819"/>
      <c r="B52" s="234"/>
      <c r="C52" s="118" t="s">
        <v>33</v>
      </c>
      <c r="D52" s="379">
        <f>-SUMIFS('Jounal entries final'!$H:$H,'Jounal entries final'!$E:$E,$C$41,'Jounal entries final'!$M:$M,$C52,'Jounal entries final'!$B:$B,D$17,'Jounal entries final'!$C:$C,$Q$17)</f>
        <v>1756304</v>
      </c>
      <c r="E52" s="379">
        <f>-SUMIFS('Jounal entries final'!$H:$H,'Jounal entries final'!$E:$E,$C$41,'Jounal entries final'!$M:$M,$C52,'Jounal entries final'!$B:$B,E$17,'Jounal entries final'!$C:$C,$Q$17)</f>
        <v>1282260</v>
      </c>
      <c r="F52" s="379">
        <f>-SUMIFS('Jounal entries final'!$H:$H,'Jounal entries final'!$E:$E,$C$41,'Jounal entries final'!$M:$M,$C52,'Jounal entries final'!$B:$B,F$17,'Jounal entries final'!$C:$C,$Q$17)</f>
        <v>446978</v>
      </c>
      <c r="G52" s="379">
        <f>-SUMIFS('Jounal entries final'!$H:$H,'Jounal entries final'!$E:$E,$C$41,'Jounal entries final'!$M:$M,$C52,'Jounal entries final'!$B:$B,G$17,'Jounal entries final'!$C:$C,$Q$17)</f>
        <v>440505</v>
      </c>
      <c r="H52" s="379">
        <f>-SUMIFS('Jounal entries final'!$H:$H,'Jounal entries final'!$E:$E,$C$41,'Jounal entries final'!$M:$M,$C52,'Jounal entries final'!$B:$B,H$17,'Jounal entries final'!$C:$C,$Q$17)</f>
        <v>933504</v>
      </c>
      <c r="I52" s="379">
        <f>-SUMIFS('Jounal entries final'!$H:$H,'Jounal entries final'!$E:$E,$C$41,'Jounal entries final'!$M:$M,$C52,'Jounal entries final'!$B:$B,I$17,'Jounal entries final'!$C:$C,$Q$17)</f>
        <v>1159740</v>
      </c>
      <c r="J52" s="379">
        <f>-SUMIFS('Jounal entries final'!$H:$H,'Jounal entries final'!$E:$E,$C$41,'Jounal entries final'!$M:$M,$C52,'Jounal entries final'!$B:$B,J$17,'Jounal entries final'!$C:$C,$Q$17)</f>
        <v>1764378</v>
      </c>
      <c r="K52" s="379">
        <f>-SUMIFS('Jounal entries final'!$H:$H,'Jounal entries final'!$E:$E,$C$41,'Jounal entries final'!$M:$M,$C52,'Jounal entries final'!$B:$B,K$17,'Jounal entries final'!$C:$C,$Q$17)</f>
        <v>1162070</v>
      </c>
      <c r="L52" s="379">
        <f>-SUMIFS('Jounal entries final'!$H:$H,'Jounal entries final'!$E:$E,$C$41,'Jounal entries final'!$M:$M,$C52,'Jounal entries final'!$B:$B,L$17,'Jounal entries final'!$C:$C,$Q$17)</f>
        <v>489124</v>
      </c>
      <c r="M52" s="379">
        <f>-SUMIFS('Jounal entries final'!$H:$H,'Jounal entries final'!$E:$E,$C$41,'Jounal entries final'!$M:$M,$C52,'Jounal entries final'!$B:$B,M$17,'Jounal entries final'!$C:$C,$Q$17)</f>
        <v>1149234</v>
      </c>
      <c r="N52" s="379">
        <f>-SUMIFS('Jounal entries final'!$H:$H,'Jounal entries final'!$E:$E,$C$41,'Jounal entries final'!$M:$M,$C52,'Jounal entries final'!$B:$B,N$17,'Jounal entries final'!$C:$C,$Q$17)</f>
        <v>756560</v>
      </c>
      <c r="O52" s="379">
        <f>-SUMIFS('Jounal entries final'!$H:$H,'Jounal entries final'!$E:$E,$C$41,'Jounal entries final'!$M:$M,$C52,'Jounal entries final'!$B:$B,O$17,'Jounal entries final'!$C:$C,$Q$17)</f>
        <v>1199400</v>
      </c>
      <c r="P52" s="234"/>
    </row>
    <row r="53" spans="1:16">
      <c r="A53" s="819"/>
      <c r="B53" s="234"/>
      <c r="C53" s="118" t="s">
        <v>38</v>
      </c>
      <c r="D53" s="379">
        <f>-SUMIFS('Jounal entries final'!$H:$H,'Jounal entries final'!$E:$E,$C$41,'Jounal entries final'!$M:$M,$C53,'Jounal entries final'!$B:$B,D$17,'Jounal entries final'!$C:$C,$Q$17)</f>
        <v>1005360</v>
      </c>
      <c r="E53" s="379">
        <f>-SUMIFS('Jounal entries final'!$H:$H,'Jounal entries final'!$E:$E,$C$41,'Jounal entries final'!$M:$M,$C53,'Jounal entries final'!$B:$B,E$17,'Jounal entries final'!$C:$C,$Q$17)</f>
        <v>543344</v>
      </c>
      <c r="F53" s="379">
        <f>-SUMIFS('Jounal entries final'!$H:$H,'Jounal entries final'!$E:$E,$C$41,'Jounal entries final'!$M:$M,$C53,'Jounal entries final'!$B:$B,F$17,'Jounal entries final'!$C:$C,$Q$17)</f>
        <v>1402960</v>
      </c>
      <c r="G53" s="379">
        <f>-SUMIFS('Jounal entries final'!$H:$H,'Jounal entries final'!$E:$E,$C$41,'Jounal entries final'!$M:$M,$C53,'Jounal entries final'!$B:$B,G$17,'Jounal entries final'!$C:$C,$Q$17)</f>
        <v>671880</v>
      </c>
      <c r="H53" s="379">
        <f>-SUMIFS('Jounal entries final'!$H:$H,'Jounal entries final'!$E:$E,$C$41,'Jounal entries final'!$M:$M,$C53,'Jounal entries final'!$B:$B,H$17,'Jounal entries final'!$C:$C,$Q$17)</f>
        <v>1392341</v>
      </c>
      <c r="I53" s="379">
        <f>-SUMIFS('Jounal entries final'!$H:$H,'Jounal entries final'!$E:$E,$C$41,'Jounal entries final'!$M:$M,$C53,'Jounal entries final'!$B:$B,I$17,'Jounal entries final'!$C:$C,$Q$17)</f>
        <v>1177393</v>
      </c>
      <c r="J53" s="379">
        <f>-SUMIFS('Jounal entries final'!$H:$H,'Jounal entries final'!$E:$E,$C$41,'Jounal entries final'!$M:$M,$C53,'Jounal entries final'!$B:$B,J$17,'Jounal entries final'!$C:$C,$Q$17)</f>
        <v>522000</v>
      </c>
      <c r="K53" s="379">
        <f>-SUMIFS('Jounal entries final'!$H:$H,'Jounal entries final'!$E:$E,$C$41,'Jounal entries final'!$M:$M,$C53,'Jounal entries final'!$B:$B,K$17,'Jounal entries final'!$C:$C,$Q$17)</f>
        <v>1618086</v>
      </c>
      <c r="L53" s="379">
        <f>-SUMIFS('Jounal entries final'!$H:$H,'Jounal entries final'!$E:$E,$C$41,'Jounal entries final'!$M:$M,$C53,'Jounal entries final'!$B:$B,L$17,'Jounal entries final'!$C:$C,$Q$17)</f>
        <v>1051848</v>
      </c>
      <c r="M53" s="379">
        <f>-SUMIFS('Jounal entries final'!$H:$H,'Jounal entries final'!$E:$E,$C$41,'Jounal entries final'!$M:$M,$C53,'Jounal entries final'!$B:$B,M$17,'Jounal entries final'!$C:$C,$Q$17)</f>
        <v>1391220</v>
      </c>
      <c r="N53" s="379">
        <f>-SUMIFS('Jounal entries final'!$H:$H,'Jounal entries final'!$E:$E,$C$41,'Jounal entries final'!$M:$M,$C53,'Jounal entries final'!$B:$B,N$17,'Jounal entries final'!$C:$C,$Q$17)</f>
        <v>415476</v>
      </c>
      <c r="O53" s="379">
        <f>-SUMIFS('Jounal entries final'!$H:$H,'Jounal entries final'!$E:$E,$C$41,'Jounal entries final'!$M:$M,$C53,'Jounal entries final'!$B:$B,O$17,'Jounal entries final'!$C:$C,$Q$17)</f>
        <v>1075932</v>
      </c>
      <c r="P53" s="234"/>
    </row>
    <row r="54" spans="1:16">
      <c r="A54" s="819"/>
      <c r="B54" s="114"/>
      <c r="C54" s="118" t="s">
        <v>34</v>
      </c>
      <c r="D54" s="379">
        <f>-SUMIFS('Jounal entries final'!$H:$H,'Jounal entries final'!$E:$E,$C$41,'Jounal entries final'!$M:$M,$C54,'Jounal entries final'!$B:$B,D$17,'Jounal entries final'!$C:$C,$Q$17)</f>
        <v>1839104</v>
      </c>
      <c r="E54" s="379">
        <f>-SUMIFS('Jounal entries final'!$H:$H,'Jounal entries final'!$E:$E,$C$41,'Jounal entries final'!$M:$M,$C54,'Jounal entries final'!$B:$B,E$17,'Jounal entries final'!$C:$C,$Q$17)</f>
        <v>1502664</v>
      </c>
      <c r="F54" s="379">
        <f>-SUMIFS('Jounal entries final'!$H:$H,'Jounal entries final'!$E:$E,$C$41,'Jounal entries final'!$M:$M,$C54,'Jounal entries final'!$B:$B,F$17,'Jounal entries final'!$C:$C,$Q$17)</f>
        <v>664416</v>
      </c>
      <c r="G54" s="379">
        <f>-SUMIFS('Jounal entries final'!$H:$H,'Jounal entries final'!$E:$E,$C$41,'Jounal entries final'!$M:$M,$C54,'Jounal entries final'!$B:$B,G$17,'Jounal entries final'!$C:$C,$Q$17)</f>
        <v>1658016</v>
      </c>
      <c r="H54" s="379">
        <f>-SUMIFS('Jounal entries final'!$H:$H,'Jounal entries final'!$E:$E,$C$41,'Jounal entries final'!$M:$M,$C54,'Jounal entries final'!$B:$B,H$17,'Jounal entries final'!$C:$C,$Q$17)</f>
        <v>1233648</v>
      </c>
      <c r="I54" s="379">
        <f>-SUMIFS('Jounal entries final'!$H:$H,'Jounal entries final'!$E:$E,$C$41,'Jounal entries final'!$M:$M,$C54,'Jounal entries final'!$B:$B,I$17,'Jounal entries final'!$C:$C,$Q$17)</f>
        <v>1641031</v>
      </c>
      <c r="J54" s="379">
        <f>-SUMIFS('Jounal entries final'!$H:$H,'Jounal entries final'!$E:$E,$C$41,'Jounal entries final'!$M:$M,$C54,'Jounal entries final'!$B:$B,J$17,'Jounal entries final'!$C:$C,$Q$17)</f>
        <v>907731</v>
      </c>
      <c r="K54" s="379">
        <f>-SUMIFS('Jounal entries final'!$H:$H,'Jounal entries final'!$E:$E,$C$41,'Jounal entries final'!$M:$M,$C54,'Jounal entries final'!$B:$B,K$17,'Jounal entries final'!$C:$C,$Q$17)</f>
        <v>1299942</v>
      </c>
      <c r="L54" s="379">
        <f>-SUMIFS('Jounal entries final'!$H:$H,'Jounal entries final'!$E:$E,$C$41,'Jounal entries final'!$M:$M,$C54,'Jounal entries final'!$B:$B,L$17,'Jounal entries final'!$C:$C,$Q$17)</f>
        <v>1452928</v>
      </c>
      <c r="M54" s="379">
        <f>-SUMIFS('Jounal entries final'!$H:$H,'Jounal entries final'!$E:$E,$C$41,'Jounal entries final'!$M:$M,$C54,'Jounal entries final'!$B:$B,M$17,'Jounal entries final'!$C:$C,$Q$17)</f>
        <v>1125402</v>
      </c>
      <c r="N54" s="379">
        <f>-SUMIFS('Jounal entries final'!$H:$H,'Jounal entries final'!$E:$E,$C$41,'Jounal entries final'!$M:$M,$C54,'Jounal entries final'!$B:$B,N$17,'Jounal entries final'!$C:$C,$Q$17)</f>
        <v>1233232</v>
      </c>
      <c r="O54" s="379">
        <f>-SUMIFS('Jounal entries final'!$H:$H,'Jounal entries final'!$E:$E,$C$41,'Jounal entries final'!$M:$M,$C54,'Jounal entries final'!$B:$B,O$17,'Jounal entries final'!$C:$C,$Q$17)</f>
        <v>1748626</v>
      </c>
      <c r="P54" s="234"/>
    </row>
    <row r="55" spans="1:16">
      <c r="A55" s="819"/>
      <c r="B55" s="114"/>
      <c r="C55" s="118" t="s">
        <v>35</v>
      </c>
      <c r="D55" s="379">
        <f>-SUMIFS('Jounal entries final'!$H:$H,'Jounal entries final'!$E:$E,$C$41,'Jounal entries final'!$M:$M,$C55,'Jounal entries final'!$B:$B,D$17,'Jounal entries final'!$C:$C,$Q$17)</f>
        <v>1110474</v>
      </c>
      <c r="E55" s="379">
        <f>-SUMIFS('Jounal entries final'!$H:$H,'Jounal entries final'!$E:$E,$C$41,'Jounal entries final'!$M:$M,$C55,'Jounal entries final'!$B:$B,E$17,'Jounal entries final'!$C:$C,$Q$17)</f>
        <v>2014920</v>
      </c>
      <c r="F55" s="379">
        <f>-SUMIFS('Jounal entries final'!$H:$H,'Jounal entries final'!$E:$E,$C$41,'Jounal entries final'!$M:$M,$C55,'Jounal entries final'!$B:$B,F$17,'Jounal entries final'!$C:$C,$Q$17)</f>
        <v>372166</v>
      </c>
      <c r="G55" s="379">
        <f>-SUMIFS('Jounal entries final'!$H:$H,'Jounal entries final'!$E:$E,$C$41,'Jounal entries final'!$M:$M,$C55,'Jounal entries final'!$B:$B,G$17,'Jounal entries final'!$C:$C,$Q$17)</f>
        <v>1096316</v>
      </c>
      <c r="H55" s="379">
        <f>-SUMIFS('Jounal entries final'!$H:$H,'Jounal entries final'!$E:$E,$C$41,'Jounal entries final'!$M:$M,$C55,'Jounal entries final'!$B:$B,H$17,'Jounal entries final'!$C:$C,$Q$17)</f>
        <v>1338336</v>
      </c>
      <c r="I55" s="379">
        <f>-SUMIFS('Jounal entries final'!$H:$H,'Jounal entries final'!$E:$E,$C$41,'Jounal entries final'!$M:$M,$C55,'Jounal entries final'!$B:$B,I$17,'Jounal entries final'!$C:$C,$Q$17)</f>
        <v>600600</v>
      </c>
      <c r="J55" s="379">
        <f>-SUMIFS('Jounal entries final'!$H:$H,'Jounal entries final'!$E:$E,$C$41,'Jounal entries final'!$M:$M,$C55,'Jounal entries final'!$B:$B,J$17,'Jounal entries final'!$C:$C,$Q$17)</f>
        <v>577216</v>
      </c>
      <c r="K55" s="379">
        <f>-SUMIFS('Jounal entries final'!$H:$H,'Jounal entries final'!$E:$E,$C$41,'Jounal entries final'!$M:$M,$C55,'Jounal entries final'!$B:$B,K$17,'Jounal entries final'!$C:$C,$Q$17)</f>
        <v>605178</v>
      </c>
      <c r="L55" s="379">
        <f>-SUMIFS('Jounal entries final'!$H:$H,'Jounal entries final'!$E:$E,$C$41,'Jounal entries final'!$M:$M,$C55,'Jounal entries final'!$B:$B,L$17,'Jounal entries final'!$C:$C,$Q$17)</f>
        <v>554164</v>
      </c>
      <c r="M55" s="379">
        <f>-SUMIFS('Jounal entries final'!$H:$H,'Jounal entries final'!$E:$E,$C$41,'Jounal entries final'!$M:$M,$C55,'Jounal entries final'!$B:$B,M$17,'Jounal entries final'!$C:$C,$Q$17)</f>
        <v>1589335</v>
      </c>
      <c r="N55" s="379">
        <f>-SUMIFS('Jounal entries final'!$H:$H,'Jounal entries final'!$E:$E,$C$41,'Jounal entries final'!$M:$M,$C55,'Jounal entries final'!$B:$B,N$17,'Jounal entries final'!$C:$C,$Q$17)</f>
        <v>1111460</v>
      </c>
      <c r="O55" s="379">
        <f>-SUMIFS('Jounal entries final'!$H:$H,'Jounal entries final'!$E:$E,$C$41,'Jounal entries final'!$M:$M,$C55,'Jounal entries final'!$B:$B,O$17,'Jounal entries final'!$C:$C,$Q$17)</f>
        <v>1640576</v>
      </c>
      <c r="P55" s="234"/>
    </row>
    <row r="56" spans="1:16">
      <c r="A56" s="819"/>
      <c r="B56" s="234"/>
      <c r="C56" s="118"/>
      <c r="D56" s="114"/>
      <c r="E56" s="114"/>
      <c r="F56" s="114"/>
      <c r="G56" s="114"/>
      <c r="H56" s="114"/>
      <c r="I56" s="114"/>
      <c r="J56" s="114"/>
      <c r="K56" s="114"/>
      <c r="L56" s="114"/>
      <c r="M56" s="114"/>
      <c r="N56" s="114"/>
      <c r="O56" s="114"/>
      <c r="P56" s="234"/>
    </row>
    <row r="57" spans="1:16">
      <c r="A57" s="819"/>
      <c r="B57" s="114"/>
      <c r="C57" s="118" t="s">
        <v>39</v>
      </c>
      <c r="D57" s="379">
        <f>SUMIFS('Jounal entries final'!$H:$H,'Jounal entries final'!$E:$E,$C$42,'Jounal entries final'!$M:$M,$C57,'Jounal entries final'!$B:$B,D$17,'Jounal entries final'!$C:$C,$Q$17)</f>
        <v>4248900</v>
      </c>
      <c r="E57" s="379">
        <f>SUMIFS('Jounal entries final'!$H:$H,'Jounal entries final'!$E:$E,$C$42,'Jounal entries final'!$M:$M,$C57,'Jounal entries final'!$B:$B,E$17,'Jounal entries final'!$C:$C,$Q$17)</f>
        <v>6673173</v>
      </c>
      <c r="F57" s="379">
        <f>SUMIFS('Jounal entries final'!$H:$H,'Jounal entries final'!$E:$E,$C$42,'Jounal entries final'!$M:$M,$C57,'Jounal entries final'!$B:$B,F$17,'Jounal entries final'!$C:$C,$Q$17)</f>
        <v>10445751</v>
      </c>
      <c r="G57" s="379">
        <f>SUMIFS('Jounal entries final'!$H:$H,'Jounal entries final'!$E:$E,$C$42,'Jounal entries final'!$M:$M,$C57,'Jounal entries final'!$B:$B,G$17,'Jounal entries final'!$C:$C,$Q$17)</f>
        <v>6605202</v>
      </c>
      <c r="H57" s="379">
        <f>SUMIFS('Jounal entries final'!$H:$H,'Jounal entries final'!$E:$E,$C$42,'Jounal entries final'!$M:$M,$C57,'Jounal entries final'!$B:$B,H$17,'Jounal entries final'!$C:$C,$Q$17)</f>
        <v>6609510</v>
      </c>
      <c r="I57" s="379">
        <f>SUMIFS('Jounal entries final'!$H:$H,'Jounal entries final'!$E:$E,$C$42,'Jounal entries final'!$M:$M,$C57,'Jounal entries final'!$B:$B,I$17,'Jounal entries final'!$C:$C,$Q$17)</f>
        <v>6336828</v>
      </c>
      <c r="J57" s="379">
        <f>SUMIFS('Jounal entries final'!$H:$H,'Jounal entries final'!$E:$E,$C$42,'Jounal entries final'!$M:$M,$C57,'Jounal entries final'!$B:$B,J$17,'Jounal entries final'!$C:$C,$Q$17)</f>
        <v>9497898</v>
      </c>
      <c r="K57" s="379">
        <f>SUMIFS('Jounal entries final'!$H:$H,'Jounal entries final'!$E:$E,$C$42,'Jounal entries final'!$M:$M,$C57,'Jounal entries final'!$B:$B,K$17,'Jounal entries final'!$C:$C,$Q$17)</f>
        <v>4815420</v>
      </c>
      <c r="L57" s="379">
        <f>SUMIFS('Jounal entries final'!$H:$H,'Jounal entries final'!$E:$E,$C$42,'Jounal entries final'!$M:$M,$C57,'Jounal entries final'!$B:$B,L$17,'Jounal entries final'!$C:$C,$Q$17)</f>
        <v>6914139</v>
      </c>
      <c r="M57" s="379">
        <f>SUMIFS('Jounal entries final'!$H:$H,'Jounal entries final'!$E:$E,$C$42,'Jounal entries final'!$M:$M,$C57,'Jounal entries final'!$B:$B,M$17,'Jounal entries final'!$C:$C,$Q$17)</f>
        <v>6418329</v>
      </c>
      <c r="N57" s="379">
        <f>SUMIFS('Jounal entries final'!$H:$H,'Jounal entries final'!$E:$E,$C$42,'Jounal entries final'!$M:$M,$C57,'Jounal entries final'!$B:$B,N$17,'Jounal entries final'!$C:$C,$Q$17)</f>
        <v>3494754</v>
      </c>
      <c r="O57" s="379">
        <f>SUMIFS('Jounal entries final'!$H:$H,'Jounal entries final'!$E:$E,$C$42,'Jounal entries final'!$M:$M,$C57,'Jounal entries final'!$B:$B,O$17,'Jounal entries final'!$C:$C,$Q$17)</f>
        <v>5579964</v>
      </c>
      <c r="P57" s="234"/>
    </row>
    <row r="58" spans="1:16">
      <c r="A58" s="819"/>
      <c r="B58" s="234"/>
      <c r="C58" s="118" t="s">
        <v>31</v>
      </c>
      <c r="D58" s="379">
        <f>SUMIFS('Jounal entries final'!$H:$H,'Jounal entries final'!$E:$E,$C$42,'Jounal entries final'!$M:$M,$C58,'Jounal entries final'!$B:$B,D$17,'Jounal entries final'!$C:$C,$Q$17)</f>
        <v>872984</v>
      </c>
      <c r="E58" s="379">
        <f>SUMIFS('Jounal entries final'!$H:$H,'Jounal entries final'!$E:$E,$C$42,'Jounal entries final'!$M:$M,$C58,'Jounal entries final'!$B:$B,E$17,'Jounal entries final'!$C:$C,$Q$17)</f>
        <v>1898699</v>
      </c>
      <c r="F58" s="379">
        <f>SUMIFS('Jounal entries final'!$H:$H,'Jounal entries final'!$E:$E,$C$42,'Jounal entries final'!$M:$M,$C58,'Jounal entries final'!$B:$B,F$17,'Jounal entries final'!$C:$C,$Q$17)</f>
        <v>2949661</v>
      </c>
      <c r="G58" s="379">
        <f>SUMIFS('Jounal entries final'!$H:$H,'Jounal entries final'!$E:$E,$C$42,'Jounal entries final'!$M:$M,$C58,'Jounal entries final'!$B:$B,G$17,'Jounal entries final'!$C:$C,$Q$17)</f>
        <v>3506495</v>
      </c>
      <c r="H58" s="379">
        <f>SUMIFS('Jounal entries final'!$H:$H,'Jounal entries final'!$E:$E,$C$42,'Jounal entries final'!$M:$M,$C58,'Jounal entries final'!$B:$B,H$17,'Jounal entries final'!$C:$C,$Q$17)</f>
        <v>3382850</v>
      </c>
      <c r="I58" s="379">
        <f>SUMIFS('Jounal entries final'!$H:$H,'Jounal entries final'!$E:$E,$C$42,'Jounal entries final'!$M:$M,$C58,'Jounal entries final'!$B:$B,I$17,'Jounal entries final'!$C:$C,$Q$17)</f>
        <v>2847533</v>
      </c>
      <c r="J58" s="379">
        <f>SUMIFS('Jounal entries final'!$H:$H,'Jounal entries final'!$E:$E,$C$42,'Jounal entries final'!$M:$M,$C58,'Jounal entries final'!$B:$B,J$17,'Jounal entries final'!$C:$C,$Q$17)</f>
        <v>1534676</v>
      </c>
      <c r="K58" s="379">
        <f>SUMIFS('Jounal entries final'!$H:$H,'Jounal entries final'!$E:$E,$C$42,'Jounal entries final'!$M:$M,$C58,'Jounal entries final'!$B:$B,K$17,'Jounal entries final'!$C:$C,$Q$17)</f>
        <v>2374455</v>
      </c>
      <c r="L58" s="379">
        <f>SUMIFS('Jounal entries final'!$H:$H,'Jounal entries final'!$E:$E,$C$42,'Jounal entries final'!$M:$M,$C58,'Jounal entries final'!$B:$B,L$17,'Jounal entries final'!$C:$C,$Q$17)</f>
        <v>3772215</v>
      </c>
      <c r="M58" s="379">
        <f>SUMIFS('Jounal entries final'!$H:$H,'Jounal entries final'!$E:$E,$C$42,'Jounal entries final'!$M:$M,$C58,'Jounal entries final'!$B:$B,M$17,'Jounal entries final'!$C:$C,$Q$17)</f>
        <v>3179145</v>
      </c>
      <c r="N58" s="379">
        <f>SUMIFS('Jounal entries final'!$H:$H,'Jounal entries final'!$E:$E,$C$42,'Jounal entries final'!$M:$M,$C58,'Jounal entries final'!$B:$B,N$17,'Jounal entries final'!$C:$C,$Q$17)</f>
        <v>3940695</v>
      </c>
      <c r="O58" s="379">
        <f>SUMIFS('Jounal entries final'!$H:$H,'Jounal entries final'!$E:$E,$C$42,'Jounal entries final'!$M:$M,$C58,'Jounal entries final'!$B:$B,O$17,'Jounal entries final'!$C:$C,$Q$17)</f>
        <v>457200</v>
      </c>
      <c r="P58" s="234"/>
    </row>
    <row r="59" spans="1:16">
      <c r="A59" s="819"/>
      <c r="B59" s="114"/>
      <c r="C59" s="118" t="s">
        <v>40</v>
      </c>
      <c r="D59" s="379">
        <f>SUMIFS('Jounal entries final'!$H:$H,'Jounal entries final'!$E:$E,$C$42,'Jounal entries final'!$M:$M,$C59,'Jounal entries final'!$B:$B,D$17,'Jounal entries final'!$C:$C,$Q$17)</f>
        <v>601126</v>
      </c>
      <c r="E59" s="379">
        <f>SUMIFS('Jounal entries final'!$H:$H,'Jounal entries final'!$E:$E,$C$42,'Jounal entries final'!$M:$M,$C59,'Jounal entries final'!$B:$B,E$17,'Jounal entries final'!$C:$C,$Q$17)</f>
        <v>273400</v>
      </c>
      <c r="F59" s="379">
        <f>SUMIFS('Jounal entries final'!$H:$H,'Jounal entries final'!$E:$E,$C$42,'Jounal entries final'!$M:$M,$C59,'Jounal entries final'!$B:$B,F$17,'Jounal entries final'!$C:$C,$Q$17)</f>
        <v>1491121</v>
      </c>
      <c r="G59" s="379">
        <f>SUMIFS('Jounal entries final'!$H:$H,'Jounal entries final'!$E:$E,$C$42,'Jounal entries final'!$M:$M,$C59,'Jounal entries final'!$B:$B,G$17,'Jounal entries final'!$C:$C,$Q$17)</f>
        <v>2957728</v>
      </c>
      <c r="H59" s="379">
        <f>SUMIFS('Jounal entries final'!$H:$H,'Jounal entries final'!$E:$E,$C$42,'Jounal entries final'!$M:$M,$C59,'Jounal entries final'!$B:$B,H$17,'Jounal entries final'!$C:$C,$Q$17)</f>
        <v>1640395</v>
      </c>
      <c r="I59" s="379">
        <f>SUMIFS('Jounal entries final'!$H:$H,'Jounal entries final'!$E:$E,$C$42,'Jounal entries final'!$M:$M,$C59,'Jounal entries final'!$B:$B,I$17,'Jounal entries final'!$C:$C,$Q$17)</f>
        <v>3224775</v>
      </c>
      <c r="J59" s="379">
        <f>SUMIFS('Jounal entries final'!$H:$H,'Jounal entries final'!$E:$E,$C$42,'Jounal entries final'!$M:$M,$C59,'Jounal entries final'!$B:$B,J$17,'Jounal entries final'!$C:$C,$Q$17)</f>
        <v>1924720</v>
      </c>
      <c r="K59" s="379">
        <f>SUMIFS('Jounal entries final'!$H:$H,'Jounal entries final'!$E:$E,$C$42,'Jounal entries final'!$M:$M,$C59,'Jounal entries final'!$B:$B,K$17,'Jounal entries final'!$C:$C,$Q$17)</f>
        <v>2194956</v>
      </c>
      <c r="L59" s="379">
        <f>SUMIFS('Jounal entries final'!$H:$H,'Jounal entries final'!$E:$E,$C$42,'Jounal entries final'!$M:$M,$C59,'Jounal entries final'!$B:$B,L$17,'Jounal entries final'!$C:$C,$Q$17)</f>
        <v>383184</v>
      </c>
      <c r="M59" s="379">
        <f>SUMIFS('Jounal entries final'!$H:$H,'Jounal entries final'!$E:$E,$C$42,'Jounal entries final'!$M:$M,$C59,'Jounal entries final'!$B:$B,M$17,'Jounal entries final'!$C:$C,$Q$17)</f>
        <v>556848</v>
      </c>
      <c r="N59" s="379">
        <f>SUMIFS('Jounal entries final'!$H:$H,'Jounal entries final'!$E:$E,$C$42,'Jounal entries final'!$M:$M,$C59,'Jounal entries final'!$B:$B,N$17,'Jounal entries final'!$C:$C,$Q$17)</f>
        <v>1402989</v>
      </c>
      <c r="O59" s="379">
        <f>SUMIFS('Jounal entries final'!$H:$H,'Jounal entries final'!$E:$E,$C$42,'Jounal entries final'!$M:$M,$C59,'Jounal entries final'!$B:$B,O$17,'Jounal entries final'!$C:$C,$Q$17)</f>
        <v>542688</v>
      </c>
      <c r="P59" s="114"/>
    </row>
    <row r="60" spans="1:16">
      <c r="A60" s="819"/>
      <c r="B60" s="114"/>
      <c r="C60" s="118" t="s">
        <v>36</v>
      </c>
      <c r="D60" s="379">
        <f>SUMIFS('Jounal entries final'!$H:$H,'Jounal entries final'!$E:$E,$C$42,'Jounal entries final'!$M:$M,$C60,'Jounal entries final'!$B:$B,D$17,'Jounal entries final'!$C:$C,$Q$17)</f>
        <v>2644640</v>
      </c>
      <c r="E60" s="379">
        <f>SUMIFS('Jounal entries final'!$H:$H,'Jounal entries final'!$E:$E,$C$42,'Jounal entries final'!$M:$M,$C60,'Jounal entries final'!$B:$B,E$17,'Jounal entries final'!$C:$C,$Q$17)</f>
        <v>3993022</v>
      </c>
      <c r="F60" s="379">
        <f>SUMIFS('Jounal entries final'!$H:$H,'Jounal entries final'!$E:$E,$C$42,'Jounal entries final'!$M:$M,$C60,'Jounal entries final'!$B:$B,F$17,'Jounal entries final'!$C:$C,$Q$17)</f>
        <v>4209532</v>
      </c>
      <c r="G60" s="379">
        <f>SUMIFS('Jounal entries final'!$H:$H,'Jounal entries final'!$E:$E,$C$42,'Jounal entries final'!$M:$M,$C60,'Jounal entries final'!$B:$B,G$17,'Jounal entries final'!$C:$C,$Q$17)</f>
        <v>1934832</v>
      </c>
      <c r="H60" s="379">
        <f>SUMIFS('Jounal entries final'!$H:$H,'Jounal entries final'!$E:$E,$C$42,'Jounal entries final'!$M:$M,$C60,'Jounal entries final'!$B:$B,H$17,'Jounal entries final'!$C:$C,$Q$17)</f>
        <v>2780841</v>
      </c>
      <c r="I60" s="379">
        <f>SUMIFS('Jounal entries final'!$H:$H,'Jounal entries final'!$E:$E,$C$42,'Jounal entries final'!$M:$M,$C60,'Jounal entries final'!$B:$B,I$17,'Jounal entries final'!$C:$C,$Q$17)</f>
        <v>3695992</v>
      </c>
      <c r="J60" s="379">
        <f>SUMIFS('Jounal entries final'!$H:$H,'Jounal entries final'!$E:$E,$C$42,'Jounal entries final'!$M:$M,$C60,'Jounal entries final'!$B:$B,J$17,'Jounal entries final'!$C:$C,$Q$17)</f>
        <v>3751603</v>
      </c>
      <c r="K60" s="379">
        <f>SUMIFS('Jounal entries final'!$H:$H,'Jounal entries final'!$E:$E,$C$42,'Jounal entries final'!$M:$M,$C60,'Jounal entries final'!$B:$B,K$17,'Jounal entries final'!$C:$C,$Q$17)</f>
        <v>4368044</v>
      </c>
      <c r="L60" s="379">
        <f>SUMIFS('Jounal entries final'!$H:$H,'Jounal entries final'!$E:$E,$C$42,'Jounal entries final'!$M:$M,$C60,'Jounal entries final'!$B:$B,L$17,'Jounal entries final'!$C:$C,$Q$17)</f>
        <v>5768280</v>
      </c>
      <c r="M60" s="379">
        <f>SUMIFS('Jounal entries final'!$H:$H,'Jounal entries final'!$E:$E,$C$42,'Jounal entries final'!$M:$M,$C60,'Jounal entries final'!$B:$B,M$17,'Jounal entries final'!$C:$C,$Q$17)</f>
        <v>2347266</v>
      </c>
      <c r="N60" s="379">
        <f>SUMIFS('Jounal entries final'!$H:$H,'Jounal entries final'!$E:$E,$C$42,'Jounal entries final'!$M:$M,$C60,'Jounal entries final'!$B:$B,N$17,'Jounal entries final'!$C:$C,$Q$17)</f>
        <v>3176834</v>
      </c>
      <c r="O60" s="379">
        <f>SUMIFS('Jounal entries final'!$H:$H,'Jounal entries final'!$E:$E,$C$42,'Jounal entries final'!$M:$M,$C60,'Jounal entries final'!$B:$B,O$17,'Jounal entries final'!$C:$C,$Q$17)</f>
        <v>1806056</v>
      </c>
      <c r="P60" s="114"/>
    </row>
    <row r="61" spans="1:16">
      <c r="A61" s="819"/>
      <c r="B61" s="114"/>
      <c r="C61" s="118" t="s">
        <v>32</v>
      </c>
      <c r="D61" s="379">
        <f>SUMIFS('Jounal entries final'!$H:$H,'Jounal entries final'!$E:$E,$C$42,'Jounal entries final'!$M:$M,$C61,'Jounal entries final'!$B:$B,D$17,'Jounal entries final'!$C:$C,$Q$17)</f>
        <v>1115827</v>
      </c>
      <c r="E61" s="379">
        <f>SUMIFS('Jounal entries final'!$H:$H,'Jounal entries final'!$E:$E,$C$42,'Jounal entries final'!$M:$M,$C61,'Jounal entries final'!$B:$B,E$17,'Jounal entries final'!$C:$C,$Q$17)</f>
        <v>2943565</v>
      </c>
      <c r="F61" s="379">
        <f>SUMIFS('Jounal entries final'!$H:$H,'Jounal entries final'!$E:$E,$C$42,'Jounal entries final'!$M:$M,$C61,'Jounal entries final'!$B:$B,F$17,'Jounal entries final'!$C:$C,$Q$17)</f>
        <v>3365422</v>
      </c>
      <c r="G61" s="379">
        <f>SUMIFS('Jounal entries final'!$H:$H,'Jounal entries final'!$E:$E,$C$42,'Jounal entries final'!$M:$M,$C61,'Jounal entries final'!$B:$B,G$17,'Jounal entries final'!$C:$C,$Q$17)</f>
        <v>1672612</v>
      </c>
      <c r="H61" s="379">
        <f>SUMIFS('Jounal entries final'!$H:$H,'Jounal entries final'!$E:$E,$C$42,'Jounal entries final'!$M:$M,$C61,'Jounal entries final'!$B:$B,H$17,'Jounal entries final'!$C:$C,$Q$17)</f>
        <v>1817875</v>
      </c>
      <c r="I61" s="379">
        <f>SUMIFS('Jounal entries final'!$H:$H,'Jounal entries final'!$E:$E,$C$42,'Jounal entries final'!$M:$M,$C61,'Jounal entries final'!$B:$B,I$17,'Jounal entries final'!$C:$C,$Q$17)</f>
        <v>2622219</v>
      </c>
      <c r="J61" s="379">
        <f>SUMIFS('Jounal entries final'!$H:$H,'Jounal entries final'!$E:$E,$C$42,'Jounal entries final'!$M:$M,$C61,'Jounal entries final'!$B:$B,J$17,'Jounal entries final'!$C:$C,$Q$17)</f>
        <v>1559044</v>
      </c>
      <c r="K61" s="379">
        <f>SUMIFS('Jounal entries final'!$H:$H,'Jounal entries final'!$E:$E,$C$42,'Jounal entries final'!$M:$M,$C61,'Jounal entries final'!$B:$B,K$17,'Jounal entries final'!$C:$C,$Q$17)</f>
        <v>1511584</v>
      </c>
      <c r="L61" s="379">
        <f>SUMIFS('Jounal entries final'!$H:$H,'Jounal entries final'!$E:$E,$C$42,'Jounal entries final'!$M:$M,$C61,'Jounal entries final'!$B:$B,L$17,'Jounal entries final'!$C:$C,$Q$17)</f>
        <v>2733737</v>
      </c>
      <c r="M61" s="379">
        <f>SUMIFS('Jounal entries final'!$H:$H,'Jounal entries final'!$E:$E,$C$42,'Jounal entries final'!$M:$M,$C61,'Jounal entries final'!$B:$B,M$17,'Jounal entries final'!$C:$C,$Q$17)</f>
        <v>3375273</v>
      </c>
      <c r="N61" s="379">
        <f>SUMIFS('Jounal entries final'!$H:$H,'Jounal entries final'!$E:$E,$C$42,'Jounal entries final'!$M:$M,$C61,'Jounal entries final'!$B:$B,N$17,'Jounal entries final'!$C:$C,$Q$17)</f>
        <v>4487293</v>
      </c>
      <c r="O61" s="379">
        <f>SUMIFS('Jounal entries final'!$H:$H,'Jounal entries final'!$E:$E,$C$42,'Jounal entries final'!$M:$M,$C61,'Jounal entries final'!$B:$B,O$17,'Jounal entries final'!$C:$C,$Q$17)</f>
        <v>1789396</v>
      </c>
      <c r="P61" s="114"/>
    </row>
    <row r="62" spans="1:16">
      <c r="A62" s="819"/>
      <c r="B62" s="114"/>
      <c r="C62" s="118" t="s">
        <v>37</v>
      </c>
      <c r="D62" s="379">
        <f>SUMIFS('Jounal entries final'!$H:$H,'Jounal entries final'!$E:$E,$C$42,'Jounal entries final'!$M:$M,$C62,'Jounal entries final'!$B:$B,D$17,'Jounal entries final'!$C:$C,$Q$17)</f>
        <v>550988</v>
      </c>
      <c r="E62" s="379">
        <f>SUMIFS('Jounal entries final'!$H:$H,'Jounal entries final'!$E:$E,$C$42,'Jounal entries final'!$M:$M,$C62,'Jounal entries final'!$B:$B,E$17,'Jounal entries final'!$C:$C,$Q$17)</f>
        <v>1034759</v>
      </c>
      <c r="F62" s="379">
        <f>SUMIFS('Jounal entries final'!$H:$H,'Jounal entries final'!$E:$E,$C$42,'Jounal entries final'!$M:$M,$C62,'Jounal entries final'!$B:$B,F$17,'Jounal entries final'!$C:$C,$Q$17)</f>
        <v>1069643</v>
      </c>
      <c r="G62" s="379">
        <f>SUMIFS('Jounal entries final'!$H:$H,'Jounal entries final'!$E:$E,$C$42,'Jounal entries final'!$M:$M,$C62,'Jounal entries final'!$B:$B,G$17,'Jounal entries final'!$C:$C,$Q$17)</f>
        <v>1627838</v>
      </c>
      <c r="H62" s="379">
        <f>SUMIFS('Jounal entries final'!$H:$H,'Jounal entries final'!$E:$E,$C$42,'Jounal entries final'!$M:$M,$C62,'Jounal entries final'!$B:$B,H$17,'Jounal entries final'!$C:$C,$Q$17)</f>
        <v>1755354</v>
      </c>
      <c r="I62" s="379">
        <f>SUMIFS('Jounal entries final'!$H:$H,'Jounal entries final'!$E:$E,$C$42,'Jounal entries final'!$M:$M,$C62,'Jounal entries final'!$B:$B,I$17,'Jounal entries final'!$C:$C,$Q$17)</f>
        <v>1946911</v>
      </c>
      <c r="J62" s="379">
        <f>SUMIFS('Jounal entries final'!$H:$H,'Jounal entries final'!$E:$E,$C$42,'Jounal entries final'!$M:$M,$C62,'Jounal entries final'!$B:$B,J$17,'Jounal entries final'!$C:$C,$Q$17)</f>
        <v>1345718</v>
      </c>
      <c r="K62" s="379">
        <f>SUMIFS('Jounal entries final'!$H:$H,'Jounal entries final'!$E:$E,$C$42,'Jounal entries final'!$M:$M,$C62,'Jounal entries final'!$B:$B,K$17,'Jounal entries final'!$C:$C,$Q$17)</f>
        <v>2054042</v>
      </c>
      <c r="L62" s="379">
        <f>SUMIFS('Jounal entries final'!$H:$H,'Jounal entries final'!$E:$E,$C$42,'Jounal entries final'!$M:$M,$C62,'Jounal entries final'!$B:$B,L$17,'Jounal entries final'!$C:$C,$Q$17)</f>
        <v>2061484</v>
      </c>
      <c r="M62" s="379">
        <f>SUMIFS('Jounal entries final'!$H:$H,'Jounal entries final'!$E:$E,$C$42,'Jounal entries final'!$M:$M,$C62,'Jounal entries final'!$B:$B,M$17,'Jounal entries final'!$C:$C,$Q$17)</f>
        <v>1170435</v>
      </c>
      <c r="N62" s="379">
        <f>SUMIFS('Jounal entries final'!$H:$H,'Jounal entries final'!$E:$E,$C$42,'Jounal entries final'!$M:$M,$C62,'Jounal entries final'!$B:$B,N$17,'Jounal entries final'!$C:$C,$Q$17)</f>
        <v>1206642</v>
      </c>
      <c r="O62" s="379">
        <f>SUMIFS('Jounal entries final'!$H:$H,'Jounal entries final'!$E:$E,$C$42,'Jounal entries final'!$M:$M,$C62,'Jounal entries final'!$B:$B,O$17,'Jounal entries final'!$C:$C,$Q$17)</f>
        <v>1055401</v>
      </c>
      <c r="P62" s="114"/>
    </row>
    <row r="63" spans="1:16">
      <c r="A63" s="819"/>
      <c r="B63" s="114"/>
      <c r="C63" s="118" t="s">
        <v>33</v>
      </c>
      <c r="D63" s="379">
        <f>SUMIFS('Jounal entries final'!$H:$H,'Jounal entries final'!$E:$E,$C$42,'Jounal entries final'!$M:$M,$C63,'Jounal entries final'!$B:$B,D$17,'Jounal entries final'!$C:$C,$Q$17)</f>
        <v>1756304</v>
      </c>
      <c r="E63" s="379">
        <f>SUMIFS('Jounal entries final'!$H:$H,'Jounal entries final'!$E:$E,$C$42,'Jounal entries final'!$M:$M,$C63,'Jounal entries final'!$B:$B,E$17,'Jounal entries final'!$C:$C,$Q$17)</f>
        <v>3038564</v>
      </c>
      <c r="F63" s="379">
        <f>SUMIFS('Jounal entries final'!$H:$H,'Jounal entries final'!$E:$E,$C$42,'Jounal entries final'!$M:$M,$C63,'Jounal entries final'!$B:$B,F$17,'Jounal entries final'!$C:$C,$Q$17)</f>
        <v>3485542</v>
      </c>
      <c r="G63" s="379">
        <f>SUMIFS('Jounal entries final'!$H:$H,'Jounal entries final'!$E:$E,$C$42,'Jounal entries final'!$M:$M,$C63,'Jounal entries final'!$B:$B,G$17,'Jounal entries final'!$C:$C,$Q$17)</f>
        <v>440505</v>
      </c>
      <c r="H63" s="379">
        <f>SUMIFS('Jounal entries final'!$H:$H,'Jounal entries final'!$E:$E,$C$42,'Jounal entries final'!$M:$M,$C63,'Jounal entries final'!$B:$B,H$17,'Jounal entries final'!$C:$C,$Q$17)</f>
        <v>1374009</v>
      </c>
      <c r="I63" s="379">
        <f>SUMIFS('Jounal entries final'!$H:$H,'Jounal entries final'!$E:$E,$C$42,'Jounal entries final'!$M:$M,$C63,'Jounal entries final'!$B:$B,I$17,'Jounal entries final'!$C:$C,$Q$17)</f>
        <v>2533749</v>
      </c>
      <c r="J63" s="379">
        <f>SUMIFS('Jounal entries final'!$H:$H,'Jounal entries final'!$E:$E,$C$42,'Jounal entries final'!$M:$M,$C63,'Jounal entries final'!$B:$B,J$17,'Jounal entries final'!$C:$C,$Q$17)</f>
        <v>3857622</v>
      </c>
      <c r="K63" s="379">
        <f>SUMIFS('Jounal entries final'!$H:$H,'Jounal entries final'!$E:$E,$C$42,'Jounal entries final'!$M:$M,$C63,'Jounal entries final'!$B:$B,K$17,'Jounal entries final'!$C:$C,$Q$17)</f>
        <v>5019692</v>
      </c>
      <c r="L63" s="379">
        <f>SUMIFS('Jounal entries final'!$H:$H,'Jounal entries final'!$E:$E,$C$42,'Jounal entries final'!$M:$M,$C63,'Jounal entries final'!$B:$B,L$17,'Jounal entries final'!$C:$C,$Q$17)</f>
        <v>3415572</v>
      </c>
      <c r="M63" s="379">
        <f>SUMIFS('Jounal entries final'!$H:$H,'Jounal entries final'!$E:$E,$C$42,'Jounal entries final'!$M:$M,$C63,'Jounal entries final'!$B:$B,M$17,'Jounal entries final'!$C:$C,$Q$17)</f>
        <v>1638358</v>
      </c>
      <c r="N63" s="379">
        <f>SUMIFS('Jounal entries final'!$H:$H,'Jounal entries final'!$E:$E,$C$42,'Jounal entries final'!$M:$M,$C63,'Jounal entries final'!$B:$B,N$17,'Jounal entries final'!$C:$C,$Q$17)</f>
        <v>1905794</v>
      </c>
      <c r="O63" s="379">
        <f>SUMIFS('Jounal entries final'!$H:$H,'Jounal entries final'!$E:$E,$C$42,'Jounal entries final'!$M:$M,$C63,'Jounal entries final'!$B:$B,O$17,'Jounal entries final'!$C:$C,$Q$17)</f>
        <v>3105194</v>
      </c>
      <c r="P63" s="114"/>
    </row>
    <row r="64" spans="1:16">
      <c r="A64" s="819"/>
      <c r="B64" s="114"/>
      <c r="C64" s="118" t="s">
        <v>38</v>
      </c>
      <c r="D64" s="379">
        <f>SUMIFS('Jounal entries final'!$H:$H,'Jounal entries final'!$E:$E,$C$42,'Jounal entries final'!$M:$M,$C64,'Jounal entries final'!$B:$B,D$17,'Jounal entries final'!$C:$C,$Q$17)</f>
        <v>1005360</v>
      </c>
      <c r="E64" s="379">
        <f>SUMIFS('Jounal entries final'!$H:$H,'Jounal entries final'!$E:$E,$C$42,'Jounal entries final'!$M:$M,$C64,'Jounal entries final'!$B:$B,E$17,'Jounal entries final'!$C:$C,$Q$17)</f>
        <v>1548704</v>
      </c>
      <c r="F64" s="379">
        <f>SUMIFS('Jounal entries final'!$H:$H,'Jounal entries final'!$E:$E,$C$42,'Jounal entries final'!$M:$M,$C64,'Jounal entries final'!$B:$B,F$17,'Jounal entries final'!$C:$C,$Q$17)</f>
        <v>2951664</v>
      </c>
      <c r="G64" s="379">
        <f>SUMIFS('Jounal entries final'!$H:$H,'Jounal entries final'!$E:$E,$C$42,'Jounal entries final'!$M:$M,$C64,'Jounal entries final'!$B:$B,G$17,'Jounal entries final'!$C:$C,$Q$17)</f>
        <v>3080200</v>
      </c>
      <c r="H64" s="379">
        <f>SUMIFS('Jounal entries final'!$H:$H,'Jounal entries final'!$E:$E,$C$42,'Jounal entries final'!$M:$M,$C64,'Jounal entries final'!$B:$B,H$17,'Jounal entries final'!$C:$C,$Q$17)</f>
        <v>2064221</v>
      </c>
      <c r="I64" s="379">
        <f>SUMIFS('Jounal entries final'!$H:$H,'Jounal entries final'!$E:$E,$C$42,'Jounal entries final'!$M:$M,$C64,'Jounal entries final'!$B:$B,I$17,'Jounal entries final'!$C:$C,$Q$17)</f>
        <v>2569734</v>
      </c>
      <c r="J64" s="379">
        <f>SUMIFS('Jounal entries final'!$H:$H,'Jounal entries final'!$E:$E,$C$42,'Jounal entries final'!$M:$M,$C64,'Jounal entries final'!$B:$B,J$17,'Jounal entries final'!$C:$C,$Q$17)</f>
        <v>1699393</v>
      </c>
      <c r="K64" s="379">
        <f>SUMIFS('Jounal entries final'!$H:$H,'Jounal entries final'!$E:$E,$C$42,'Jounal entries final'!$M:$M,$C64,'Jounal entries final'!$B:$B,K$17,'Jounal entries final'!$C:$C,$Q$17)</f>
        <v>3317479</v>
      </c>
      <c r="L64" s="379">
        <f>SUMIFS('Jounal entries final'!$H:$H,'Jounal entries final'!$E:$E,$C$42,'Jounal entries final'!$M:$M,$C64,'Jounal entries final'!$B:$B,L$17,'Jounal entries final'!$C:$C,$Q$17)</f>
        <v>2669934</v>
      </c>
      <c r="M64" s="379">
        <f>SUMIFS('Jounal entries final'!$H:$H,'Jounal entries final'!$E:$E,$C$42,'Jounal entries final'!$M:$M,$C64,'Jounal entries final'!$B:$B,M$17,'Jounal entries final'!$C:$C,$Q$17)</f>
        <v>2443068</v>
      </c>
      <c r="N64" s="379">
        <f>SUMIFS('Jounal entries final'!$H:$H,'Jounal entries final'!$E:$E,$C$42,'Jounal entries final'!$M:$M,$C64,'Jounal entries final'!$B:$B,N$17,'Jounal entries final'!$C:$C,$Q$17)</f>
        <v>1467324</v>
      </c>
      <c r="O64" s="379">
        <f>SUMIFS('Jounal entries final'!$H:$H,'Jounal entries final'!$E:$E,$C$42,'Jounal entries final'!$M:$M,$C64,'Jounal entries final'!$B:$B,O$17,'Jounal entries final'!$C:$C,$Q$17)</f>
        <v>2543256</v>
      </c>
      <c r="P64" s="114"/>
    </row>
    <row r="65" spans="1:16">
      <c r="A65" s="819"/>
      <c r="B65" s="114"/>
      <c r="C65" s="118" t="s">
        <v>34</v>
      </c>
      <c r="D65" s="379">
        <f>SUMIFS('Jounal entries final'!$H:$H,'Jounal entries final'!$E:$E,$C$42,'Jounal entries final'!$M:$M,$C65,'Jounal entries final'!$B:$B,D$17,'Jounal entries final'!$C:$C,$Q$17)</f>
        <v>1839104</v>
      </c>
      <c r="E65" s="379">
        <f>SUMIFS('Jounal entries final'!$H:$H,'Jounal entries final'!$E:$E,$C$42,'Jounal entries final'!$M:$M,$C65,'Jounal entries final'!$B:$B,E$17,'Jounal entries final'!$C:$C,$Q$17)</f>
        <v>3341768</v>
      </c>
      <c r="F65" s="379">
        <f>SUMIFS('Jounal entries final'!$H:$H,'Jounal entries final'!$E:$E,$C$42,'Jounal entries final'!$M:$M,$C65,'Jounal entries final'!$B:$B,F$17,'Jounal entries final'!$C:$C,$Q$17)</f>
        <v>2503520</v>
      </c>
      <c r="G65" s="379">
        <f>SUMIFS('Jounal entries final'!$H:$H,'Jounal entries final'!$E:$E,$C$42,'Jounal entries final'!$M:$M,$C65,'Jounal entries final'!$B:$B,G$17,'Jounal entries final'!$C:$C,$Q$17)</f>
        <v>2322432</v>
      </c>
      <c r="H65" s="379">
        <f>SUMIFS('Jounal entries final'!$H:$H,'Jounal entries final'!$E:$E,$C$42,'Jounal entries final'!$M:$M,$C65,'Jounal entries final'!$B:$B,H$17,'Jounal entries final'!$C:$C,$Q$17)</f>
        <v>3556080</v>
      </c>
      <c r="I65" s="379">
        <f>SUMIFS('Jounal entries final'!$H:$H,'Jounal entries final'!$E:$E,$C$42,'Jounal entries final'!$M:$M,$C65,'Jounal entries final'!$B:$B,I$17,'Jounal entries final'!$C:$C,$Q$17)</f>
        <v>4532695</v>
      </c>
      <c r="J65" s="379">
        <f>SUMIFS('Jounal entries final'!$H:$H,'Jounal entries final'!$E:$E,$C$42,'Jounal entries final'!$M:$M,$C65,'Jounal entries final'!$B:$B,J$17,'Jounal entries final'!$C:$C,$Q$17)</f>
        <v>3782410</v>
      </c>
      <c r="K65" s="379">
        <f>SUMIFS('Jounal entries final'!$H:$H,'Jounal entries final'!$E:$E,$C$42,'Jounal entries final'!$M:$M,$C65,'Jounal entries final'!$B:$B,K$17,'Jounal entries final'!$C:$C,$Q$17)</f>
        <v>5082352</v>
      </c>
      <c r="L65" s="379">
        <f>SUMIFS('Jounal entries final'!$H:$H,'Jounal entries final'!$E:$E,$C$42,'Jounal entries final'!$M:$M,$C65,'Jounal entries final'!$B:$B,L$17,'Jounal entries final'!$C:$C,$Q$17)</f>
        <v>2360659</v>
      </c>
      <c r="M65" s="379">
        <f>SUMIFS('Jounal entries final'!$H:$H,'Jounal entries final'!$E:$E,$C$42,'Jounal entries final'!$M:$M,$C65,'Jounal entries final'!$B:$B,M$17,'Jounal entries final'!$C:$C,$Q$17)</f>
        <v>2578330</v>
      </c>
      <c r="N65" s="379">
        <f>SUMIFS('Jounal entries final'!$H:$H,'Jounal entries final'!$E:$E,$C$42,'Jounal entries final'!$M:$M,$C65,'Jounal entries final'!$B:$B,N$17,'Jounal entries final'!$C:$C,$Q$17)</f>
        <v>3811562</v>
      </c>
      <c r="O65" s="379">
        <f>SUMIFS('Jounal entries final'!$H:$H,'Jounal entries final'!$E:$E,$C$42,'Jounal entries final'!$M:$M,$C65,'Jounal entries final'!$B:$B,O$17,'Jounal entries final'!$C:$C,$Q$17)</f>
        <v>4434786</v>
      </c>
      <c r="P65" s="114"/>
    </row>
    <row r="66" spans="1:16">
      <c r="A66" s="819"/>
      <c r="B66" s="114"/>
      <c r="C66" s="118" t="s">
        <v>35</v>
      </c>
      <c r="D66" s="379">
        <f>SUMIFS('Jounal entries final'!$H:$H,'Jounal entries final'!$E:$E,$C$42,'Jounal entries final'!$M:$M,$C66,'Jounal entries final'!$B:$B,D$17,'Jounal entries final'!$C:$C,$Q$17)</f>
        <v>1110474</v>
      </c>
      <c r="E66" s="379">
        <f>SUMIFS('Jounal entries final'!$H:$H,'Jounal entries final'!$E:$E,$C$42,'Jounal entries final'!$M:$M,$C66,'Jounal entries final'!$B:$B,E$17,'Jounal entries final'!$C:$C,$Q$17)</f>
        <v>3125394</v>
      </c>
      <c r="F66" s="379">
        <f>SUMIFS('Jounal entries final'!$H:$H,'Jounal entries final'!$E:$E,$C$42,'Jounal entries final'!$M:$M,$C66,'Jounal entries final'!$B:$B,F$17,'Jounal entries final'!$C:$C,$Q$17)</f>
        <v>2387086</v>
      </c>
      <c r="G66" s="379">
        <f>SUMIFS('Jounal entries final'!$H:$H,'Jounal entries final'!$E:$E,$C$42,'Jounal entries final'!$M:$M,$C66,'Jounal entries final'!$B:$B,G$17,'Jounal entries final'!$C:$C,$Q$17)</f>
        <v>1468482</v>
      </c>
      <c r="H66" s="379">
        <f>SUMIFS('Jounal entries final'!$H:$H,'Jounal entries final'!$E:$E,$C$42,'Jounal entries final'!$M:$M,$C66,'Jounal entries final'!$B:$B,H$17,'Jounal entries final'!$C:$C,$Q$17)</f>
        <v>2434652</v>
      </c>
      <c r="I66" s="379">
        <f>SUMIFS('Jounal entries final'!$H:$H,'Jounal entries final'!$E:$E,$C$42,'Jounal entries final'!$M:$M,$C66,'Jounal entries final'!$B:$B,I$17,'Jounal entries final'!$C:$C,$Q$17)</f>
        <v>1938936</v>
      </c>
      <c r="J66" s="379">
        <f>SUMIFS('Jounal entries final'!$H:$H,'Jounal entries final'!$E:$E,$C$42,'Jounal entries final'!$M:$M,$C66,'Jounal entries final'!$B:$B,J$17,'Jounal entries final'!$C:$C,$Q$17)</f>
        <v>2516152</v>
      </c>
      <c r="K66" s="379">
        <f>SUMIFS('Jounal entries final'!$H:$H,'Jounal entries final'!$E:$E,$C$42,'Jounal entries final'!$M:$M,$C66,'Jounal entries final'!$B:$B,K$17,'Jounal entries final'!$C:$C,$Q$17)</f>
        <v>1182394</v>
      </c>
      <c r="L66" s="379">
        <f>SUMIFS('Jounal entries final'!$H:$H,'Jounal entries final'!$E:$E,$C$42,'Jounal entries final'!$M:$M,$C66,'Jounal entries final'!$B:$B,L$17,'Jounal entries final'!$C:$C,$Q$17)</f>
        <v>1736558</v>
      </c>
      <c r="M66" s="379">
        <f>SUMIFS('Jounal entries final'!$H:$H,'Jounal entries final'!$E:$E,$C$42,'Jounal entries final'!$M:$M,$C66,'Jounal entries final'!$B:$B,M$17,'Jounal entries final'!$C:$C,$Q$17)</f>
        <v>2143499</v>
      </c>
      <c r="N66" s="379">
        <f>SUMIFS('Jounal entries final'!$H:$H,'Jounal entries final'!$E:$E,$C$42,'Jounal entries final'!$M:$M,$C66,'Jounal entries final'!$B:$B,N$17,'Jounal entries final'!$C:$C,$Q$17)</f>
        <v>3254959</v>
      </c>
      <c r="O66" s="379">
        <f>SUMIFS('Jounal entries final'!$H:$H,'Jounal entries final'!$E:$E,$C$42,'Jounal entries final'!$M:$M,$C66,'Jounal entries final'!$B:$B,O$17,'Jounal entries final'!$C:$C,$Q$17)</f>
        <v>4341371</v>
      </c>
      <c r="P66" s="114"/>
    </row>
    <row r="68" spans="1:16" ht="18">
      <c r="B68" s="234"/>
      <c r="C68" s="380" t="s">
        <v>39</v>
      </c>
      <c r="D68" s="381">
        <f>(D57/D46)*30</f>
        <v>30</v>
      </c>
      <c r="E68" s="381">
        <f>(E57/SUM(D46:E46))*60</f>
        <v>60</v>
      </c>
      <c r="F68" s="381">
        <f>(F57/(SUM(D46:F46))*90)</f>
        <v>90</v>
      </c>
      <c r="G68" s="381">
        <f t="shared" ref="G68:O77" si="1">(G57/(SUM(E46:G46))*90)</f>
        <v>65.836405771099649</v>
      </c>
      <c r="H68" s="381">
        <f t="shared" si="1"/>
        <v>57.296364661906161</v>
      </c>
      <c r="I68" s="381">
        <f t="shared" si="1"/>
        <v>56.390216294429521</v>
      </c>
      <c r="J68" s="381">
        <f t="shared" si="1"/>
        <v>81.861494173619249</v>
      </c>
      <c r="K68" s="381">
        <f t="shared" si="1"/>
        <v>52.092233975958528</v>
      </c>
      <c r="L68" s="381">
        <f t="shared" si="1"/>
        <v>90</v>
      </c>
      <c r="M68" s="381">
        <f t="shared" si="1"/>
        <v>90</v>
      </c>
      <c r="N68" s="381">
        <f t="shared" si="1"/>
        <v>38.084275154554575</v>
      </c>
      <c r="O68" s="381">
        <f t="shared" si="1"/>
        <v>60.907594505619258</v>
      </c>
      <c r="P68" s="114"/>
    </row>
    <row r="69" spans="1:16" ht="18">
      <c r="B69" s="234"/>
      <c r="C69" s="380" t="s">
        <v>31</v>
      </c>
      <c r="D69" s="381">
        <f t="shared" ref="D69:D77" si="2">(D58/D47)*30</f>
        <v>30</v>
      </c>
      <c r="E69" s="381">
        <f t="shared" ref="E69:E77" si="3">(E58/SUM(D47:E47))*60</f>
        <v>60</v>
      </c>
      <c r="F69" s="381">
        <f t="shared" ref="F69:F77" si="4">(F58/(SUM(D47:F47))*90)</f>
        <v>90</v>
      </c>
      <c r="G69" s="381">
        <f t="shared" si="1"/>
        <v>90</v>
      </c>
      <c r="H69" s="381">
        <f t="shared" si="1"/>
        <v>90</v>
      </c>
      <c r="I69" s="381">
        <f t="shared" si="1"/>
        <v>90</v>
      </c>
      <c r="J69" s="381">
        <f t="shared" si="1"/>
        <v>56.682493784744082</v>
      </c>
      <c r="K69" s="381">
        <f t="shared" si="1"/>
        <v>73.94240683713366</v>
      </c>
      <c r="L69" s="381">
        <f t="shared" si="1"/>
        <v>90</v>
      </c>
      <c r="M69" s="381">
        <f t="shared" si="1"/>
        <v>90</v>
      </c>
      <c r="N69" s="381">
        <f t="shared" si="1"/>
        <v>137.18583080845295</v>
      </c>
      <c r="O69" s="381">
        <f t="shared" si="1"/>
        <v>25.018377088740817</v>
      </c>
      <c r="P69" s="114"/>
    </row>
    <row r="70" spans="1:16" ht="18">
      <c r="B70" s="234"/>
      <c r="C70" s="380" t="s">
        <v>40</v>
      </c>
      <c r="D70" s="381">
        <f t="shared" si="2"/>
        <v>30</v>
      </c>
      <c r="E70" s="381">
        <f>(E59/SUM(D48:E48))*60</f>
        <v>18.757589825802778</v>
      </c>
      <c r="F70" s="381">
        <f t="shared" si="4"/>
        <v>64.141991839395629</v>
      </c>
      <c r="G70" s="381">
        <f t="shared" si="1"/>
        <v>90</v>
      </c>
      <c r="H70" s="381">
        <f t="shared" si="1"/>
        <v>51.654848858478807</v>
      </c>
      <c r="I70" s="381">
        <f t="shared" si="1"/>
        <v>90</v>
      </c>
      <c r="J70" s="381">
        <f t="shared" si="1"/>
        <v>49.364452423698388</v>
      </c>
      <c r="K70" s="381">
        <f t="shared" si="1"/>
        <v>52.270038969808454</v>
      </c>
      <c r="L70" s="381">
        <f t="shared" si="1"/>
        <v>13.376527263841375</v>
      </c>
      <c r="M70" s="381">
        <f t="shared" si="1"/>
        <v>50.072656643406951</v>
      </c>
      <c r="N70" s="381">
        <f t="shared" si="1"/>
        <v>90</v>
      </c>
      <c r="O70" s="381">
        <f t="shared" si="1"/>
        <v>35.167698831173603</v>
      </c>
      <c r="P70" s="114"/>
    </row>
    <row r="71" spans="1:16" ht="18">
      <c r="B71" s="234"/>
      <c r="C71" s="380" t="s">
        <v>36</v>
      </c>
      <c r="D71" s="381">
        <f t="shared" si="2"/>
        <v>123.07520476545049</v>
      </c>
      <c r="E71" s="381">
        <f t="shared" si="3"/>
        <v>120.21007294450337</v>
      </c>
      <c r="F71" s="381">
        <f t="shared" si="4"/>
        <v>132.73827926277744</v>
      </c>
      <c r="G71" s="381">
        <f t="shared" si="1"/>
        <v>53.037931733965557</v>
      </c>
      <c r="H71" s="381">
        <f t="shared" si="1"/>
        <v>90</v>
      </c>
      <c r="I71" s="381">
        <f t="shared" si="1"/>
        <v>117.33961892761573</v>
      </c>
      <c r="J71" s="381">
        <f t="shared" si="1"/>
        <v>90</v>
      </c>
      <c r="K71" s="381">
        <f t="shared" si="1"/>
        <v>90</v>
      </c>
      <c r="L71" s="381">
        <f t="shared" si="1"/>
        <v>106.97123443452668</v>
      </c>
      <c r="M71" s="381">
        <f t="shared" si="1"/>
        <v>55.451361728800784</v>
      </c>
      <c r="N71" s="381">
        <f t="shared" si="1"/>
        <v>90</v>
      </c>
      <c r="O71" s="381">
        <f t="shared" si="1"/>
        <v>59.041032499529614</v>
      </c>
      <c r="P71" s="114"/>
    </row>
    <row r="72" spans="1:16" ht="18">
      <c r="B72" s="234"/>
      <c r="C72" s="380" t="s">
        <v>32</v>
      </c>
      <c r="D72" s="381">
        <f t="shared" si="2"/>
        <v>30</v>
      </c>
      <c r="E72" s="381">
        <f t="shared" si="3"/>
        <v>60</v>
      </c>
      <c r="F72" s="381">
        <f t="shared" si="4"/>
        <v>90</v>
      </c>
      <c r="G72" s="381">
        <f t="shared" si="1"/>
        <v>43.005722284914363</v>
      </c>
      <c r="H72" s="381">
        <f t="shared" si="1"/>
        <v>73.048360250244215</v>
      </c>
      <c r="I72" s="381">
        <f t="shared" si="1"/>
        <v>90</v>
      </c>
      <c r="J72" s="381">
        <f t="shared" si="1"/>
        <v>65.993949667099997</v>
      </c>
      <c r="K72" s="381">
        <f t="shared" si="1"/>
        <v>58.742137061255796</v>
      </c>
      <c r="L72" s="381">
        <f t="shared" si="1"/>
        <v>70.529102288503424</v>
      </c>
      <c r="M72" s="381">
        <f t="shared" si="1"/>
        <v>73.514769646942256</v>
      </c>
      <c r="N72" s="381">
        <f t="shared" si="1"/>
        <v>90</v>
      </c>
      <c r="O72" s="381">
        <f t="shared" si="1"/>
        <v>50.519114026656489</v>
      </c>
      <c r="P72" s="114"/>
    </row>
    <row r="73" spans="1:16" ht="18">
      <c r="B73" s="234"/>
      <c r="C73" s="380" t="s">
        <v>37</v>
      </c>
      <c r="D73" s="381">
        <f t="shared" si="2"/>
        <v>30</v>
      </c>
      <c r="E73" s="381">
        <f t="shared" si="3"/>
        <v>60</v>
      </c>
      <c r="F73" s="381">
        <f t="shared" si="4"/>
        <v>59.401473870362835</v>
      </c>
      <c r="G73" s="381">
        <f t="shared" si="1"/>
        <v>90</v>
      </c>
      <c r="H73" s="381">
        <f t="shared" si="1"/>
        <v>85.052859961614146</v>
      </c>
      <c r="I73" s="381">
        <f t="shared" si="1"/>
        <v>90</v>
      </c>
      <c r="J73" s="381">
        <f t="shared" si="1"/>
        <v>58.819031171780374</v>
      </c>
      <c r="K73" s="381">
        <f t="shared" si="1"/>
        <v>90</v>
      </c>
      <c r="L73" s="381">
        <f t="shared" si="1"/>
        <v>90</v>
      </c>
      <c r="M73" s="381">
        <f t="shared" si="1"/>
        <v>56.068473923478209</v>
      </c>
      <c r="N73" s="381">
        <f t="shared" si="1"/>
        <v>57.477024598128935</v>
      </c>
      <c r="O73" s="381">
        <f t="shared" si="1"/>
        <v>53.532048977162702</v>
      </c>
      <c r="P73" s="114"/>
    </row>
    <row r="74" spans="1:16" ht="18">
      <c r="B74" s="234"/>
      <c r="C74" s="380" t="s">
        <v>33</v>
      </c>
      <c r="D74" s="381">
        <f t="shared" si="2"/>
        <v>30</v>
      </c>
      <c r="E74" s="381">
        <f t="shared" si="3"/>
        <v>60</v>
      </c>
      <c r="F74" s="381">
        <f t="shared" si="4"/>
        <v>90</v>
      </c>
      <c r="G74" s="381">
        <f t="shared" si="1"/>
        <v>18.271956632651886</v>
      </c>
      <c r="H74" s="381">
        <f t="shared" si="1"/>
        <v>67.908672604472187</v>
      </c>
      <c r="I74" s="381">
        <f t="shared" si="1"/>
        <v>90</v>
      </c>
      <c r="J74" s="381">
        <f t="shared" si="1"/>
        <v>90</v>
      </c>
      <c r="K74" s="381">
        <f t="shared" si="1"/>
        <v>110.56081609558835</v>
      </c>
      <c r="L74" s="381">
        <f t="shared" si="1"/>
        <v>90</v>
      </c>
      <c r="M74" s="381">
        <f t="shared" si="1"/>
        <v>52.653458685600917</v>
      </c>
      <c r="N74" s="381">
        <f t="shared" si="1"/>
        <v>71.618928080209841</v>
      </c>
      <c r="O74" s="381">
        <f t="shared" si="1"/>
        <v>90</v>
      </c>
      <c r="P74" s="114"/>
    </row>
    <row r="75" spans="1:16" ht="18">
      <c r="B75" s="234"/>
      <c r="C75" s="380" t="s">
        <v>38</v>
      </c>
      <c r="D75" s="381">
        <f t="shared" si="2"/>
        <v>30</v>
      </c>
      <c r="E75" s="381">
        <f t="shared" si="3"/>
        <v>60</v>
      </c>
      <c r="F75" s="381">
        <f t="shared" si="4"/>
        <v>90</v>
      </c>
      <c r="G75" s="381">
        <f t="shared" si="1"/>
        <v>105.88178676517769</v>
      </c>
      <c r="H75" s="381">
        <f t="shared" si="1"/>
        <v>53.582403110769242</v>
      </c>
      <c r="I75" s="381">
        <f t="shared" si="1"/>
        <v>71.345959142575268</v>
      </c>
      <c r="J75" s="381">
        <f t="shared" si="1"/>
        <v>49.469123152250489</v>
      </c>
      <c r="K75" s="381">
        <f t="shared" si="1"/>
        <v>90</v>
      </c>
      <c r="L75" s="381">
        <f t="shared" si="1"/>
        <v>75.281650560443921</v>
      </c>
      <c r="M75" s="381">
        <f t="shared" si="1"/>
        <v>54.141290874465724</v>
      </c>
      <c r="N75" s="381">
        <f t="shared" si="1"/>
        <v>46.198050476046546</v>
      </c>
      <c r="O75" s="381">
        <f t="shared" si="1"/>
        <v>79.40429358210632</v>
      </c>
      <c r="P75" s="114"/>
    </row>
    <row r="76" spans="1:16" ht="18">
      <c r="B76" s="234"/>
      <c r="C76" s="380" t="s">
        <v>34</v>
      </c>
      <c r="D76" s="381">
        <f t="shared" si="2"/>
        <v>30</v>
      </c>
      <c r="E76" s="381">
        <f t="shared" si="3"/>
        <v>60</v>
      </c>
      <c r="F76" s="381">
        <f t="shared" si="4"/>
        <v>56.242249482300366</v>
      </c>
      <c r="G76" s="381">
        <f t="shared" si="1"/>
        <v>54.644087364081841</v>
      </c>
      <c r="H76" s="381">
        <f t="shared" si="1"/>
        <v>90</v>
      </c>
      <c r="I76" s="381">
        <f t="shared" si="1"/>
        <v>90</v>
      </c>
      <c r="J76" s="381">
        <f t="shared" si="1"/>
        <v>90</v>
      </c>
      <c r="K76" s="381">
        <f t="shared" si="1"/>
        <v>118.84823566582413</v>
      </c>
      <c r="L76" s="381">
        <f t="shared" si="1"/>
        <v>58.039461279718822</v>
      </c>
      <c r="M76" s="381">
        <f t="shared" si="1"/>
        <v>59.833271106307137</v>
      </c>
      <c r="N76" s="381">
        <f t="shared" si="1"/>
        <v>90</v>
      </c>
      <c r="O76" s="381">
        <f t="shared" si="1"/>
        <v>97.176886780968331</v>
      </c>
      <c r="P76" s="114"/>
    </row>
    <row r="77" spans="1:16" ht="18">
      <c r="B77" s="234"/>
      <c r="C77" s="380" t="s">
        <v>35</v>
      </c>
      <c r="D77" s="381">
        <f t="shared" si="2"/>
        <v>30</v>
      </c>
      <c r="E77" s="381">
        <f t="shared" si="3"/>
        <v>60</v>
      </c>
      <c r="F77" s="381">
        <f t="shared" si="4"/>
        <v>61.425033451892176</v>
      </c>
      <c r="G77" s="381">
        <f t="shared" si="1"/>
        <v>37.940892265664431</v>
      </c>
      <c r="H77" s="381">
        <f t="shared" si="1"/>
        <v>78.066579307956545</v>
      </c>
      <c r="I77" s="381">
        <f t="shared" si="1"/>
        <v>57.492504740957266</v>
      </c>
      <c r="J77" s="381">
        <f t="shared" si="1"/>
        <v>90</v>
      </c>
      <c r="K77" s="381">
        <f t="shared" si="1"/>
        <v>59.683577174123975</v>
      </c>
      <c r="L77" s="381">
        <f t="shared" si="1"/>
        <v>90</v>
      </c>
      <c r="M77" s="381">
        <f t="shared" si="1"/>
        <v>70.18464155664708</v>
      </c>
      <c r="N77" s="381">
        <f t="shared" si="1"/>
        <v>90</v>
      </c>
      <c r="O77" s="381">
        <f t="shared" si="1"/>
        <v>90</v>
      </c>
      <c r="P77" s="114"/>
    </row>
    <row r="78" spans="1:16" ht="18">
      <c r="B78" s="234"/>
      <c r="C78" s="382" t="s">
        <v>235</v>
      </c>
      <c r="D78" s="383">
        <f>+D44</f>
        <v>34.364999195748901</v>
      </c>
      <c r="E78" s="383">
        <f t="shared" ref="E78:O78" si="5">+E44</f>
        <v>63.170591127120879</v>
      </c>
      <c r="F78" s="383">
        <f t="shared" si="5"/>
        <v>84.180384607685866</v>
      </c>
      <c r="G78" s="383">
        <f t="shared" si="5"/>
        <v>64.038102274834188</v>
      </c>
      <c r="H78" s="383">
        <f t="shared" si="5"/>
        <v>70.192604730726558</v>
      </c>
      <c r="I78" s="383">
        <f t="shared" si="5"/>
        <v>78.58607721637901</v>
      </c>
      <c r="J78" s="383">
        <f t="shared" si="5"/>
        <v>75.379835043954799</v>
      </c>
      <c r="K78" s="383">
        <f t="shared" si="5"/>
        <v>78.146001683947034</v>
      </c>
      <c r="L78" s="383">
        <f t="shared" si="5"/>
        <v>80.270290522238199</v>
      </c>
      <c r="M78" s="383">
        <f t="shared" si="5"/>
        <v>68.614582982194293</v>
      </c>
      <c r="N78" s="383">
        <f t="shared" si="5"/>
        <v>74.248473096024483</v>
      </c>
      <c r="O78" s="383">
        <f t="shared" si="5"/>
        <v>69.068015351372139</v>
      </c>
      <c r="P78" s="114"/>
    </row>
  </sheetData>
  <mergeCells count="3">
    <mergeCell ref="C25:E25"/>
    <mergeCell ref="A46:A66"/>
    <mergeCell ref="C28:F34"/>
  </mergeCells>
  <conditionalFormatting sqref="C42">
    <cfRule type="cellIs" dxfId="52" priority="12" operator="lessThan">
      <formula>0</formula>
    </cfRule>
  </conditionalFormatting>
  <conditionalFormatting sqref="C43:D43">
    <cfRule type="cellIs" dxfId="51" priority="9" operator="lessThan">
      <formula>0</formula>
    </cfRule>
  </conditionalFormatting>
  <conditionalFormatting sqref="F26:F27">
    <cfRule type="iconSet" priority="7">
      <iconSet iconSet="3Arrows">
        <cfvo type="percent" val="0"/>
        <cfvo type="num" val="0"/>
        <cfvo type="num" val="9.9999999999999995E-8" gte="0"/>
      </iconSet>
    </cfRule>
  </conditionalFormatting>
  <hyperlinks>
    <hyperlink ref="D44" location="'Indepth Working Capital'!A1" display="'Indepth Working Capital'!A1" xr:uid="{B6FA540C-C00B-4C2C-BF4A-A5EF5393B9DA}"/>
    <hyperlink ref="D19" location="'Indepth WC DSO'!A1" display="DSO" xr:uid="{D506A56A-36C2-4883-B946-7DE37387F861}"/>
    <hyperlink ref="E19" location="'Indepth WC DIO'!A1" display="DIO" xr:uid="{5B42A25E-3F56-4649-A604-E4AB58344B74}"/>
    <hyperlink ref="F19" location="'Indepth WC DPO'!A1" display="DPO" xr:uid="{8A51E64E-3BC7-4F03-8A93-E3D69708EFA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68225-301F-48A7-B80B-6E8905FB6262}">
  <sheetPr codeName="Sheet39">
    <tabColor theme="4" tint="0.79998168889431442"/>
  </sheetPr>
  <dimension ref="A1:Q66"/>
  <sheetViews>
    <sheetView showGridLines="0" zoomScale="80" zoomScaleNormal="80" workbookViewId="0">
      <selection activeCell="F19" sqref="F19"/>
    </sheetView>
  </sheetViews>
  <sheetFormatPr baseColWidth="10" defaultColWidth="8.83203125" defaultRowHeight="15"/>
  <cols>
    <col min="1" max="1" width="2.83203125" style="236" customWidth="1"/>
    <col min="2" max="2" width="2.1640625" style="236" customWidth="1"/>
    <col min="3" max="3" width="28.5" style="243" customWidth="1"/>
    <col min="4" max="4" width="16.83203125" style="344" bestFit="1" customWidth="1"/>
    <col min="5" max="15" width="16" style="344" bestFit="1" customWidth="1"/>
    <col min="16" max="16" width="1.5" style="236" customWidth="1"/>
    <col min="17" max="17" width="8.83203125" style="236"/>
    <col min="18" max="16384" width="8.83203125" style="114"/>
  </cols>
  <sheetData>
    <row r="1" spans="1:17">
      <c r="A1" s="205"/>
      <c r="B1" s="205"/>
      <c r="C1" s="205"/>
      <c r="D1" s="205"/>
      <c r="E1" s="205"/>
      <c r="F1" s="205"/>
      <c r="G1" s="205"/>
      <c r="H1" s="205"/>
      <c r="I1" s="205"/>
      <c r="J1" s="114"/>
      <c r="K1" s="114"/>
      <c r="L1" s="630"/>
      <c r="M1" s="630"/>
      <c r="N1" s="114"/>
      <c r="O1" s="114"/>
      <c r="P1" s="114"/>
      <c r="Q1" s="114"/>
    </row>
    <row r="2" spans="1:17">
      <c r="A2" s="205"/>
      <c r="B2" s="205"/>
      <c r="C2" s="205"/>
      <c r="D2" s="205"/>
      <c r="E2" s="205"/>
      <c r="F2" s="205"/>
      <c r="G2" s="205"/>
      <c r="H2" s="205"/>
      <c r="I2" s="205"/>
      <c r="J2" s="114"/>
      <c r="K2" s="114"/>
      <c r="L2" s="630"/>
      <c r="M2" s="630"/>
      <c r="N2" s="114"/>
      <c r="O2" s="114"/>
      <c r="P2" s="114"/>
      <c r="Q2" s="114"/>
    </row>
    <row r="3" spans="1:17">
      <c r="A3" s="205"/>
      <c r="B3" s="205"/>
      <c r="C3" s="205"/>
      <c r="D3" s="205"/>
      <c r="E3" s="205"/>
      <c r="F3" s="205"/>
      <c r="G3" s="205"/>
      <c r="H3" s="205"/>
      <c r="I3" s="205"/>
      <c r="J3" s="114"/>
      <c r="K3" s="114"/>
      <c r="L3" s="630"/>
      <c r="M3" s="630"/>
      <c r="N3" s="114"/>
      <c r="O3" s="114"/>
      <c r="P3" s="114"/>
      <c r="Q3" s="114"/>
    </row>
    <row r="4" spans="1:17">
      <c r="A4" s="205"/>
      <c r="B4" s="205"/>
      <c r="C4" s="205"/>
      <c r="D4" s="205"/>
      <c r="E4" s="205"/>
      <c r="F4" s="205"/>
      <c r="G4" s="205"/>
      <c r="H4" s="205"/>
      <c r="I4" s="205"/>
      <c r="J4" s="114"/>
      <c r="K4" s="114"/>
      <c r="L4" s="630"/>
      <c r="M4" s="630"/>
      <c r="N4" s="114"/>
      <c r="O4" s="114"/>
      <c r="P4" s="114"/>
      <c r="Q4" s="114"/>
    </row>
    <row r="5" spans="1:17">
      <c r="A5" s="205"/>
      <c r="B5" s="205"/>
      <c r="C5" s="205"/>
      <c r="D5" s="205"/>
      <c r="E5" s="205"/>
      <c r="F5" s="205"/>
      <c r="G5" s="205"/>
      <c r="H5" s="205"/>
      <c r="I5" s="205"/>
      <c r="J5" s="114"/>
      <c r="K5" s="114"/>
      <c r="L5" s="630"/>
      <c r="M5" s="630"/>
      <c r="N5" s="114"/>
      <c r="O5" s="114"/>
      <c r="P5" s="114"/>
      <c r="Q5" s="114"/>
    </row>
    <row r="6" spans="1:17">
      <c r="A6" s="205"/>
      <c r="B6" s="205"/>
      <c r="C6" s="205"/>
      <c r="D6" s="205"/>
      <c r="E6" s="205"/>
      <c r="F6" s="205"/>
      <c r="G6" s="205"/>
      <c r="H6" s="205"/>
      <c r="I6" s="205"/>
      <c r="J6" s="114"/>
      <c r="K6" s="114"/>
      <c r="L6" s="630"/>
      <c r="M6" s="630"/>
      <c r="N6" s="114"/>
      <c r="O6" s="114"/>
      <c r="P6" s="114"/>
      <c r="Q6" s="114"/>
    </row>
    <row r="7" spans="1:17">
      <c r="A7" s="205"/>
      <c r="B7" s="205"/>
      <c r="C7" s="205"/>
      <c r="D7" s="205"/>
      <c r="E7" s="205"/>
      <c r="F7" s="205"/>
      <c r="G7" s="205"/>
      <c r="H7" s="205"/>
      <c r="I7" s="205"/>
      <c r="J7" s="114"/>
      <c r="K7" s="114"/>
      <c r="L7" s="630"/>
      <c r="M7" s="630"/>
      <c r="N7" s="114"/>
      <c r="O7" s="114"/>
      <c r="P7" s="114"/>
      <c r="Q7" s="114"/>
    </row>
    <row r="8" spans="1:17">
      <c r="A8" s="205"/>
      <c r="B8" s="205"/>
      <c r="C8" s="205"/>
      <c r="D8" s="205"/>
      <c r="E8" s="205"/>
      <c r="F8" s="205"/>
      <c r="G8" s="205"/>
      <c r="H8" s="205"/>
      <c r="I8" s="205"/>
      <c r="J8" s="114"/>
      <c r="K8" s="114"/>
      <c r="L8" s="630"/>
      <c r="M8" s="630"/>
      <c r="N8" s="114"/>
      <c r="O8" s="114"/>
      <c r="P8" s="114"/>
      <c r="Q8" s="114"/>
    </row>
    <row r="9" spans="1:17">
      <c r="A9" s="205"/>
      <c r="B9" s="205"/>
      <c r="C9" s="205"/>
      <c r="D9" s="205"/>
      <c r="E9" s="205"/>
      <c r="F9" s="205"/>
      <c r="G9" s="205"/>
      <c r="H9" s="205"/>
      <c r="I9" s="205"/>
      <c r="J9" s="114"/>
      <c r="K9" s="114"/>
      <c r="L9" s="630"/>
      <c r="M9" s="630"/>
      <c r="N9" s="114"/>
      <c r="O9" s="114"/>
      <c r="P9" s="114"/>
      <c r="Q9" s="114"/>
    </row>
    <row r="10" spans="1:17">
      <c r="A10" s="205"/>
      <c r="B10" s="205"/>
      <c r="C10" s="205"/>
      <c r="D10" s="205"/>
      <c r="E10" s="205"/>
      <c r="F10" s="205"/>
      <c r="G10" s="205"/>
      <c r="H10" s="205"/>
      <c r="I10" s="205"/>
      <c r="J10" s="114"/>
      <c r="K10" s="114"/>
      <c r="L10" s="630"/>
      <c r="M10" s="630"/>
      <c r="N10" s="114"/>
      <c r="O10" s="114"/>
      <c r="P10" s="114"/>
      <c r="Q10" s="114"/>
    </row>
    <row r="11" spans="1:17">
      <c r="A11" s="205"/>
      <c r="B11" s="205"/>
      <c r="C11" s="205"/>
      <c r="D11" s="205"/>
      <c r="E11" s="205"/>
      <c r="F11" s="205"/>
      <c r="G11" s="205"/>
      <c r="H11" s="205"/>
      <c r="I11" s="205"/>
      <c r="J11" s="114"/>
      <c r="K11" s="114"/>
      <c r="L11" s="630"/>
      <c r="M11" s="630"/>
      <c r="N11" s="114"/>
      <c r="O11" s="114"/>
      <c r="P11" s="114"/>
      <c r="Q11" s="114"/>
    </row>
    <row r="12" spans="1:17">
      <c r="A12" s="205"/>
      <c r="B12" s="205"/>
      <c r="C12" s="205"/>
      <c r="D12" s="205"/>
      <c r="E12" s="205"/>
      <c r="F12" s="205"/>
      <c r="G12" s="205"/>
      <c r="H12" s="205"/>
      <c r="I12" s="205"/>
      <c r="J12" s="114"/>
      <c r="K12" s="114"/>
      <c r="L12" s="630"/>
      <c r="M12" s="630"/>
      <c r="N12" s="114"/>
      <c r="O12" s="114"/>
      <c r="P12" s="114"/>
      <c r="Q12" s="114"/>
    </row>
    <row r="13" spans="1:17" s="236" customFormat="1" ht="19">
      <c r="A13" s="205"/>
      <c r="B13" s="205"/>
      <c r="C13" s="205"/>
      <c r="D13" s="205"/>
      <c r="E13" s="205"/>
      <c r="F13" s="342" t="s">
        <v>258</v>
      </c>
      <c r="G13" s="342" t="s">
        <v>256</v>
      </c>
      <c r="H13" s="342" t="s">
        <v>259</v>
      </c>
      <c r="I13" s="342" t="s">
        <v>257</v>
      </c>
      <c r="J13" s="114"/>
      <c r="K13" s="114"/>
      <c r="L13" s="630"/>
      <c r="M13" s="630"/>
    </row>
    <row r="14" spans="1:17" s="236" customFormat="1">
      <c r="A14" s="205"/>
      <c r="B14" s="205"/>
      <c r="C14" s="205"/>
      <c r="D14" s="343"/>
      <c r="E14" s="205"/>
      <c r="F14" s="205"/>
      <c r="G14" s="205"/>
      <c r="H14" s="205"/>
      <c r="I14" s="205"/>
      <c r="J14" s="114"/>
      <c r="K14" s="114"/>
      <c r="L14" s="630"/>
      <c r="M14" s="630"/>
    </row>
    <row r="15" spans="1:17" ht="19" hidden="1">
      <c r="A15" s="114"/>
      <c r="B15" s="114"/>
      <c r="C15" s="118"/>
      <c r="D15" s="121"/>
      <c r="E15" s="121"/>
      <c r="F15" s="121"/>
      <c r="G15" s="205"/>
      <c r="H15" s="205"/>
      <c r="I15" s="205"/>
      <c r="J15" s="205"/>
      <c r="K15" s="205"/>
      <c r="L15" s="342"/>
      <c r="M15" s="342"/>
      <c r="N15" s="342"/>
      <c r="O15" s="342"/>
      <c r="P15" s="114"/>
      <c r="Q15" s="114"/>
    </row>
    <row r="16" spans="1:17" ht="16" hidden="1" thickBot="1">
      <c r="A16" s="114"/>
      <c r="B16" s="114"/>
      <c r="C16" s="114"/>
      <c r="D16" s="205"/>
      <c r="E16" s="205"/>
      <c r="F16" s="205"/>
      <c r="G16" s="205"/>
      <c r="H16" s="205"/>
      <c r="I16" s="205"/>
      <c r="J16" s="343"/>
      <c r="K16" s="205"/>
      <c r="L16" s="205"/>
      <c r="M16" s="205"/>
      <c r="N16" s="205"/>
      <c r="O16" s="205"/>
      <c r="P16" s="114"/>
      <c r="Q16" s="114"/>
    </row>
    <row r="17" spans="1:17" s="287" customFormat="1" ht="26.5" hidden="1" customHeight="1" thickBot="1">
      <c r="C17" s="281" t="s">
        <v>174</v>
      </c>
      <c r="D17" s="285">
        <v>1</v>
      </c>
      <c r="E17" s="285">
        <v>2</v>
      </c>
      <c r="F17" s="285">
        <v>3</v>
      </c>
      <c r="G17" s="285">
        <v>4</v>
      </c>
      <c r="H17" s="285">
        <v>5</v>
      </c>
      <c r="I17" s="285">
        <v>6</v>
      </c>
      <c r="J17" s="285">
        <v>7</v>
      </c>
      <c r="K17" s="285">
        <v>8</v>
      </c>
      <c r="L17" s="285">
        <v>9</v>
      </c>
      <c r="M17" s="285">
        <v>10</v>
      </c>
      <c r="N17" s="285">
        <v>11</v>
      </c>
      <c r="O17" s="285">
        <v>12</v>
      </c>
      <c r="Q17" s="285">
        <v>2022</v>
      </c>
    </row>
    <row r="18" spans="1:17" ht="16" thickBot="1">
      <c r="A18" s="114"/>
      <c r="B18" s="114"/>
      <c r="C18" s="118"/>
      <c r="D18" s="205"/>
      <c r="E18" s="205"/>
      <c r="F18" s="205"/>
      <c r="G18" s="205"/>
      <c r="H18" s="205"/>
      <c r="I18" s="205"/>
      <c r="J18" s="205"/>
      <c r="K18" s="205"/>
      <c r="L18" s="205"/>
      <c r="M18" s="205"/>
      <c r="N18" s="205"/>
      <c r="O18" s="205"/>
      <c r="P18" s="114"/>
      <c r="Q18" s="114"/>
    </row>
    <row r="19" spans="1:17" ht="36" customHeight="1" thickBot="1">
      <c r="D19" s="658" t="s">
        <v>160</v>
      </c>
      <c r="E19" s="657" t="s">
        <v>161</v>
      </c>
      <c r="F19" s="658" t="s">
        <v>162</v>
      </c>
    </row>
    <row r="21" spans="1:17" ht="16" thickBot="1">
      <c r="B21" s="243"/>
      <c r="D21" s="243"/>
      <c r="E21" s="243"/>
      <c r="F21" s="243"/>
      <c r="G21" s="243"/>
      <c r="H21" s="243"/>
      <c r="I21" s="243"/>
      <c r="J21" s="243"/>
      <c r="K21" s="243"/>
      <c r="L21" s="243"/>
      <c r="M21" s="243"/>
      <c r="N21" s="243"/>
      <c r="O21" s="243"/>
      <c r="P21" s="243"/>
    </row>
    <row r="22" spans="1:17" s="204" customFormat="1" ht="23" thickBot="1">
      <c r="A22" s="244"/>
      <c r="B22" s="243"/>
      <c r="C22" s="281" t="s">
        <v>174</v>
      </c>
      <c r="D22" s="284" t="s">
        <v>21</v>
      </c>
      <c r="E22" s="283">
        <v>2022</v>
      </c>
      <c r="F22" s="244"/>
      <c r="G22" s="244"/>
      <c r="H22" s="244"/>
      <c r="I22" s="244"/>
      <c r="J22" s="244"/>
      <c r="K22" s="244"/>
      <c r="L22" s="244"/>
      <c r="M22" s="244"/>
      <c r="N22" s="244"/>
      <c r="O22" s="244"/>
      <c r="P22" s="244"/>
      <c r="Q22" s="244"/>
    </row>
    <row r="23" spans="1:17" ht="33.5" customHeight="1"/>
    <row r="24" spans="1:17" ht="21" customHeight="1">
      <c r="B24" s="234"/>
      <c r="C24" s="251"/>
      <c r="D24" s="234"/>
      <c r="E24" s="234"/>
      <c r="F24" s="234"/>
    </row>
    <row r="25" spans="1:17" ht="21" customHeight="1">
      <c r="B25" s="252"/>
      <c r="C25" s="719" t="s">
        <v>272</v>
      </c>
      <c r="D25" s="719"/>
      <c r="E25" s="719"/>
      <c r="F25" s="234"/>
    </row>
    <row r="26" spans="1:17" ht="34">
      <c r="B26" s="234"/>
      <c r="C26" s="275">
        <f>INDEX(D44:O44,MATCH(D22,D40:O40,0))</f>
        <v>10.769308056263759</v>
      </c>
      <c r="D26" s="278"/>
      <c r="E26" s="258"/>
      <c r="F26" s="234"/>
    </row>
    <row r="27" spans="1:17" ht="15" customHeight="1" thickBot="1">
      <c r="B27" s="234"/>
      <c r="C27" s="384" t="s">
        <v>268</v>
      </c>
      <c r="D27" s="277"/>
      <c r="E27" s="277"/>
      <c r="F27" s="234"/>
    </row>
    <row r="28" spans="1:17" ht="18" customHeight="1">
      <c r="B28" s="234"/>
      <c r="C28" s="720" t="s">
        <v>273</v>
      </c>
      <c r="D28" s="721"/>
      <c r="E28" s="721"/>
      <c r="F28" s="722"/>
    </row>
    <row r="29" spans="1:17" ht="18" customHeight="1">
      <c r="B29" s="234"/>
      <c r="C29" s="723"/>
      <c r="D29" s="724"/>
      <c r="E29" s="724"/>
      <c r="F29" s="725"/>
    </row>
    <row r="30" spans="1:17">
      <c r="B30" s="234"/>
      <c r="C30" s="723"/>
      <c r="D30" s="724"/>
      <c r="E30" s="724"/>
      <c r="F30" s="725"/>
    </row>
    <row r="31" spans="1:17">
      <c r="B31" s="234"/>
      <c r="C31" s="723"/>
      <c r="D31" s="724"/>
      <c r="E31" s="724"/>
      <c r="F31" s="725"/>
    </row>
    <row r="32" spans="1:17">
      <c r="B32" s="114"/>
      <c r="C32" s="723"/>
      <c r="D32" s="724"/>
      <c r="E32" s="724"/>
      <c r="F32" s="725"/>
    </row>
    <row r="33" spans="1:16" ht="32.5" customHeight="1">
      <c r="B33" s="114"/>
      <c r="C33" s="723"/>
      <c r="D33" s="724"/>
      <c r="E33" s="724"/>
      <c r="F33" s="725"/>
    </row>
    <row r="34" spans="1:16" ht="75.5" customHeight="1" thickBot="1">
      <c r="B34" s="114"/>
      <c r="C34" s="726"/>
      <c r="D34" s="727"/>
      <c r="E34" s="727"/>
      <c r="F34" s="728"/>
    </row>
    <row r="39" spans="1:16" ht="25">
      <c r="B39" s="252"/>
      <c r="C39" s="366" t="s">
        <v>265</v>
      </c>
      <c r="D39" s="367"/>
      <c r="E39" s="367"/>
      <c r="F39" s="367"/>
      <c r="G39" s="367"/>
      <c r="H39" s="367"/>
      <c r="I39" s="367"/>
      <c r="J39" s="367"/>
      <c r="K39" s="367"/>
      <c r="L39" s="367"/>
      <c r="M39" s="367"/>
      <c r="N39" s="367"/>
      <c r="O39" s="368"/>
      <c r="P39" s="234"/>
    </row>
    <row r="40" spans="1:16">
      <c r="B40" s="234"/>
      <c r="C40" s="369"/>
      <c r="D40" s="370" t="s">
        <v>17</v>
      </c>
      <c r="E40" s="370" t="s">
        <v>18</v>
      </c>
      <c r="F40" s="370" t="s">
        <v>19</v>
      </c>
      <c r="G40" s="370" t="s">
        <v>20</v>
      </c>
      <c r="H40" s="370" t="s">
        <v>21</v>
      </c>
      <c r="I40" s="370" t="s">
        <v>22</v>
      </c>
      <c r="J40" s="370" t="s">
        <v>23</v>
      </c>
      <c r="K40" s="370" t="s">
        <v>24</v>
      </c>
      <c r="L40" s="370" t="s">
        <v>25</v>
      </c>
      <c r="M40" s="370" t="s">
        <v>26</v>
      </c>
      <c r="N40" s="370" t="s">
        <v>27</v>
      </c>
      <c r="O40" s="370" t="s">
        <v>28</v>
      </c>
      <c r="P40" s="362"/>
    </row>
    <row r="41" spans="1:16">
      <c r="B41" s="234"/>
      <c r="C41" s="119" t="s">
        <v>143</v>
      </c>
      <c r="D41" s="379">
        <f>SUMIFS('Jounal entries final'!$H:$H,'Jounal entries final'!$E:$E,$C41,'Jounal entries final'!$B:$B,D$17,'Jounal entries final'!$C:$C,$Q$17)</f>
        <v>10562853.030000003</v>
      </c>
      <c r="E41" s="379">
        <f>SUMIFS('Jounal entries final'!$H:$H,'Jounal entries final'!$E:$E,$C41,'Jounal entries final'!$B:$B,E$17,'Jounal entries final'!$C:$C,$Q$17)</f>
        <v>9023618.0780000016</v>
      </c>
      <c r="F41" s="379">
        <f>SUMIFS('Jounal entries final'!$H:$H,'Jounal entries final'!$E:$E,$C41,'Jounal entries final'!$B:$B,F$17,'Jounal entries final'!$C:$C,$Q$17)</f>
        <v>8408548.2319999989</v>
      </c>
      <c r="G41" s="379">
        <f>SUMIFS('Jounal entries final'!$H:$H,'Jounal entries final'!$E:$E,$C41,'Jounal entries final'!$B:$B,G$17,'Jounal entries final'!$C:$C,$Q$17)</f>
        <v>9582592.2860000003</v>
      </c>
      <c r="H41" s="379">
        <f>SUMIFS('Jounal entries final'!$H:$H,'Jounal entries final'!$E:$E,$C41,'Jounal entries final'!$B:$B,H$17,'Jounal entries final'!$C:$C,$Q$17)</f>
        <v>9481912.6860000007</v>
      </c>
      <c r="I41" s="379">
        <f>SUMIFS('Jounal entries final'!$H:$H,'Jounal entries final'!$E:$E,$C41,'Jounal entries final'!$B:$B,I$17,'Jounal entries final'!$C:$C,$Q$17)</f>
        <v>7875175.425999999</v>
      </c>
      <c r="J41" s="379">
        <f>SUMIFS('Jounal entries final'!$H:$H,'Jounal entries final'!$E:$E,$C41,'Jounal entries final'!$B:$B,J$17,'Jounal entries final'!$C:$C,$Q$17)</f>
        <v>9646932.9979999978</v>
      </c>
      <c r="K41" s="379">
        <f>SUMIFS('Jounal entries final'!$H:$H,'Jounal entries final'!$E:$E,$C41,'Jounal entries final'!$B:$B,K$17,'Jounal entries final'!$C:$C,$Q$17)</f>
        <v>8940122.8619999997</v>
      </c>
      <c r="L41" s="379">
        <f>SUMIFS('Jounal entries final'!$H:$H,'Jounal entries final'!$E:$E,$C41,'Jounal entries final'!$B:$B,L$17,'Jounal entries final'!$C:$C,$Q$17)</f>
        <v>8197676.7179999994</v>
      </c>
      <c r="M41" s="379">
        <f>SUMIFS('Jounal entries final'!$H:$H,'Jounal entries final'!$E:$E,$C41,'Jounal entries final'!$B:$B,M$17,'Jounal entries final'!$C:$C,$Q$17)</f>
        <v>8357251.3279999997</v>
      </c>
      <c r="N41" s="379">
        <f>SUMIFS('Jounal entries final'!$H:$H,'Jounal entries final'!$E:$E,$C41,'Jounal entries final'!$B:$B,N$17,'Jounal entries final'!$C:$C,$Q$17)</f>
        <v>8523529.1520000026</v>
      </c>
      <c r="O41" s="379">
        <f>SUMIFS('Jounal entries final'!$H:$H,'Jounal entries final'!$E:$E,$C41,'Jounal entries final'!$B:$B,O$17,'Jounal entries final'!$C:$C,$Q$17)</f>
        <v>7765783.269999994</v>
      </c>
      <c r="P41" s="114"/>
    </row>
    <row r="42" spans="1:16">
      <c r="B42" s="234"/>
      <c r="C42" s="119" t="s">
        <v>67</v>
      </c>
      <c r="D42" s="379">
        <f>SUMIFS('Jounal entries final'!$H:$H,'Jounal entries final'!$E:$E,$C42,'Jounal entries final'!$B:$B,D$17,'Jounal entries final'!$C:$C,$Q$17)</f>
        <v>1217348.9700000007</v>
      </c>
      <c r="E42" s="379">
        <f>SUMIFS('Jounal entries final'!$H:$H,'Jounal entries final'!$E:$E,$C42,'Jounal entries final'!$B:$B,E$17,'Jounal entries final'!$C:$C,$Q$17)</f>
        <v>965431.99000000011</v>
      </c>
      <c r="F42" s="379">
        <f>SUMIFS('Jounal entries final'!$H:$H,'Jounal entries final'!$E:$E,$C42,'Jounal entries final'!$B:$B,F$17,'Jounal entries final'!$C:$C,$Q$17)</f>
        <v>2687528.7600000016</v>
      </c>
      <c r="G42" s="379">
        <f>SUMIFS('Jounal entries final'!$H:$H,'Jounal entries final'!$E:$E,$C42,'Jounal entries final'!$B:$B,G$17,'Jounal entries final'!$C:$C,$Q$17)</f>
        <v>2926518.75</v>
      </c>
      <c r="H42" s="379">
        <f>SUMIFS('Jounal entries final'!$H:$H,'Jounal entries final'!$E:$E,$C42,'Jounal entries final'!$B:$B,H$17,'Jounal entries final'!$C:$C,$Q$17)</f>
        <v>3287397.4800000004</v>
      </c>
      <c r="I42" s="379">
        <f>SUMIFS('Jounal entries final'!$H:$H,'Jounal entries final'!$E:$E,$C42,'Jounal entries final'!$B:$B,I$17,'Jounal entries final'!$C:$C,$Q$17)</f>
        <v>4631542.08</v>
      </c>
      <c r="J42" s="379">
        <f>SUMIFS('Jounal entries final'!$H:$H,'Jounal entries final'!$E:$E,$C42,'Jounal entries final'!$B:$B,J$17,'Jounal entries final'!$C:$C,$Q$17)</f>
        <v>5088006.3199999984</v>
      </c>
      <c r="K42" s="379">
        <f>SUMIFS('Jounal entries final'!$H:$H,'Jounal entries final'!$E:$E,$C42,'Jounal entries final'!$B:$B,K$17,'Jounal entries final'!$C:$C,$Q$17)</f>
        <v>5147864.5799999982</v>
      </c>
      <c r="L42" s="379">
        <f>SUMIFS('Jounal entries final'!$H:$H,'Jounal entries final'!$E:$E,$C42,'Jounal entries final'!$B:$B,L$17,'Jounal entries final'!$C:$C,$Q$17)</f>
        <v>5851985.1599999992</v>
      </c>
      <c r="M42" s="379">
        <f>SUMIFS('Jounal entries final'!$H:$H,'Jounal entries final'!$E:$E,$C42,'Jounal entries final'!$B:$B,M$17,'Jounal entries final'!$C:$C,$Q$17)</f>
        <v>6384810.0999999987</v>
      </c>
      <c r="N42" s="379">
        <f>SUMIFS('Jounal entries final'!$H:$H,'Jounal entries final'!$E:$E,$C42,'Jounal entries final'!$B:$B,N$17,'Jounal entries final'!$C:$C,$Q$17)</f>
        <v>6198796.2399999984</v>
      </c>
      <c r="O42" s="379">
        <f>SUMIFS('Jounal entries final'!$H:$H,'Jounal entries final'!$E:$E,$C42,'Jounal entries final'!$B:$B,O$17,'Jounal entries final'!$C:$C,$Q$17)</f>
        <v>6970908.2199999988</v>
      </c>
      <c r="P42" s="114"/>
    </row>
    <row r="43" spans="1:16">
      <c r="B43" s="234"/>
      <c r="C43" s="119"/>
      <c r="D43" s="124"/>
      <c r="E43" s="114"/>
      <c r="F43" s="114"/>
      <c r="G43" s="114"/>
      <c r="H43" s="114"/>
      <c r="I43" s="114"/>
      <c r="J43" s="114"/>
      <c r="K43" s="114"/>
      <c r="L43" s="114"/>
      <c r="M43" s="114"/>
      <c r="N43" s="114"/>
      <c r="O43" s="114"/>
      <c r="P43" s="114"/>
    </row>
    <row r="44" spans="1:16" ht="18">
      <c r="B44" s="234"/>
      <c r="C44" s="380" t="s">
        <v>161</v>
      </c>
      <c r="D44" s="381">
        <f>(D42/SUM(D41))*30</f>
        <v>3.4574436467379317</v>
      </c>
      <c r="E44" s="381">
        <f>(E42/SUM(D41:E41))*60</f>
        <v>2.9574454265189423</v>
      </c>
      <c r="F44" s="381">
        <f>(F42/SUM(D41:F41))*90</f>
        <v>8.6400221933191972</v>
      </c>
      <c r="G44" s="381">
        <f t="shared" ref="G44:N44" si="0">(G42/SUM(E41:G41))*90</f>
        <v>9.749733152862559</v>
      </c>
      <c r="H44" s="381">
        <f t="shared" si="0"/>
        <v>10.769308056263759</v>
      </c>
      <c r="I44" s="381">
        <f t="shared" si="0"/>
        <v>15.473041292314146</v>
      </c>
      <c r="J44" s="381">
        <f t="shared" si="0"/>
        <v>16.957495586848911</v>
      </c>
      <c r="K44" s="381">
        <f t="shared" si="0"/>
        <v>17.508267053999926</v>
      </c>
      <c r="L44" s="381">
        <f t="shared" si="0"/>
        <v>19.663390809157995</v>
      </c>
      <c r="M44" s="381">
        <f t="shared" si="0"/>
        <v>22.538998297104317</v>
      </c>
      <c r="N44" s="381">
        <f t="shared" si="0"/>
        <v>22.245852573598167</v>
      </c>
      <c r="O44" s="381">
        <f>(O42/SUM(M41:O41))*90</f>
        <v>25.455140366169701</v>
      </c>
      <c r="P44" s="114"/>
    </row>
    <row r="45" spans="1:16">
      <c r="B45" s="114"/>
      <c r="C45" s="119" t="s">
        <v>778</v>
      </c>
      <c r="D45" s="124"/>
      <c r="E45" s="114"/>
      <c r="F45" s="114"/>
      <c r="G45" s="114"/>
      <c r="H45" s="114"/>
      <c r="I45" s="114"/>
      <c r="J45" s="114"/>
      <c r="K45" s="114"/>
      <c r="L45" s="114"/>
      <c r="M45" s="114"/>
      <c r="N45" s="114"/>
      <c r="O45" s="114"/>
      <c r="P45" s="114"/>
    </row>
    <row r="46" spans="1:16" ht="15.5" customHeight="1">
      <c r="A46" s="819" t="s">
        <v>267</v>
      </c>
      <c r="B46" s="114"/>
      <c r="C46" s="118" t="s">
        <v>3</v>
      </c>
      <c r="D46" s="379">
        <f>SUMIFS('Jounal entries final'!$H:$H,'Jounal entries final'!$E:$E,$C$42,'Jounal entries final'!$L:$L,$C46,'Jounal entries final'!$B:$B,D$17,'Jounal entries final'!$C:$C,$Q$17)</f>
        <v>158330.79999999993</v>
      </c>
      <c r="E46" s="379">
        <f>SUMIFS('Jounal entries final'!$H:$H,'Jounal entries final'!$E:$E,$C$42,'Jounal entries final'!$L:$L,$C46,'Jounal entries final'!$B:$B,E$17,'Jounal entries final'!$C:$C,$Q$17)</f>
        <v>30415.999999999884</v>
      </c>
      <c r="F46" s="379">
        <f>SUMIFS('Jounal entries final'!$H:$H,'Jounal entries final'!$E:$E,$C$42,'Jounal entries final'!$L:$L,$C46,'Jounal entries final'!$B:$B,F$17,'Jounal entries final'!$C:$C,$Q$17)</f>
        <v>385540.39999999991</v>
      </c>
      <c r="G46" s="379">
        <f>SUMIFS('Jounal entries final'!$H:$H,'Jounal entries final'!$E:$E,$C$42,'Jounal entries final'!$L:$L,$C46,'Jounal entries final'!$B:$B,G$17,'Jounal entries final'!$C:$C,$Q$17)</f>
        <v>426927.99999999977</v>
      </c>
      <c r="H46" s="379">
        <f>SUMIFS('Jounal entries final'!$H:$H,'Jounal entries final'!$E:$E,$C$42,'Jounal entries final'!$L:$L,$C46,'Jounal entries final'!$B:$B,H$17,'Jounal entries final'!$C:$C,$Q$17)</f>
        <v>485344.7999999997</v>
      </c>
      <c r="I46" s="379">
        <f>SUMIFS('Jounal entries final'!$H:$H,'Jounal entries final'!$E:$E,$C$42,'Jounal entries final'!$L:$L,$C46,'Jounal entries final'!$B:$B,I$17,'Jounal entries final'!$C:$C,$Q$17)</f>
        <v>721887.99999999965</v>
      </c>
      <c r="J46" s="379">
        <f>SUMIFS('Jounal entries final'!$H:$H,'Jounal entries final'!$E:$E,$C$42,'Jounal entries final'!$L:$L,$C46,'Jounal entries final'!$B:$B,J$17,'Jounal entries final'!$C:$C,$Q$17)</f>
        <v>777343.19999999972</v>
      </c>
      <c r="K46" s="379">
        <f>SUMIFS('Jounal entries final'!$H:$H,'Jounal entries final'!$E:$E,$C$42,'Jounal entries final'!$L:$L,$C46,'Jounal entries final'!$B:$B,K$17,'Jounal entries final'!$C:$C,$Q$17)</f>
        <v>848263.99999999977</v>
      </c>
      <c r="L46" s="379">
        <f>SUMIFS('Jounal entries final'!$H:$H,'Jounal entries final'!$E:$E,$C$42,'Jounal entries final'!$L:$L,$C46,'Jounal entries final'!$B:$B,L$17,'Jounal entries final'!$C:$C,$Q$17)</f>
        <v>972703.19999999972</v>
      </c>
      <c r="M46" s="379">
        <f>SUMIFS('Jounal entries final'!$H:$H,'Jounal entries final'!$E:$E,$C$42,'Jounal entries final'!$L:$L,$C46,'Jounal entries final'!$B:$B,M$17,'Jounal entries final'!$C:$C,$Q$17)</f>
        <v>841701.59999999986</v>
      </c>
      <c r="N46" s="379">
        <f>SUMIFS('Jounal entries final'!$H:$H,'Jounal entries final'!$E:$E,$C$42,'Jounal entries final'!$L:$L,$C46,'Jounal entries final'!$B:$B,N$17,'Jounal entries final'!$C:$C,$Q$17)</f>
        <v>1085339.2</v>
      </c>
      <c r="O46" s="379">
        <f>SUMIFS('Jounal entries final'!$H:$H,'Jounal entries final'!$E:$E,$C$42,'Jounal entries final'!$L:$L,$C46,'Jounal entries final'!$B:$B,O$17,'Jounal entries final'!$C:$C,$Q$17)</f>
        <v>886895.99999999977</v>
      </c>
      <c r="P46" s="114"/>
    </row>
    <row r="47" spans="1:16">
      <c r="A47" s="819"/>
      <c r="B47" s="234"/>
      <c r="C47" s="118" t="s">
        <v>4</v>
      </c>
      <c r="D47" s="379">
        <f>SUMIFS('Jounal entries final'!$H:$H,'Jounal entries final'!$E:$E,$C$42,'Jounal entries final'!$L:$L,$C47,'Jounal entries final'!$B:$B,D$17,'Jounal entries final'!$C:$C,$Q$17)</f>
        <v>416425.31999999995</v>
      </c>
      <c r="E47" s="379">
        <f>SUMIFS('Jounal entries final'!$H:$H,'Jounal entries final'!$E:$E,$C$42,'Jounal entries final'!$L:$L,$C47,'Jounal entries final'!$B:$B,E$17,'Jounal entries final'!$C:$C,$Q$17)</f>
        <v>435593.76000000013</v>
      </c>
      <c r="F47" s="379">
        <f>SUMIFS('Jounal entries final'!$H:$H,'Jounal entries final'!$E:$E,$C$42,'Jounal entries final'!$L:$L,$C47,'Jounal entries final'!$B:$B,F$17,'Jounal entries final'!$C:$C,$Q$17)</f>
        <v>459795.06000000017</v>
      </c>
      <c r="G47" s="379">
        <f>SUMIFS('Jounal entries final'!$H:$H,'Jounal entries final'!$E:$E,$C$42,'Jounal entries final'!$L:$L,$C47,'Jounal entries final'!$B:$B,G$17,'Jounal entries final'!$C:$C,$Q$17)</f>
        <v>415182.18000000017</v>
      </c>
      <c r="H47" s="379">
        <f>SUMIFS('Jounal entries final'!$H:$H,'Jounal entries final'!$E:$E,$C$42,'Jounal entries final'!$L:$L,$C47,'Jounal entries final'!$B:$B,H$17,'Jounal entries final'!$C:$C,$Q$17)</f>
        <v>402234.42000000027</v>
      </c>
      <c r="I47" s="379">
        <f>SUMIFS('Jounal entries final'!$H:$H,'Jounal entries final'!$E:$E,$C$42,'Jounal entries final'!$L:$L,$C47,'Jounal entries final'!$B:$B,I$17,'Jounal entries final'!$C:$C,$Q$17)</f>
        <v>373452.48000000033</v>
      </c>
      <c r="J47" s="379">
        <f>SUMIFS('Jounal entries final'!$H:$H,'Jounal entries final'!$E:$E,$C$42,'Jounal entries final'!$L:$L,$C47,'Jounal entries final'!$B:$B,J$17,'Jounal entries final'!$C:$C,$Q$17)</f>
        <v>338635.60000000021</v>
      </c>
      <c r="K47" s="379">
        <f>SUMIFS('Jounal entries final'!$H:$H,'Jounal entries final'!$E:$E,$C$42,'Jounal entries final'!$L:$L,$C47,'Jounal entries final'!$B:$B,K$17,'Jounal entries final'!$C:$C,$Q$17)</f>
        <v>325975.68000000028</v>
      </c>
      <c r="L47" s="379">
        <f>SUMIFS('Jounal entries final'!$H:$H,'Jounal entries final'!$E:$E,$C$42,'Jounal entries final'!$L:$L,$C47,'Jounal entries final'!$B:$B,L$17,'Jounal entries final'!$C:$C,$Q$17)</f>
        <v>427551.18000000028</v>
      </c>
      <c r="M47" s="379">
        <f>SUMIFS('Jounal entries final'!$H:$H,'Jounal entries final'!$E:$E,$C$42,'Jounal entries final'!$L:$L,$C47,'Jounal entries final'!$B:$B,M$17,'Jounal entries final'!$C:$C,$Q$17)</f>
        <v>431522.30000000016</v>
      </c>
      <c r="N47" s="379">
        <f>SUMIFS('Jounal entries final'!$H:$H,'Jounal entries final'!$E:$E,$C$42,'Jounal entries final'!$L:$L,$C47,'Jounal entries final'!$B:$B,N$17,'Jounal entries final'!$C:$C,$Q$17)</f>
        <v>405619.66000000027</v>
      </c>
      <c r="O47" s="379">
        <f>SUMIFS('Jounal entries final'!$H:$H,'Jounal entries final'!$E:$E,$C$42,'Jounal entries final'!$L:$L,$C47,'Jounal entries final'!$B:$B,O$17,'Jounal entries final'!$C:$C,$Q$17)</f>
        <v>569764.36000000022</v>
      </c>
      <c r="P47" s="364">
        <f>SUMIFS('Jounal entries final'!$H:$H,'Jounal entries final'!$E:$E,$C47,'Jounal entries final'!$B:$B,P$17,'Jounal entries final'!$C:$C,$Q$17)</f>
        <v>0</v>
      </c>
    </row>
    <row r="48" spans="1:16" ht="18" customHeight="1">
      <c r="A48" s="819"/>
      <c r="B48" s="252"/>
      <c r="C48" s="118" t="s">
        <v>5</v>
      </c>
      <c r="D48" s="379">
        <f>SUMIFS('Jounal entries final'!$H:$H,'Jounal entries final'!$E:$E,$C$42,'Jounal entries final'!$L:$L,$C48,'Jounal entries final'!$B:$B,D$17,'Jounal entries final'!$C:$C,$Q$17)</f>
        <v>309794.04999999981</v>
      </c>
      <c r="E48" s="379">
        <f>SUMIFS('Jounal entries final'!$H:$H,'Jounal entries final'!$E:$E,$C$42,'Jounal entries final'!$L:$L,$C48,'Jounal entries final'!$B:$B,E$17,'Jounal entries final'!$C:$C,$Q$17)</f>
        <v>155025.17999999993</v>
      </c>
      <c r="F48" s="379">
        <f>SUMIFS('Jounal entries final'!$H:$H,'Jounal entries final'!$E:$E,$C$42,'Jounal entries final'!$L:$L,$C48,'Jounal entries final'!$B:$B,F$17,'Jounal entries final'!$C:$C,$Q$17)</f>
        <v>132180.59999999986</v>
      </c>
      <c r="G48" s="379">
        <f>SUMIFS('Jounal entries final'!$H:$H,'Jounal entries final'!$E:$E,$C$42,'Jounal entries final'!$L:$L,$C48,'Jounal entries final'!$B:$B,G$17,'Jounal entries final'!$C:$C,$Q$17)</f>
        <v>229372.36999999988</v>
      </c>
      <c r="H48" s="379">
        <f>SUMIFS('Jounal entries final'!$H:$H,'Jounal entries final'!$E:$E,$C$42,'Jounal entries final'!$L:$L,$C48,'Jounal entries final'!$B:$B,H$17,'Jounal entries final'!$C:$C,$Q$17)</f>
        <v>66159.059999999823</v>
      </c>
      <c r="I48" s="379">
        <f>SUMIFS('Jounal entries final'!$H:$H,'Jounal entries final'!$E:$E,$C$42,'Jounal entries final'!$L:$L,$C48,'Jounal entries final'!$B:$B,I$17,'Jounal entries final'!$C:$C,$Q$17)</f>
        <v>481405.99999999953</v>
      </c>
      <c r="J48" s="379">
        <f>SUMIFS('Jounal entries final'!$H:$H,'Jounal entries final'!$E:$E,$C$42,'Jounal entries final'!$L:$L,$C48,'Jounal entries final'!$B:$B,J$17,'Jounal entries final'!$C:$C,$Q$17)</f>
        <v>230813.51999999909</v>
      </c>
      <c r="K48" s="379">
        <f>SUMIFS('Jounal entries final'!$H:$H,'Jounal entries final'!$E:$E,$C$42,'Jounal entries final'!$L:$L,$C48,'Jounal entries final'!$B:$B,K$17,'Jounal entries final'!$C:$C,$Q$17)</f>
        <v>262236.59999999916</v>
      </c>
      <c r="L48" s="379">
        <f>SUMIFS('Jounal entries final'!$H:$H,'Jounal entries final'!$E:$E,$C$42,'Jounal entries final'!$L:$L,$C48,'Jounal entries final'!$B:$B,L$17,'Jounal entries final'!$C:$C,$Q$17)</f>
        <v>329941.47999999905</v>
      </c>
      <c r="M48" s="379">
        <f>SUMIFS('Jounal entries final'!$H:$H,'Jounal entries final'!$E:$E,$C$42,'Jounal entries final'!$L:$L,$C48,'Jounal entries final'!$B:$B,M$17,'Jounal entries final'!$C:$C,$Q$17)</f>
        <v>357806.19999999925</v>
      </c>
      <c r="N48" s="379">
        <f>SUMIFS('Jounal entries final'!$H:$H,'Jounal entries final'!$E:$E,$C$42,'Jounal entries final'!$L:$L,$C48,'Jounal entries final'!$B:$B,N$17,'Jounal entries final'!$C:$C,$Q$17)</f>
        <v>226366.37999999896</v>
      </c>
      <c r="O48" s="379">
        <f>SUMIFS('Jounal entries final'!$H:$H,'Jounal entries final'!$E:$E,$C$42,'Jounal entries final'!$L:$L,$C48,'Jounal entries final'!$B:$B,O$17,'Jounal entries final'!$C:$C,$Q$17)</f>
        <v>247645.25999999908</v>
      </c>
      <c r="P48" s="364">
        <f>SUMIFS('Jounal entries final'!$H:$H,'Jounal entries final'!$E:$E,$C48,'Jounal entries final'!$B:$B,P$17,'Jounal entries final'!$C:$C,$Q$17)</f>
        <v>0</v>
      </c>
    </row>
    <row r="49" spans="1:16">
      <c r="A49" s="819"/>
      <c r="B49" s="234"/>
      <c r="C49" s="118" t="s">
        <v>6</v>
      </c>
      <c r="D49" s="379">
        <f>SUMIFS('Jounal entries final'!$H:$H,'Jounal entries final'!$E:$E,$C$42,'Jounal entries final'!$L:$L,$C49,'Jounal entries final'!$B:$B,D$17,'Jounal entries final'!$C:$C,$Q$17)</f>
        <v>329406</v>
      </c>
      <c r="E49" s="379">
        <f>SUMIFS('Jounal entries final'!$H:$H,'Jounal entries final'!$E:$E,$C$42,'Jounal entries final'!$L:$L,$C49,'Jounal entries final'!$B:$B,E$17,'Jounal entries final'!$C:$C,$Q$17)</f>
        <v>155790</v>
      </c>
      <c r="F49" s="379">
        <f>SUMIFS('Jounal entries final'!$H:$H,'Jounal entries final'!$E:$E,$C$42,'Jounal entries final'!$L:$L,$C49,'Jounal entries final'!$B:$B,F$17,'Jounal entries final'!$C:$C,$Q$17)</f>
        <v>1180476</v>
      </c>
      <c r="G49" s="379">
        <f>SUMIFS('Jounal entries final'!$H:$H,'Jounal entries final'!$E:$E,$C$42,'Jounal entries final'!$L:$L,$C49,'Jounal entries final'!$B:$B,G$17,'Jounal entries final'!$C:$C,$Q$17)</f>
        <v>1720818</v>
      </c>
      <c r="H49" s="379">
        <f>SUMIFS('Jounal entries final'!$H:$H,'Jounal entries final'!$E:$E,$C$42,'Jounal entries final'!$L:$L,$C49,'Jounal entries final'!$B:$B,H$17,'Jounal entries final'!$C:$C,$Q$17)</f>
        <v>2045240</v>
      </c>
      <c r="I49" s="379">
        <f>SUMIFS('Jounal entries final'!$H:$H,'Jounal entries final'!$E:$E,$C$42,'Jounal entries final'!$L:$L,$C49,'Jounal entries final'!$B:$B,I$17,'Jounal entries final'!$C:$C,$Q$17)</f>
        <v>2971958</v>
      </c>
      <c r="J49" s="379">
        <f>SUMIFS('Jounal entries final'!$H:$H,'Jounal entries final'!$E:$E,$C$42,'Jounal entries final'!$L:$L,$C49,'Jounal entries final'!$B:$B,J$17,'Jounal entries final'!$C:$C,$Q$17)</f>
        <v>3299835</v>
      </c>
      <c r="K49" s="379">
        <f>SUMIFS('Jounal entries final'!$H:$H,'Jounal entries final'!$E:$E,$C$42,'Jounal entries final'!$L:$L,$C49,'Jounal entries final'!$B:$B,K$17,'Jounal entries final'!$C:$C,$Q$17)</f>
        <v>3246834</v>
      </c>
      <c r="L49" s="379">
        <f>SUMIFS('Jounal entries final'!$H:$H,'Jounal entries final'!$E:$E,$C$42,'Jounal entries final'!$L:$L,$C49,'Jounal entries final'!$B:$B,L$17,'Jounal entries final'!$C:$C,$Q$17)</f>
        <v>3813020</v>
      </c>
      <c r="M49" s="379">
        <f>SUMIFS('Jounal entries final'!$H:$H,'Jounal entries final'!$E:$E,$C$42,'Jounal entries final'!$L:$L,$C49,'Jounal entries final'!$B:$B,M$17,'Jounal entries final'!$C:$C,$Q$17)</f>
        <v>4236876</v>
      </c>
      <c r="N49" s="379">
        <f>SUMIFS('Jounal entries final'!$H:$H,'Jounal entries final'!$E:$E,$C$42,'Jounal entries final'!$L:$L,$C49,'Jounal entries final'!$B:$B,N$17,'Jounal entries final'!$C:$C,$Q$17)</f>
        <v>4145553</v>
      </c>
      <c r="O49" s="379">
        <f>SUMIFS('Jounal entries final'!$H:$H,'Jounal entries final'!$E:$E,$C$42,'Jounal entries final'!$L:$L,$C49,'Jounal entries final'!$B:$B,O$17,'Jounal entries final'!$C:$C,$Q$17)</f>
        <v>4788693</v>
      </c>
      <c r="P49" s="364">
        <f>SUMIFS('Jounal entries final'!$H:$H,'Jounal entries final'!$E:$E,$C49,'Jounal entries final'!$B:$B,P$17,'Jounal entries final'!$C:$C,$Q$17)</f>
        <v>0</v>
      </c>
    </row>
    <row r="50" spans="1:16">
      <c r="A50" s="819"/>
      <c r="B50" s="234"/>
      <c r="C50" s="118" t="s">
        <v>11</v>
      </c>
      <c r="D50" s="379">
        <f>SUMIFS('Jounal entries final'!$H:$H,'Jounal entries final'!$E:$E,$C$42,'Jounal entries final'!$L:$L,$C50,'Jounal entries final'!$B:$B,D$17,'Jounal entries final'!$C:$C,$Q$17)</f>
        <v>2062.7999999999302</v>
      </c>
      <c r="E50" s="379">
        <f>SUMIFS('Jounal entries final'!$H:$H,'Jounal entries final'!$E:$E,$C$42,'Jounal entries final'!$L:$L,$C50,'Jounal entries final'!$B:$B,E$17,'Jounal entries final'!$C:$C,$Q$17)</f>
        <v>60780.04999999993</v>
      </c>
      <c r="F50" s="379">
        <f>SUMIFS('Jounal entries final'!$H:$H,'Jounal entries final'!$E:$E,$C$42,'Jounal entries final'!$L:$L,$C50,'Jounal entries final'!$B:$B,F$17,'Jounal entries final'!$C:$C,$Q$17)</f>
        <v>82298.699999999953</v>
      </c>
      <c r="G50" s="379">
        <f>SUMIFS('Jounal entries final'!$H:$H,'Jounal entries final'!$E:$E,$C$42,'Jounal entries final'!$L:$L,$C50,'Jounal entries final'!$B:$B,G$17,'Jounal entries final'!$C:$C,$Q$17)</f>
        <v>76952.199999999953</v>
      </c>
      <c r="H50" s="379">
        <f>SUMIFS('Jounal entries final'!$H:$H,'Jounal entries final'!$E:$E,$C$42,'Jounal entries final'!$L:$L,$C50,'Jounal entries final'!$B:$B,H$17,'Jounal entries final'!$C:$C,$Q$17)</f>
        <v>67582.199999999953</v>
      </c>
      <c r="I50" s="379">
        <f>SUMIFS('Jounal entries final'!$H:$H,'Jounal entries final'!$E:$E,$C$42,'Jounal entries final'!$L:$L,$C50,'Jounal entries final'!$B:$B,I$17,'Jounal entries final'!$C:$C,$Q$17)</f>
        <v>57456.600000000093</v>
      </c>
      <c r="J50" s="379">
        <f>SUMIFS('Jounal entries final'!$H:$H,'Jounal entries final'!$E:$E,$C$42,'Jounal entries final'!$L:$L,$C50,'Jounal entries final'!$B:$B,J$17,'Jounal entries final'!$C:$C,$Q$17)</f>
        <v>312893.00000000023</v>
      </c>
      <c r="K50" s="379">
        <f>SUMIFS('Jounal entries final'!$H:$H,'Jounal entries final'!$E:$E,$C$42,'Jounal entries final'!$L:$L,$C50,'Jounal entries final'!$B:$B,K$17,'Jounal entries final'!$C:$C,$Q$17)</f>
        <v>275113.30000000016</v>
      </c>
      <c r="L50" s="379">
        <f>SUMIFS('Jounal entries final'!$H:$H,'Jounal entries final'!$E:$E,$C$42,'Jounal entries final'!$L:$L,$C50,'Jounal entries final'!$B:$B,L$17,'Jounal entries final'!$C:$C,$Q$17)</f>
        <v>149955.30000000016</v>
      </c>
      <c r="M50" s="379">
        <f>SUMIFS('Jounal entries final'!$H:$H,'Jounal entries final'!$E:$E,$C$42,'Jounal entries final'!$L:$L,$C50,'Jounal entries final'!$B:$B,M$17,'Jounal entries final'!$C:$C,$Q$17)</f>
        <v>159932.00000000012</v>
      </c>
      <c r="N50" s="379">
        <f>SUMIFS('Jounal entries final'!$H:$H,'Jounal entries final'!$E:$E,$C$42,'Jounal entries final'!$L:$L,$C50,'Jounal entries final'!$B:$B,N$17,'Jounal entries final'!$C:$C,$Q$17)</f>
        <v>39506.000000000116</v>
      </c>
      <c r="O50" s="379">
        <f>SUMIFS('Jounal entries final'!$H:$H,'Jounal entries final'!$E:$E,$C$42,'Jounal entries final'!$L:$L,$C50,'Jounal entries final'!$B:$B,O$17,'Jounal entries final'!$C:$C,$Q$17)</f>
        <v>23754.60000000021</v>
      </c>
      <c r="P50" s="234"/>
    </row>
    <row r="51" spans="1:16" ht="13.25" customHeight="1">
      <c r="A51" s="819"/>
      <c r="B51" s="234"/>
      <c r="C51" s="118" t="s">
        <v>12</v>
      </c>
      <c r="D51" s="379">
        <f>SUMIFS('Jounal entries final'!$H:$H,'Jounal entries final'!$E:$E,$C$42,'Jounal entries final'!$L:$L,$C51,'Jounal entries final'!$B:$B,D$17,'Jounal entries final'!$C:$C,$Q$17)</f>
        <v>1330</v>
      </c>
      <c r="E51" s="379">
        <f>SUMIFS('Jounal entries final'!$H:$H,'Jounal entries final'!$E:$E,$C$42,'Jounal entries final'!$L:$L,$C51,'Jounal entries final'!$B:$B,E$17,'Jounal entries final'!$C:$C,$Q$17)</f>
        <v>127827</v>
      </c>
      <c r="F51" s="379">
        <f>SUMIFS('Jounal entries final'!$H:$H,'Jounal entries final'!$E:$E,$C$42,'Jounal entries final'!$L:$L,$C51,'Jounal entries final'!$B:$B,F$17,'Jounal entries final'!$C:$C,$Q$17)</f>
        <v>447238</v>
      </c>
      <c r="G51" s="379">
        <f>SUMIFS('Jounal entries final'!$H:$H,'Jounal entries final'!$E:$E,$C$42,'Jounal entries final'!$L:$L,$C51,'Jounal entries final'!$B:$B,G$17,'Jounal entries final'!$C:$C,$Q$17)</f>
        <v>57266</v>
      </c>
      <c r="H51" s="379">
        <f>SUMIFS('Jounal entries final'!$H:$H,'Jounal entries final'!$E:$E,$C$42,'Jounal entries final'!$L:$L,$C51,'Jounal entries final'!$B:$B,H$17,'Jounal entries final'!$C:$C,$Q$17)</f>
        <v>220837</v>
      </c>
      <c r="I51" s="379">
        <f>SUMIFS('Jounal entries final'!$H:$H,'Jounal entries final'!$E:$E,$C$42,'Jounal entries final'!$L:$L,$C51,'Jounal entries final'!$B:$B,I$17,'Jounal entries final'!$C:$C,$Q$17)</f>
        <v>25381</v>
      </c>
      <c r="J51" s="379">
        <f>SUMIFS('Jounal entries final'!$H:$H,'Jounal entries final'!$E:$E,$C$42,'Jounal entries final'!$L:$L,$C51,'Jounal entries final'!$B:$B,J$17,'Jounal entries final'!$C:$C,$Q$17)</f>
        <v>128486</v>
      </c>
      <c r="K51" s="379">
        <f>SUMIFS('Jounal entries final'!$H:$H,'Jounal entries final'!$E:$E,$C$42,'Jounal entries final'!$L:$L,$C51,'Jounal entries final'!$B:$B,K$17,'Jounal entries final'!$C:$C,$Q$17)</f>
        <v>189441</v>
      </c>
      <c r="L51" s="379">
        <f>SUMIFS('Jounal entries final'!$H:$H,'Jounal entries final'!$E:$E,$C$42,'Jounal entries final'!$L:$L,$C51,'Jounal entries final'!$B:$B,L$17,'Jounal entries final'!$C:$C,$Q$17)</f>
        <v>158814</v>
      </c>
      <c r="M51" s="379">
        <f>SUMIFS('Jounal entries final'!$H:$H,'Jounal entries final'!$E:$E,$C$42,'Jounal entries final'!$L:$L,$C51,'Jounal entries final'!$B:$B,M$17,'Jounal entries final'!$C:$C,$Q$17)</f>
        <v>356972</v>
      </c>
      <c r="N51" s="379">
        <f>SUMIFS('Jounal entries final'!$H:$H,'Jounal entries final'!$E:$E,$C$42,'Jounal entries final'!$L:$L,$C51,'Jounal entries final'!$B:$B,N$17,'Jounal entries final'!$C:$C,$Q$17)</f>
        <v>296412</v>
      </c>
      <c r="O51" s="379">
        <f>SUMIFS('Jounal entries final'!$H:$H,'Jounal entries final'!$E:$E,$C$42,'Jounal entries final'!$L:$L,$C51,'Jounal entries final'!$B:$B,O$17,'Jounal entries final'!$C:$C,$Q$17)</f>
        <v>454155</v>
      </c>
      <c r="P51" s="234"/>
    </row>
    <row r="52" spans="1:16">
      <c r="A52" s="819"/>
      <c r="B52" s="234"/>
      <c r="C52" s="118" t="s">
        <v>779</v>
      </c>
      <c r="D52" s="114"/>
      <c r="E52" s="114"/>
      <c r="F52" s="114"/>
      <c r="G52" s="114"/>
      <c r="H52" s="114"/>
      <c r="I52" s="114"/>
      <c r="J52" s="114"/>
      <c r="K52" s="114"/>
      <c r="L52" s="114"/>
      <c r="M52" s="114"/>
      <c r="N52" s="114"/>
      <c r="O52" s="114"/>
      <c r="P52" s="234"/>
    </row>
    <row r="53" spans="1:16">
      <c r="A53" s="819"/>
      <c r="B53" s="114"/>
      <c r="C53" s="118" t="s">
        <v>3</v>
      </c>
      <c r="D53" s="379">
        <f>SUMIFS('Jounal entries final'!$F:$F,'Jounal entries final'!$E:$E,$C$41,'Jounal entries final'!$M:$M,$C53,'Jounal entries final'!$B:$B,D$17,'Jounal entries final'!$C:$C,$Q$17)</f>
        <v>858169.20000000007</v>
      </c>
      <c r="E53" s="379">
        <f>SUMIFS('Jounal entries final'!$F:$F,'Jounal entries final'!$E:$E,$C$41,'Jounal entries final'!$M:$M,$C53,'Jounal entries final'!$B:$B,E$17,'Jounal entries final'!$C:$C,$Q$17)</f>
        <v>927914.8</v>
      </c>
      <c r="F53" s="379">
        <f>SUMIFS('Jounal entries final'!$F:$F,'Jounal entries final'!$E:$E,$C$41,'Jounal entries final'!$M:$M,$C53,'Jounal entries final'!$B:$B,F$17,'Jounal entries final'!$C:$C,$Q$17)</f>
        <v>404875.6</v>
      </c>
      <c r="G53" s="379">
        <f>SUMIFS('Jounal entries final'!$F:$F,'Jounal entries final'!$E:$E,$C$41,'Jounal entries final'!$M:$M,$C53,'Jounal entries final'!$B:$B,G$17,'Jounal entries final'!$C:$C,$Q$17)</f>
        <v>758612.40000000014</v>
      </c>
      <c r="H53" s="379">
        <f>SUMIFS('Jounal entries final'!$F:$F,'Jounal entries final'!$E:$E,$C$41,'Jounal entries final'!$M:$M,$C53,'Jounal entries final'!$B:$B,H$17,'Jounal entries final'!$C:$C,$Q$17)</f>
        <v>661583.20000000007</v>
      </c>
      <c r="I53" s="379">
        <f>SUMIFS('Jounal entries final'!$F:$F,'Jounal entries final'!$E:$E,$C$41,'Jounal entries final'!$M:$M,$C53,'Jounal entries final'!$B:$B,I$17,'Jounal entries final'!$C:$C,$Q$17)</f>
        <v>563456.80000000005</v>
      </c>
      <c r="J53" s="379">
        <f>SUMIFS('Jounal entries final'!$F:$F,'Jounal entries final'!$E:$E,$C$41,'Jounal entries final'!$M:$M,$C53,'Jounal entries final'!$B:$B,J$17,'Jounal entries final'!$C:$C,$Q$17)</f>
        <v>704544.79999999993</v>
      </c>
      <c r="K53" s="379">
        <f>SUMIFS('Jounal entries final'!$F:$F,'Jounal entries final'!$E:$E,$C$41,'Jounal entries final'!$M:$M,$C53,'Jounal entries final'!$B:$B,K$17,'Jounal entries final'!$C:$C,$Q$17)</f>
        <v>729079.2</v>
      </c>
      <c r="L53" s="379">
        <f>SUMIFS('Jounal entries final'!$F:$F,'Jounal entries final'!$E:$E,$C$41,'Jounal entries final'!$M:$M,$C53,'Jounal entries final'!$B:$B,L$17,'Jounal entries final'!$C:$C,$Q$17)</f>
        <v>715560.8</v>
      </c>
      <c r="M53" s="379">
        <f>SUMIFS('Jounal entries final'!$F:$F,'Jounal entries final'!$E:$E,$C$41,'Jounal entries final'!$M:$M,$C53,'Jounal entries final'!$B:$B,M$17,'Jounal entries final'!$C:$C,$Q$17)</f>
        <v>851001.59999999986</v>
      </c>
      <c r="N53" s="379">
        <f>SUMIFS('Jounal entries final'!$F:$F,'Jounal entries final'!$E:$E,$C$41,'Jounal entries final'!$M:$M,$C53,'Jounal entries final'!$B:$B,N$17,'Jounal entries final'!$C:$C,$Q$17)</f>
        <v>636362.39999999991</v>
      </c>
      <c r="O53" s="379">
        <f>SUMIFS('Jounal entries final'!$F:$F,'Jounal entries final'!$E:$E,$C$41,'Jounal entries final'!$M:$M,$C53,'Jounal entries final'!$B:$B,O$17,'Jounal entries final'!$C:$C,$Q$17)</f>
        <v>918443.20000000019</v>
      </c>
      <c r="P53" s="234"/>
    </row>
    <row r="54" spans="1:16">
      <c r="A54" s="819"/>
      <c r="B54" s="234"/>
      <c r="C54" s="118" t="s">
        <v>4</v>
      </c>
      <c r="D54" s="379">
        <f>SUMIFS('Jounal entries final'!$F:$F,'Jounal entries final'!$E:$E,$C$41,'Jounal entries final'!$M:$M,$C54,'Jounal entries final'!$B:$B,D$17,'Jounal entries final'!$C:$C,$Q$17)</f>
        <v>975874.68</v>
      </c>
      <c r="E54" s="379">
        <f>SUMIFS('Jounal entries final'!$F:$F,'Jounal entries final'!$E:$E,$C$41,'Jounal entries final'!$M:$M,$C54,'Jounal entries final'!$B:$B,E$17,'Jounal entries final'!$C:$C,$Q$17)</f>
        <v>925831.55999999982</v>
      </c>
      <c r="F54" s="379">
        <f>SUMIFS('Jounal entries final'!$F:$F,'Jounal entries final'!$E:$E,$C$41,'Jounal entries final'!$M:$M,$C54,'Jounal entries final'!$B:$B,F$17,'Jounal entries final'!$C:$C,$Q$17)</f>
        <v>830798.7</v>
      </c>
      <c r="G54" s="379">
        <f>SUMIFS('Jounal entries final'!$F:$F,'Jounal entries final'!$E:$E,$C$41,'Jounal entries final'!$M:$M,$C54,'Jounal entries final'!$B:$B,G$17,'Jounal entries final'!$C:$C,$Q$17)</f>
        <v>989612.88</v>
      </c>
      <c r="H54" s="379">
        <f>SUMIFS('Jounal entries final'!$F:$F,'Jounal entries final'!$E:$E,$C$41,'Jounal entries final'!$M:$M,$C54,'Jounal entries final'!$B:$B,H$17,'Jounal entries final'!$C:$C,$Q$17)</f>
        <v>957947.75999999989</v>
      </c>
      <c r="I54" s="379">
        <f>SUMIFS('Jounal entries final'!$F:$F,'Jounal entries final'!$E:$E,$C$41,'Jounal entries final'!$M:$M,$C54,'Jounal entries final'!$B:$B,I$17,'Jounal entries final'!$C:$C,$Q$17)</f>
        <v>838781.94</v>
      </c>
      <c r="J54" s="379">
        <f>SUMIFS('Jounal entries final'!$F:$F,'Jounal entries final'!$E:$E,$C$41,'Jounal entries final'!$M:$M,$C54,'Jounal entries final'!$B:$B,J$17,'Jounal entries final'!$C:$C,$Q$17)</f>
        <v>934816.88000000012</v>
      </c>
      <c r="K54" s="379">
        <f>SUMIFS('Jounal entries final'!$F:$F,'Jounal entries final'!$E:$E,$C$41,'Jounal entries final'!$M:$M,$C54,'Jounal entries final'!$B:$B,K$17,'Jounal entries final'!$C:$C,$Q$17)</f>
        <v>822659.91999999993</v>
      </c>
      <c r="L54" s="379">
        <f>SUMIFS('Jounal entries final'!$F:$F,'Jounal entries final'!$E:$E,$C$41,'Jounal entries final'!$M:$M,$C54,'Jounal entries final'!$B:$B,L$17,'Jounal entries final'!$C:$C,$Q$17)</f>
        <v>843424.5</v>
      </c>
      <c r="M54" s="379">
        <f>SUMIFS('Jounal entries final'!$F:$F,'Jounal entries final'!$E:$E,$C$41,'Jounal entries final'!$M:$M,$C54,'Jounal entries final'!$B:$B,M$17,'Jounal entries final'!$C:$C,$Q$17)</f>
        <v>851028.88000000012</v>
      </c>
      <c r="N54" s="379">
        <f>SUMIFS('Jounal entries final'!$F:$F,'Jounal entries final'!$E:$E,$C$41,'Jounal entries final'!$M:$M,$C54,'Jounal entries final'!$B:$B,N$17,'Jounal entries final'!$C:$C,$Q$17)</f>
        <v>790902.6399999999</v>
      </c>
      <c r="O54" s="379">
        <f>SUMIFS('Jounal entries final'!$F:$F,'Jounal entries final'!$E:$E,$C$41,'Jounal entries final'!$M:$M,$C54,'Jounal entries final'!$B:$B,O$17,'Jounal entries final'!$C:$C,$Q$17)</f>
        <v>825855.3</v>
      </c>
      <c r="P54" s="234"/>
    </row>
    <row r="55" spans="1:16">
      <c r="A55" s="819"/>
      <c r="B55" s="114"/>
      <c r="C55" s="118" t="s">
        <v>5</v>
      </c>
      <c r="D55" s="379">
        <f>SUMIFS('Jounal entries final'!$F:$F,'Jounal entries final'!$E:$E,$C$41,'Jounal entries final'!$M:$M,$C55,'Jounal entries final'!$B:$B,D$17,'Jounal entries final'!$C:$C,$Q$17)</f>
        <v>2491318.9500000002</v>
      </c>
      <c r="E55" s="379">
        <f>SUMIFS('Jounal entries final'!$F:$F,'Jounal entries final'!$E:$E,$C$41,'Jounal entries final'!$M:$M,$C55,'Jounal entries final'!$B:$B,E$17,'Jounal entries final'!$C:$C,$Q$17)</f>
        <v>1954768.8699999999</v>
      </c>
      <c r="F55" s="379">
        <f>SUMIFS('Jounal entries final'!$F:$F,'Jounal entries final'!$E:$E,$C$41,'Jounal entries final'!$M:$M,$C55,'Jounal entries final'!$B:$B,F$17,'Jounal entries final'!$C:$C,$Q$17)</f>
        <v>2022844.58</v>
      </c>
      <c r="G55" s="379">
        <f>SUMIFS('Jounal entries final'!$F:$F,'Jounal entries final'!$E:$E,$C$41,'Jounal entries final'!$M:$M,$C55,'Jounal entries final'!$B:$B,G$17,'Jounal entries final'!$C:$C,$Q$17)</f>
        <v>2277808.23</v>
      </c>
      <c r="H55" s="379">
        <f>SUMIFS('Jounal entries final'!$F:$F,'Jounal entries final'!$E:$E,$C$41,'Jounal entries final'!$M:$M,$C55,'Jounal entries final'!$B:$B,H$17,'Jounal entries final'!$C:$C,$Q$17)</f>
        <v>2363213.31</v>
      </c>
      <c r="I55" s="379">
        <f>SUMIFS('Jounal entries final'!$F:$F,'Jounal entries final'!$E:$E,$C$41,'Jounal entries final'!$M:$M,$C55,'Jounal entries final'!$B:$B,I$17,'Jounal entries final'!$C:$C,$Q$17)</f>
        <v>1794753.0600000003</v>
      </c>
      <c r="J55" s="379">
        <f>SUMIFS('Jounal entries final'!$F:$F,'Jounal entries final'!$E:$E,$C$41,'Jounal entries final'!$M:$M,$C55,'Jounal entries final'!$B:$B,J$17,'Jounal entries final'!$C:$C,$Q$17)</f>
        <v>2350592.4800000004</v>
      </c>
      <c r="K55" s="379">
        <f>SUMIFS('Jounal entries final'!$F:$F,'Jounal entries final'!$E:$E,$C$41,'Jounal entries final'!$M:$M,$C55,'Jounal entries final'!$B:$B,K$17,'Jounal entries final'!$C:$C,$Q$17)</f>
        <v>1968576.92</v>
      </c>
      <c r="L55" s="379">
        <f>SUMIFS('Jounal entries final'!$F:$F,'Jounal entries final'!$E:$E,$C$41,'Jounal entries final'!$M:$M,$C55,'Jounal entries final'!$B:$B,L$17,'Jounal entries final'!$C:$C,$Q$17)</f>
        <v>2132295.12</v>
      </c>
      <c r="M55" s="379">
        <f>SUMIFS('Jounal entries final'!$F:$F,'Jounal entries final'!$E:$E,$C$41,'Jounal entries final'!$M:$M,$C55,'Jounal entries final'!$B:$B,M$17,'Jounal entries final'!$C:$C,$Q$17)</f>
        <v>1972135.2799999998</v>
      </c>
      <c r="N55" s="379">
        <f>SUMIFS('Jounal entries final'!$F:$F,'Jounal entries final'!$E:$E,$C$41,'Jounal entries final'!$M:$M,$C55,'Jounal entries final'!$B:$B,N$17,'Jounal entries final'!$C:$C,$Q$17)</f>
        <v>1931439.8200000003</v>
      </c>
      <c r="O55" s="379">
        <f>SUMIFS('Jounal entries final'!$F:$F,'Jounal entries final'!$E:$E,$C$41,'Jounal entries final'!$M:$M,$C55,'Jounal entries final'!$B:$B,O$17,'Jounal entries final'!$C:$C,$Q$17)</f>
        <v>1778721.1199999999</v>
      </c>
      <c r="P55" s="114"/>
    </row>
    <row r="56" spans="1:16">
      <c r="A56" s="819"/>
      <c r="B56" s="114"/>
      <c r="C56" s="118" t="s">
        <v>6</v>
      </c>
      <c r="D56" s="379">
        <f>SUMIFS('Jounal entries final'!$F:$F,'Jounal entries final'!$E:$E,$C$41,'Jounal entries final'!$M:$M,$C56,'Jounal entries final'!$B:$B,D$17,'Jounal entries final'!$C:$C,$Q$17)</f>
        <v>2371257</v>
      </c>
      <c r="E56" s="379">
        <f>SUMIFS('Jounal entries final'!$F:$F,'Jounal entries final'!$E:$E,$C$41,'Jounal entries final'!$M:$M,$C56,'Jounal entries final'!$B:$B,E$17,'Jounal entries final'!$C:$C,$Q$17)</f>
        <v>2153616</v>
      </c>
      <c r="F56" s="379">
        <f>SUMIFS('Jounal entries final'!$F:$F,'Jounal entries final'!$E:$E,$C$41,'Jounal entries final'!$M:$M,$C56,'Jounal entries final'!$B:$B,F$17,'Jounal entries final'!$C:$C,$Q$17)</f>
        <v>955314</v>
      </c>
      <c r="G56" s="379">
        <f>SUMIFS('Jounal entries final'!$F:$F,'Jounal entries final'!$E:$E,$C$41,'Jounal entries final'!$M:$M,$C56,'Jounal entries final'!$B:$B,G$17,'Jounal entries final'!$C:$C,$Q$17)</f>
        <v>1879658</v>
      </c>
      <c r="H56" s="379">
        <f>SUMIFS('Jounal entries final'!$F:$F,'Jounal entries final'!$E:$E,$C$41,'Jounal entries final'!$M:$M,$C56,'Jounal entries final'!$B:$B,H$17,'Jounal entries final'!$C:$C,$Q$17)</f>
        <v>1875578</v>
      </c>
      <c r="I56" s="379">
        <f>SUMIFS('Jounal entries final'!$F:$F,'Jounal entries final'!$E:$E,$C$41,'Jounal entries final'!$M:$M,$C56,'Jounal entries final'!$B:$B,I$17,'Jounal entries final'!$C:$C,$Q$17)</f>
        <v>1493282</v>
      </c>
      <c r="J56" s="379">
        <f>SUMIFS('Jounal entries final'!$F:$F,'Jounal entries final'!$E:$E,$C$41,'Jounal entries final'!$M:$M,$C56,'Jounal entries final'!$B:$B,J$17,'Jounal entries final'!$C:$C,$Q$17)</f>
        <v>1982123</v>
      </c>
      <c r="K56" s="379">
        <f>SUMIFS('Jounal entries final'!$F:$F,'Jounal entries final'!$E:$E,$C$41,'Jounal entries final'!$M:$M,$C56,'Jounal entries final'!$B:$B,K$17,'Jounal entries final'!$C:$C,$Q$17)</f>
        <v>2143001</v>
      </c>
      <c r="L56" s="379">
        <f>SUMIFS('Jounal entries final'!$F:$F,'Jounal entries final'!$E:$E,$C$41,'Jounal entries final'!$M:$M,$C56,'Jounal entries final'!$B:$B,L$17,'Jounal entries final'!$C:$C,$Q$17)</f>
        <v>1633814</v>
      </c>
      <c r="M56" s="379">
        <f>SUMIFS('Jounal entries final'!$F:$F,'Jounal entries final'!$E:$E,$C$41,'Jounal entries final'!$M:$M,$C56,'Jounal entries final'!$B:$B,M$17,'Jounal entries final'!$C:$C,$Q$17)</f>
        <v>1886144</v>
      </c>
      <c r="N56" s="379">
        <f>SUMIFS('Jounal entries final'!$F:$F,'Jounal entries final'!$E:$E,$C$41,'Jounal entries final'!$M:$M,$C56,'Jounal entries final'!$B:$B,N$17,'Jounal entries final'!$C:$C,$Q$17)</f>
        <v>2181323</v>
      </c>
      <c r="O56" s="379">
        <f>SUMIFS('Jounal entries final'!$F:$F,'Jounal entries final'!$E:$E,$C$41,'Jounal entries final'!$M:$M,$C56,'Jounal entries final'!$B:$B,O$17,'Jounal entries final'!$C:$C,$Q$17)</f>
        <v>1666860</v>
      </c>
      <c r="P56" s="114"/>
    </row>
    <row r="57" spans="1:16">
      <c r="A57" s="819"/>
      <c r="B57" s="114"/>
      <c r="C57" s="118" t="s">
        <v>11</v>
      </c>
      <c r="D57" s="379">
        <f>SUMIFS('Jounal entries final'!$F:$F,'Jounal entries final'!$E:$E,$C$41,'Jounal entries final'!$M:$M,$C57,'Jounal entries final'!$B:$B,D$17,'Jounal entries final'!$C:$C,$Q$17)</f>
        <v>1048003.2000000001</v>
      </c>
      <c r="E57" s="379">
        <f>SUMIFS('Jounal entries final'!$F:$F,'Jounal entries final'!$E:$E,$C$41,'Jounal entries final'!$M:$M,$C57,'Jounal entries final'!$B:$B,E$17,'Jounal entries final'!$C:$C,$Q$17)</f>
        <v>796282.75</v>
      </c>
      <c r="F57" s="379">
        <f>SUMIFS('Jounal entries final'!$F:$F,'Jounal entries final'!$E:$E,$C$41,'Jounal entries final'!$M:$M,$C57,'Jounal entries final'!$B:$B,F$17,'Jounal entries final'!$C:$C,$Q$17)</f>
        <v>998481.35</v>
      </c>
      <c r="G57" s="379">
        <f>SUMIFS('Jounal entries final'!$F:$F,'Jounal entries final'!$E:$E,$C$41,'Jounal entries final'!$M:$M,$C57,'Jounal entries final'!$B:$B,G$17,'Jounal entries final'!$C:$C,$Q$17)</f>
        <v>940346.5</v>
      </c>
      <c r="H57" s="379">
        <f>SUMIFS('Jounal entries final'!$F:$F,'Jounal entries final'!$E:$E,$C$41,'Jounal entries final'!$M:$M,$C57,'Jounal entries final'!$B:$B,H$17,'Jounal entries final'!$C:$C,$Q$17)</f>
        <v>1080370</v>
      </c>
      <c r="I57" s="379">
        <f>SUMIFS('Jounal entries final'!$F:$F,'Jounal entries final'!$E:$E,$C$41,'Jounal entries final'!$M:$M,$C57,'Jounal entries final'!$B:$B,I$17,'Jounal entries final'!$C:$C,$Q$17)</f>
        <v>894125.59999999986</v>
      </c>
      <c r="J57" s="379">
        <f>SUMIFS('Jounal entries final'!$F:$F,'Jounal entries final'!$E:$E,$C$41,'Jounal entries final'!$M:$M,$C57,'Jounal entries final'!$B:$B,J$17,'Jounal entries final'!$C:$C,$Q$17)</f>
        <v>1144563.5999999999</v>
      </c>
      <c r="K57" s="379">
        <f>SUMIFS('Jounal entries final'!$F:$F,'Jounal entries final'!$E:$E,$C$41,'Jounal entries final'!$M:$M,$C57,'Jounal entries final'!$B:$B,K$17,'Jounal entries final'!$C:$C,$Q$17)</f>
        <v>917779.70000000007</v>
      </c>
      <c r="L57" s="379">
        <f>SUMIFS('Jounal entries final'!$F:$F,'Jounal entries final'!$E:$E,$C$41,'Jounal entries final'!$M:$M,$C57,'Jounal entries final'!$B:$B,L$17,'Jounal entries final'!$C:$C,$Q$17)</f>
        <v>845158</v>
      </c>
      <c r="M57" s="379">
        <f>SUMIFS('Jounal entries final'!$F:$F,'Jounal entries final'!$E:$E,$C$41,'Jounal entries final'!$M:$M,$C57,'Jounal entries final'!$B:$B,M$17,'Jounal entries final'!$C:$C,$Q$17)</f>
        <v>790023.3</v>
      </c>
      <c r="N57" s="379">
        <f>SUMIFS('Jounal entries final'!$F:$F,'Jounal entries final'!$E:$E,$C$41,'Jounal entries final'!$M:$M,$C57,'Jounal entries final'!$B:$B,N$17,'Jounal entries final'!$C:$C,$Q$17)</f>
        <v>920426</v>
      </c>
      <c r="O57" s="379">
        <f>SUMIFS('Jounal entries final'!$F:$F,'Jounal entries final'!$E:$E,$C$41,'Jounal entries final'!$M:$M,$C57,'Jounal entries final'!$B:$B,O$17,'Jounal entries final'!$C:$C,$Q$17)</f>
        <v>735751.39999999991</v>
      </c>
      <c r="P57" s="114"/>
    </row>
    <row r="58" spans="1:16">
      <c r="A58" s="819"/>
      <c r="B58" s="114"/>
      <c r="C58" s="118" t="s">
        <v>12</v>
      </c>
      <c r="D58" s="379">
        <f>SUMIFS('Jounal entries final'!$F:$F,'Jounal entries final'!$E:$E,$C$41,'Jounal entries final'!$M:$M,$C58,'Jounal entries final'!$B:$B,D$17,'Jounal entries final'!$C:$C,$Q$17)</f>
        <v>2536804</v>
      </c>
      <c r="E58" s="379">
        <f>SUMIFS('Jounal entries final'!$F:$F,'Jounal entries final'!$E:$E,$C$41,'Jounal entries final'!$M:$M,$C58,'Jounal entries final'!$B:$B,E$17,'Jounal entries final'!$C:$C,$Q$17)</f>
        <v>2066008</v>
      </c>
      <c r="F58" s="379">
        <f>SUMIFS('Jounal entries final'!$F:$F,'Jounal entries final'!$E:$E,$C$41,'Jounal entries final'!$M:$M,$C58,'Jounal entries final'!$B:$B,F$17,'Jounal entries final'!$C:$C,$Q$17)</f>
        <v>2980589</v>
      </c>
      <c r="G58" s="379">
        <f>SUMIFS('Jounal entries final'!$F:$F,'Jounal entries final'!$E:$E,$C$41,'Jounal entries final'!$M:$M,$C58,'Jounal entries final'!$B:$B,G$17,'Jounal entries final'!$C:$C,$Q$17)</f>
        <v>2479972</v>
      </c>
      <c r="H58" s="379">
        <f>SUMIFS('Jounal entries final'!$F:$F,'Jounal entries final'!$E:$E,$C$41,'Jounal entries final'!$M:$M,$C58,'Jounal entries final'!$B:$B,H$17,'Jounal entries final'!$C:$C,$Q$17)</f>
        <v>2306429</v>
      </c>
      <c r="I58" s="379">
        <f>SUMIFS('Jounal entries final'!$F:$F,'Jounal entries final'!$E:$E,$C$41,'Jounal entries final'!$M:$M,$C58,'Jounal entries final'!$B:$B,I$17,'Jounal entries final'!$C:$C,$Q$17)</f>
        <v>2065456</v>
      </c>
      <c r="J58" s="379">
        <f>SUMIFS('Jounal entries final'!$F:$F,'Jounal entries final'!$E:$E,$C$41,'Jounal entries final'!$M:$M,$C58,'Jounal entries final'!$B:$B,J$17,'Jounal entries final'!$C:$C,$Q$17)</f>
        <v>2276895</v>
      </c>
      <c r="K58" s="379">
        <f>SUMIFS('Jounal entries final'!$F:$F,'Jounal entries final'!$E:$E,$C$41,'Jounal entries final'!$M:$M,$C58,'Jounal entries final'!$B:$B,K$17,'Jounal entries final'!$C:$C,$Q$17)</f>
        <v>2131550</v>
      </c>
      <c r="L58" s="379">
        <f>SUMIFS('Jounal entries final'!$F:$F,'Jounal entries final'!$E:$E,$C$41,'Jounal entries final'!$M:$M,$C58,'Jounal entries final'!$B:$B,L$17,'Jounal entries final'!$C:$C,$Q$17)</f>
        <v>1805512</v>
      </c>
      <c r="M58" s="379">
        <f>SUMIFS('Jounal entries final'!$F:$F,'Jounal entries final'!$E:$E,$C$41,'Jounal entries final'!$M:$M,$C58,'Jounal entries final'!$B:$B,M$17,'Jounal entries final'!$C:$C,$Q$17)</f>
        <v>1785537</v>
      </c>
      <c r="N58" s="379">
        <f>SUMIFS('Jounal entries final'!$F:$F,'Jounal entries final'!$E:$E,$C$41,'Jounal entries final'!$M:$M,$C58,'Jounal entries final'!$B:$B,N$17,'Jounal entries final'!$C:$C,$Q$17)</f>
        <v>1835445</v>
      </c>
      <c r="O58" s="379">
        <f>SUMIFS('Jounal entries final'!$F:$F,'Jounal entries final'!$E:$E,$C$41,'Jounal entries final'!$M:$M,$C58,'Jounal entries final'!$B:$B,O$17,'Jounal entries final'!$C:$C,$Q$17)</f>
        <v>1617142</v>
      </c>
      <c r="P58" s="114"/>
    </row>
    <row r="60" spans="1:16" ht="18">
      <c r="B60" s="234"/>
      <c r="C60" s="118" t="s">
        <v>3</v>
      </c>
      <c r="D60" s="381">
        <f t="shared" ref="D60:D65" si="1">(D46/D53)*30</f>
        <v>5.5349504503307712</v>
      </c>
      <c r="E60" s="381">
        <f t="shared" ref="E60:E65" si="2">(E46/SUM(D53:E53))*60</f>
        <v>1.0217660535562678</v>
      </c>
      <c r="F60" s="381">
        <f t="shared" ref="F60:F65" si="3">(F46/(SUM(D53:F53))*90)</f>
        <v>15.837186591665128</v>
      </c>
      <c r="G60" s="381">
        <f t="shared" ref="G60:O60" si="4">(G46/(SUM(E53:G53))*90)</f>
        <v>18.372128028134981</v>
      </c>
      <c r="H60" s="381">
        <f t="shared" si="4"/>
        <v>23.933878305679237</v>
      </c>
      <c r="I60" s="381">
        <f t="shared" si="4"/>
        <v>32.752673805148504</v>
      </c>
      <c r="J60" s="381">
        <f t="shared" si="4"/>
        <v>36.256964710750196</v>
      </c>
      <c r="K60" s="381">
        <f t="shared" si="4"/>
        <v>38.22767711752072</v>
      </c>
      <c r="L60" s="381">
        <f t="shared" si="4"/>
        <v>40.733252905939025</v>
      </c>
      <c r="M60" s="381">
        <f t="shared" si="4"/>
        <v>32.998680630286543</v>
      </c>
      <c r="N60" s="381">
        <f t="shared" si="4"/>
        <v>44.341290270099101</v>
      </c>
      <c r="O60" s="381">
        <f t="shared" si="4"/>
        <v>33.178319526186456</v>
      </c>
      <c r="P60" s="114"/>
    </row>
    <row r="61" spans="1:16" ht="18">
      <c r="B61" s="234"/>
      <c r="C61" s="118" t="s">
        <v>4</v>
      </c>
      <c r="D61" s="381">
        <f t="shared" si="1"/>
        <v>12.801602353285769</v>
      </c>
      <c r="E61" s="381">
        <f t="shared" si="2"/>
        <v>13.743250692599091</v>
      </c>
      <c r="F61" s="381">
        <f t="shared" si="3"/>
        <v>15.144183197707237</v>
      </c>
      <c r="G61" s="381">
        <f t="shared" ref="G61:O61" si="5">(G47/(SUM(E54:G54))*90)</f>
        <v>13.606368516955138</v>
      </c>
      <c r="H61" s="381">
        <f t="shared" si="5"/>
        <v>13.029667285585898</v>
      </c>
      <c r="I61" s="381">
        <f t="shared" si="5"/>
        <v>12.062667182870252</v>
      </c>
      <c r="J61" s="381">
        <f t="shared" si="5"/>
        <v>11.157490127808847</v>
      </c>
      <c r="K61" s="381">
        <f t="shared" si="5"/>
        <v>11.300033678461503</v>
      </c>
      <c r="L61" s="381">
        <f t="shared" si="5"/>
        <v>14.794719891908251</v>
      </c>
      <c r="M61" s="381">
        <f t="shared" si="5"/>
        <v>15.429185090714835</v>
      </c>
      <c r="N61" s="381">
        <f t="shared" si="5"/>
        <v>14.688346098600402</v>
      </c>
      <c r="O61" s="381">
        <f t="shared" si="5"/>
        <v>20.77926342114106</v>
      </c>
      <c r="P61" s="114"/>
    </row>
    <row r="62" spans="1:16" ht="18">
      <c r="B62" s="234"/>
      <c r="C62" s="118" t="s">
        <v>5</v>
      </c>
      <c r="D62" s="381">
        <f t="shared" si="1"/>
        <v>3.730482401701313</v>
      </c>
      <c r="E62" s="381">
        <f t="shared" si="2"/>
        <v>2.0920663685855838</v>
      </c>
      <c r="F62" s="381">
        <f t="shared" si="3"/>
        <v>1.8389825808042122</v>
      </c>
      <c r="G62" s="381">
        <f t="shared" ref="G62:O62" si="6">(G48/(SUM(E55:G55))*90)</f>
        <v>3.3000993947381643</v>
      </c>
      <c r="H62" s="381">
        <f t="shared" si="6"/>
        <v>0.89352266278722647</v>
      </c>
      <c r="I62" s="381">
        <f t="shared" si="6"/>
        <v>6.7321406812475928</v>
      </c>
      <c r="J62" s="381">
        <f t="shared" si="6"/>
        <v>3.1916768794369763</v>
      </c>
      <c r="K62" s="381">
        <f t="shared" si="6"/>
        <v>3.8602540602060436</v>
      </c>
      <c r="L62" s="381">
        <f t="shared" si="6"/>
        <v>4.6027895073969827</v>
      </c>
      <c r="M62" s="381">
        <f t="shared" si="6"/>
        <v>5.3025719060058591</v>
      </c>
      <c r="N62" s="381">
        <f t="shared" si="6"/>
        <v>3.3753168072589714</v>
      </c>
      <c r="O62" s="381">
        <f t="shared" si="6"/>
        <v>3.9223709108216673</v>
      </c>
      <c r="P62" s="114"/>
    </row>
    <row r="63" spans="1:16" ht="18">
      <c r="B63" s="234"/>
      <c r="C63" s="118" t="s">
        <v>6</v>
      </c>
      <c r="D63" s="381">
        <f t="shared" si="1"/>
        <v>4.1674858524402874</v>
      </c>
      <c r="E63" s="381">
        <f t="shared" si="2"/>
        <v>2.0657817357525836</v>
      </c>
      <c r="F63" s="381">
        <f t="shared" si="3"/>
        <v>19.386718007980384</v>
      </c>
      <c r="G63" s="381">
        <f t="shared" ref="G63:O63" si="7">(G49/(SUM(E56:G56))*90)</f>
        <v>31.045582437355019</v>
      </c>
      <c r="H63" s="381">
        <f t="shared" si="7"/>
        <v>39.076456040165162</v>
      </c>
      <c r="I63" s="381">
        <f t="shared" si="7"/>
        <v>50.962237340140589</v>
      </c>
      <c r="J63" s="381">
        <f t="shared" si="7"/>
        <v>55.501045321952986</v>
      </c>
      <c r="K63" s="381">
        <f t="shared" si="7"/>
        <v>52.010313957375097</v>
      </c>
      <c r="L63" s="381">
        <f t="shared" si="7"/>
        <v>59.589424300105335</v>
      </c>
      <c r="M63" s="381">
        <f t="shared" si="7"/>
        <v>67.335617298306417</v>
      </c>
      <c r="N63" s="381">
        <f t="shared" si="7"/>
        <v>65.44139290801489</v>
      </c>
      <c r="O63" s="381">
        <f t="shared" si="7"/>
        <v>75.158317619486994</v>
      </c>
      <c r="P63" s="114"/>
    </row>
    <row r="64" spans="1:16" ht="18">
      <c r="B64" s="234"/>
      <c r="C64" s="118" t="s">
        <v>11</v>
      </c>
      <c r="D64" s="381">
        <f t="shared" si="1"/>
        <v>5.9049438016981148E-2</v>
      </c>
      <c r="E64" s="381">
        <f t="shared" si="2"/>
        <v>1.9773522647071053</v>
      </c>
      <c r="F64" s="381">
        <f t="shared" si="3"/>
        <v>2.6055185733985313</v>
      </c>
      <c r="G64" s="381">
        <f t="shared" ref="G64:O64" si="8">(G50/(SUM(E57:G57))*90)</f>
        <v>2.5321455008071685</v>
      </c>
      <c r="H64" s="381">
        <f t="shared" si="8"/>
        <v>2.0145741690959391</v>
      </c>
      <c r="I64" s="381">
        <f t="shared" si="8"/>
        <v>1.7740563030841392</v>
      </c>
      <c r="J64" s="381">
        <f t="shared" si="8"/>
        <v>9.0284820499720002</v>
      </c>
      <c r="K64" s="381">
        <f t="shared" si="8"/>
        <v>8.3749221918079417</v>
      </c>
      <c r="L64" s="381">
        <f t="shared" si="8"/>
        <v>4.6417784920680916</v>
      </c>
      <c r="M64" s="381">
        <f t="shared" si="8"/>
        <v>5.6381119805590494</v>
      </c>
      <c r="N64" s="381">
        <f t="shared" si="8"/>
        <v>1.3912700906747335</v>
      </c>
      <c r="O64" s="381">
        <f t="shared" si="8"/>
        <v>0.87397325983923502</v>
      </c>
      <c r="P64" s="114"/>
    </row>
    <row r="65" spans="2:16" ht="18">
      <c r="B65" s="234"/>
      <c r="C65" s="118" t="s">
        <v>12</v>
      </c>
      <c r="D65" s="381">
        <f t="shared" si="1"/>
        <v>1.5728452020731597E-2</v>
      </c>
      <c r="E65" s="381">
        <f t="shared" si="2"/>
        <v>1.6662900852783038</v>
      </c>
      <c r="F65" s="381">
        <f t="shared" si="3"/>
        <v>5.3078321982445607</v>
      </c>
      <c r="G65" s="381">
        <f t="shared" ref="G65:O65" si="9">(G51/(SUM(E58:G58))*90)</f>
        <v>0.68476619293598451</v>
      </c>
      <c r="H65" s="381">
        <f t="shared" si="9"/>
        <v>2.5589488334605814</v>
      </c>
      <c r="I65" s="381">
        <f t="shared" si="9"/>
        <v>0.33338261437738703</v>
      </c>
      <c r="J65" s="381">
        <f t="shared" si="9"/>
        <v>1.7392273469719255</v>
      </c>
      <c r="K65" s="381">
        <f t="shared" si="9"/>
        <v>2.6336037576107514</v>
      </c>
      <c r="L65" s="381">
        <f t="shared" si="9"/>
        <v>2.3001864995203536</v>
      </c>
      <c r="M65" s="381">
        <f t="shared" si="9"/>
        <v>5.6141414067279571</v>
      </c>
      <c r="N65" s="381">
        <f t="shared" si="9"/>
        <v>4.9160802536591763</v>
      </c>
      <c r="O65" s="381">
        <f t="shared" si="9"/>
        <v>7.8031657898896629</v>
      </c>
      <c r="P65" s="114"/>
    </row>
    <row r="66" spans="2:16" ht="18">
      <c r="B66" s="234"/>
      <c r="C66" s="382" t="s">
        <v>271</v>
      </c>
      <c r="D66" s="383">
        <f>+D44</f>
        <v>3.4574436467379317</v>
      </c>
      <c r="E66" s="383">
        <f t="shared" ref="E66:O66" si="10">+E44</f>
        <v>2.9574454265189423</v>
      </c>
      <c r="F66" s="383">
        <f t="shared" si="10"/>
        <v>8.6400221933191972</v>
      </c>
      <c r="G66" s="383">
        <f t="shared" si="10"/>
        <v>9.749733152862559</v>
      </c>
      <c r="H66" s="383">
        <f t="shared" si="10"/>
        <v>10.769308056263759</v>
      </c>
      <c r="I66" s="383">
        <f t="shared" si="10"/>
        <v>15.473041292314146</v>
      </c>
      <c r="J66" s="383">
        <f t="shared" si="10"/>
        <v>16.957495586848911</v>
      </c>
      <c r="K66" s="383">
        <f t="shared" si="10"/>
        <v>17.508267053999926</v>
      </c>
      <c r="L66" s="383">
        <f t="shared" si="10"/>
        <v>19.663390809157995</v>
      </c>
      <c r="M66" s="383">
        <f t="shared" si="10"/>
        <v>22.538998297104317</v>
      </c>
      <c r="N66" s="383">
        <f t="shared" si="10"/>
        <v>22.245852573598167</v>
      </c>
      <c r="O66" s="383">
        <f t="shared" si="10"/>
        <v>25.455140366169701</v>
      </c>
      <c r="P66" s="114"/>
    </row>
  </sheetData>
  <mergeCells count="3">
    <mergeCell ref="C25:E25"/>
    <mergeCell ref="C28:F34"/>
    <mergeCell ref="A46:A58"/>
  </mergeCells>
  <conditionalFormatting sqref="C42">
    <cfRule type="cellIs" dxfId="50" priority="4" operator="lessThan">
      <formula>0</formula>
    </cfRule>
  </conditionalFormatting>
  <conditionalFormatting sqref="C43:D43">
    <cfRule type="cellIs" dxfId="49" priority="3" operator="lessThan">
      <formula>0</formula>
    </cfRule>
  </conditionalFormatting>
  <conditionalFormatting sqref="F26:F27">
    <cfRule type="iconSet" priority="2">
      <iconSet iconSet="3Arrows">
        <cfvo type="percent" val="0"/>
        <cfvo type="num" val="0"/>
        <cfvo type="num" val="9.9999999999999995E-8" gte="0"/>
      </iconSet>
    </cfRule>
  </conditionalFormatting>
  <hyperlinks>
    <hyperlink ref="D44" location="'Indepth Working Capital'!A1" display="'Indepth Working Capital'!A1" xr:uid="{7CCE9573-2354-48D7-8695-6987325B0554}"/>
    <hyperlink ref="D19" location="'Indepth WC DSO'!A1" display="DSO" xr:uid="{85918FC7-9BA2-40D9-8610-68D02AA8F69B}"/>
    <hyperlink ref="E19" location="'Indepth WC DIO'!A1" display="DIO" xr:uid="{261C3EA0-C66E-4BA4-97C4-B5D5A04FA7D1}"/>
    <hyperlink ref="F19" location="'Indepth WC DPO'!A1" display="DPO" xr:uid="{F42B83BD-CB76-4EC4-951D-19055CAF8413}"/>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BADEF-6A65-4602-AC19-04403C00A4D5}">
  <sheetPr codeName="Sheet38">
    <tabColor theme="4" tint="0.79998168889431442"/>
  </sheetPr>
  <dimension ref="A1:Q58"/>
  <sheetViews>
    <sheetView showGridLines="0" zoomScale="80" zoomScaleNormal="80" workbookViewId="0"/>
  </sheetViews>
  <sheetFormatPr baseColWidth="10" defaultColWidth="8.83203125" defaultRowHeight="15"/>
  <cols>
    <col min="1" max="1" width="2.83203125" style="236" customWidth="1"/>
    <col min="2" max="2" width="2.1640625" style="236" customWidth="1"/>
    <col min="3" max="3" width="28.5" style="243" customWidth="1"/>
    <col min="4" max="4" width="16.83203125" style="344" bestFit="1" customWidth="1"/>
    <col min="5" max="15" width="16" style="344" bestFit="1" customWidth="1"/>
    <col min="16" max="16" width="1.5" style="236" customWidth="1"/>
    <col min="17" max="17" width="8.83203125" style="236"/>
    <col min="18" max="16384" width="8.83203125" style="114"/>
  </cols>
  <sheetData>
    <row r="1" spans="1:17">
      <c r="A1" s="205"/>
      <c r="B1" s="205"/>
      <c r="C1" s="205"/>
      <c r="D1" s="205"/>
      <c r="E1" s="205"/>
      <c r="F1" s="205"/>
      <c r="G1" s="205"/>
      <c r="H1" s="205"/>
      <c r="I1" s="205"/>
      <c r="J1" s="114"/>
      <c r="K1" s="114"/>
      <c r="L1" s="630"/>
      <c r="M1" s="630"/>
      <c r="N1" s="114"/>
      <c r="O1" s="114"/>
      <c r="P1" s="114"/>
      <c r="Q1" s="114"/>
    </row>
    <row r="2" spans="1:17">
      <c r="A2" s="205"/>
      <c r="B2" s="205"/>
      <c r="C2" s="205"/>
      <c r="D2" s="205"/>
      <c r="E2" s="205"/>
      <c r="F2" s="205"/>
      <c r="G2" s="205"/>
      <c r="H2" s="205"/>
      <c r="I2" s="205"/>
      <c r="J2" s="114"/>
      <c r="K2" s="114"/>
      <c r="L2" s="630"/>
      <c r="M2" s="630"/>
      <c r="N2" s="114"/>
      <c r="O2" s="114"/>
      <c r="P2" s="114"/>
      <c r="Q2" s="114"/>
    </row>
    <row r="3" spans="1:17">
      <c r="A3" s="205"/>
      <c r="B3" s="205"/>
      <c r="C3" s="205"/>
      <c r="D3" s="205"/>
      <c r="E3" s="205"/>
      <c r="F3" s="205"/>
      <c r="G3" s="205"/>
      <c r="H3" s="205"/>
      <c r="I3" s="205"/>
      <c r="J3" s="114"/>
      <c r="K3" s="114"/>
      <c r="L3" s="630"/>
      <c r="M3" s="630"/>
      <c r="N3" s="114"/>
      <c r="O3" s="114"/>
      <c r="P3" s="114"/>
      <c r="Q3" s="114"/>
    </row>
    <row r="4" spans="1:17">
      <c r="A4" s="205"/>
      <c r="B4" s="205"/>
      <c r="C4" s="205"/>
      <c r="D4" s="205"/>
      <c r="E4" s="205"/>
      <c r="F4" s="205"/>
      <c r="G4" s="205"/>
      <c r="H4" s="205"/>
      <c r="I4" s="205"/>
      <c r="J4" s="114"/>
      <c r="K4" s="114"/>
      <c r="L4" s="630"/>
      <c r="M4" s="630"/>
      <c r="N4" s="114"/>
      <c r="O4" s="114"/>
      <c r="P4" s="114"/>
      <c r="Q4" s="114"/>
    </row>
    <row r="5" spans="1:17">
      <c r="A5" s="205"/>
      <c r="B5" s="205"/>
      <c r="C5" s="205"/>
      <c r="D5" s="205"/>
      <c r="E5" s="205"/>
      <c r="F5" s="205"/>
      <c r="G5" s="205"/>
      <c r="H5" s="205"/>
      <c r="I5" s="205"/>
      <c r="J5" s="114"/>
      <c r="K5" s="114"/>
      <c r="L5" s="630"/>
      <c r="M5" s="630"/>
      <c r="N5" s="114"/>
      <c r="O5" s="114"/>
      <c r="P5" s="114"/>
      <c r="Q5" s="114"/>
    </row>
    <row r="6" spans="1:17">
      <c r="A6" s="205"/>
      <c r="B6" s="205"/>
      <c r="C6" s="205"/>
      <c r="D6" s="205"/>
      <c r="E6" s="205"/>
      <c r="F6" s="205"/>
      <c r="G6" s="205"/>
      <c r="H6" s="205"/>
      <c r="I6" s="205"/>
      <c r="J6" s="114"/>
      <c r="K6" s="114"/>
      <c r="L6" s="630"/>
      <c r="M6" s="630"/>
      <c r="N6" s="114"/>
      <c r="O6" s="114"/>
      <c r="P6" s="114"/>
      <c r="Q6" s="114"/>
    </row>
    <row r="7" spans="1:17">
      <c r="A7" s="205"/>
      <c r="B7" s="205"/>
      <c r="C7" s="205"/>
      <c r="D7" s="205"/>
      <c r="E7" s="205"/>
      <c r="F7" s="205"/>
      <c r="G7" s="205"/>
      <c r="H7" s="205"/>
      <c r="I7" s="205"/>
      <c r="J7" s="114"/>
      <c r="K7" s="114"/>
      <c r="L7" s="630"/>
      <c r="M7" s="630"/>
      <c r="N7" s="114"/>
      <c r="O7" s="114"/>
      <c r="P7" s="114"/>
      <c r="Q7" s="114"/>
    </row>
    <row r="8" spans="1:17">
      <c r="A8" s="205"/>
      <c r="B8" s="205"/>
      <c r="C8" s="205"/>
      <c r="D8" s="205"/>
      <c r="E8" s="205"/>
      <c r="F8" s="205"/>
      <c r="G8" s="205"/>
      <c r="H8" s="205"/>
      <c r="I8" s="205"/>
      <c r="J8" s="114"/>
      <c r="K8" s="114"/>
      <c r="L8" s="630"/>
      <c r="M8" s="630"/>
      <c r="N8" s="114"/>
      <c r="O8" s="114"/>
      <c r="P8" s="114"/>
      <c r="Q8" s="114"/>
    </row>
    <row r="9" spans="1:17">
      <c r="A9" s="205"/>
      <c r="B9" s="205"/>
      <c r="C9" s="205"/>
      <c r="D9" s="205"/>
      <c r="E9" s="205"/>
      <c r="F9" s="205"/>
      <c r="G9" s="205"/>
      <c r="H9" s="205"/>
      <c r="I9" s="205"/>
      <c r="J9" s="114"/>
      <c r="K9" s="114"/>
      <c r="L9" s="630"/>
      <c r="M9" s="630"/>
      <c r="N9" s="114"/>
      <c r="O9" s="114"/>
      <c r="P9" s="114"/>
      <c r="Q9" s="114"/>
    </row>
    <row r="10" spans="1:17">
      <c r="A10" s="205"/>
      <c r="B10" s="205"/>
      <c r="C10" s="205"/>
      <c r="D10" s="205"/>
      <c r="E10" s="205"/>
      <c r="F10" s="205"/>
      <c r="G10" s="205"/>
      <c r="H10" s="205"/>
      <c r="I10" s="205"/>
      <c r="J10" s="114"/>
      <c r="K10" s="114"/>
      <c r="L10" s="630"/>
      <c r="M10" s="630"/>
      <c r="N10" s="114"/>
      <c r="O10" s="114"/>
      <c r="P10" s="114"/>
      <c r="Q10" s="114"/>
    </row>
    <row r="11" spans="1:17">
      <c r="A11" s="205"/>
      <c r="B11" s="205"/>
      <c r="C11" s="205"/>
      <c r="D11" s="205"/>
      <c r="E11" s="205"/>
      <c r="F11" s="205"/>
      <c r="G11" s="205"/>
      <c r="H11" s="205"/>
      <c r="I11" s="205"/>
      <c r="J11" s="114"/>
      <c r="K11" s="114"/>
      <c r="L11" s="630"/>
      <c r="M11" s="630"/>
      <c r="N11" s="114"/>
      <c r="O11" s="114"/>
      <c r="P11" s="114"/>
      <c r="Q11" s="114"/>
    </row>
    <row r="12" spans="1:17">
      <c r="A12" s="205"/>
      <c r="B12" s="205"/>
      <c r="C12" s="205"/>
      <c r="D12" s="205"/>
      <c r="E12" s="205"/>
      <c r="F12" s="205"/>
      <c r="G12" s="205"/>
      <c r="H12" s="205"/>
      <c r="I12" s="205"/>
      <c r="J12" s="114"/>
      <c r="K12" s="114"/>
      <c r="L12" s="630"/>
      <c r="M12" s="630"/>
      <c r="N12" s="114"/>
      <c r="O12" s="114"/>
      <c r="P12" s="114"/>
      <c r="Q12" s="114"/>
    </row>
    <row r="13" spans="1:17" s="236" customFormat="1" ht="19">
      <c r="A13" s="205"/>
      <c r="B13" s="205"/>
      <c r="C13" s="205"/>
      <c r="D13" s="205"/>
      <c r="E13" s="205"/>
      <c r="F13" s="342" t="s">
        <v>258</v>
      </c>
      <c r="G13" s="342" t="s">
        <v>256</v>
      </c>
      <c r="H13" s="342" t="s">
        <v>259</v>
      </c>
      <c r="I13" s="342" t="s">
        <v>257</v>
      </c>
      <c r="J13" s="114"/>
      <c r="K13" s="114"/>
      <c r="L13" s="630"/>
      <c r="M13" s="630"/>
    </row>
    <row r="14" spans="1:17" s="236" customFormat="1">
      <c r="A14" s="205"/>
      <c r="B14" s="205"/>
      <c r="C14" s="205"/>
      <c r="D14" s="343"/>
      <c r="E14" s="205"/>
      <c r="F14" s="205"/>
      <c r="G14" s="205"/>
      <c r="H14" s="205"/>
      <c r="I14" s="205"/>
      <c r="J14" s="114"/>
      <c r="K14" s="114"/>
      <c r="L14" s="630"/>
      <c r="M14" s="630"/>
    </row>
    <row r="15" spans="1:17" ht="19" hidden="1">
      <c r="A15" s="114"/>
      <c r="B15" s="114"/>
      <c r="C15" s="118"/>
      <c r="D15" s="121"/>
      <c r="E15" s="121"/>
      <c r="F15" s="121"/>
      <c r="G15" s="205"/>
      <c r="H15" s="205"/>
      <c r="I15" s="205"/>
      <c r="J15" s="205"/>
      <c r="K15" s="205"/>
      <c r="L15" s="342"/>
      <c r="M15" s="342"/>
      <c r="N15" s="342"/>
      <c r="O15" s="342"/>
      <c r="P15" s="114"/>
      <c r="Q15" s="114"/>
    </row>
    <row r="16" spans="1:17" ht="19" hidden="1">
      <c r="A16" s="114"/>
      <c r="B16" s="114"/>
      <c r="C16" s="118"/>
      <c r="D16" s="121"/>
      <c r="E16" s="121"/>
      <c r="F16" s="121"/>
      <c r="G16" s="205"/>
      <c r="H16" s="205"/>
      <c r="I16" s="205"/>
      <c r="J16" s="205"/>
      <c r="K16" s="205"/>
      <c r="L16" s="342"/>
      <c r="M16" s="342"/>
      <c r="N16" s="342"/>
      <c r="O16" s="342"/>
      <c r="P16" s="114"/>
      <c r="Q16" s="114"/>
    </row>
    <row r="17" spans="1:17" ht="16" hidden="1" thickBot="1">
      <c r="A17" s="114"/>
      <c r="B17" s="114"/>
      <c r="C17" s="114"/>
      <c r="D17" s="205"/>
      <c r="E17" s="205"/>
      <c r="F17" s="205"/>
      <c r="G17" s="205"/>
      <c r="H17" s="205"/>
      <c r="I17" s="205"/>
      <c r="J17" s="343"/>
      <c r="K17" s="205"/>
      <c r="L17" s="205"/>
      <c r="M17" s="205"/>
      <c r="N17" s="205"/>
      <c r="O17" s="205"/>
      <c r="P17" s="114"/>
      <c r="Q17" s="114"/>
    </row>
    <row r="18" spans="1:17" s="287" customFormat="1" ht="26.5" hidden="1" customHeight="1" thickBot="1">
      <c r="C18" s="281" t="s">
        <v>174</v>
      </c>
      <c r="D18" s="285">
        <v>1</v>
      </c>
      <c r="E18" s="285">
        <v>2</v>
      </c>
      <c r="F18" s="285">
        <v>3</v>
      </c>
      <c r="G18" s="285">
        <v>4</v>
      </c>
      <c r="H18" s="285">
        <v>5</v>
      </c>
      <c r="I18" s="285">
        <v>6</v>
      </c>
      <c r="J18" s="285">
        <v>7</v>
      </c>
      <c r="K18" s="285">
        <v>8</v>
      </c>
      <c r="L18" s="285">
        <v>9</v>
      </c>
      <c r="M18" s="285">
        <v>10</v>
      </c>
      <c r="N18" s="285">
        <v>11</v>
      </c>
      <c r="O18" s="285">
        <v>12</v>
      </c>
      <c r="Q18" s="285">
        <v>2022</v>
      </c>
    </row>
    <row r="19" spans="1:17">
      <c r="A19" s="114"/>
      <c r="B19" s="114"/>
      <c r="C19" s="118"/>
      <c r="D19" s="205"/>
      <c r="E19" s="205"/>
      <c r="F19" s="205"/>
      <c r="G19" s="205"/>
      <c r="H19" s="205"/>
      <c r="I19" s="205"/>
      <c r="J19" s="205"/>
      <c r="K19" s="205"/>
      <c r="L19" s="205"/>
      <c r="M19" s="205"/>
      <c r="N19" s="205"/>
      <c r="O19" s="205"/>
      <c r="P19" s="114"/>
      <c r="Q19" s="114"/>
    </row>
    <row r="20" spans="1:17" ht="16" thickBot="1"/>
    <row r="21" spans="1:17" ht="44.5" customHeight="1" thickBot="1">
      <c r="D21" s="658" t="s">
        <v>160</v>
      </c>
      <c r="E21" s="658" t="s">
        <v>161</v>
      </c>
      <c r="F21" s="657" t="s">
        <v>162</v>
      </c>
    </row>
    <row r="22" spans="1:17" ht="16" thickBot="1">
      <c r="B22" s="243"/>
      <c r="D22" s="243"/>
      <c r="E22" s="243"/>
      <c r="F22" s="243"/>
      <c r="G22" s="243"/>
      <c r="H22" s="243"/>
      <c r="I22" s="243"/>
      <c r="J22" s="243"/>
      <c r="K22" s="243"/>
      <c r="L22" s="243"/>
      <c r="M22" s="243"/>
      <c r="N22" s="243"/>
      <c r="O22" s="243"/>
      <c r="P22" s="243"/>
    </row>
    <row r="23" spans="1:17" s="204" customFormat="1" ht="23" thickBot="1">
      <c r="A23" s="244"/>
      <c r="B23" s="243"/>
      <c r="C23" s="281" t="s">
        <v>174</v>
      </c>
      <c r="D23" s="284" t="s">
        <v>21</v>
      </c>
      <c r="E23" s="283">
        <v>2022</v>
      </c>
      <c r="F23" s="244"/>
      <c r="G23" s="244"/>
      <c r="H23" s="244"/>
      <c r="I23" s="244"/>
      <c r="J23" s="244"/>
      <c r="K23" s="244"/>
      <c r="L23" s="244"/>
      <c r="M23" s="244"/>
      <c r="N23" s="244"/>
      <c r="O23" s="244"/>
      <c r="P23" s="244"/>
      <c r="Q23" s="244"/>
    </row>
    <row r="24" spans="1:17" ht="33.5" customHeight="1"/>
    <row r="25" spans="1:17" ht="21" customHeight="1">
      <c r="B25" s="234"/>
      <c r="C25" s="251"/>
      <c r="D25" s="234"/>
      <c r="E25" s="234"/>
      <c r="F25" s="234"/>
    </row>
    <row r="26" spans="1:17" ht="21" customHeight="1">
      <c r="B26" s="252"/>
      <c r="C26" s="719" t="s">
        <v>274</v>
      </c>
      <c r="D26" s="719"/>
      <c r="E26" s="719"/>
      <c r="F26" s="234"/>
    </row>
    <row r="27" spans="1:17" ht="34">
      <c r="B27" s="234"/>
      <c r="C27" s="275">
        <f>INDEX(D45:O45,MATCH(D23,D41:O41,0))</f>
        <v>95.26260261524007</v>
      </c>
      <c r="D27" s="278"/>
      <c r="E27" s="258"/>
      <c r="F27" s="234"/>
    </row>
    <row r="28" spans="1:17" ht="15" customHeight="1" thickBot="1">
      <c r="B28" s="234"/>
      <c r="C28" s="384" t="s">
        <v>268</v>
      </c>
      <c r="D28" s="277"/>
      <c r="E28" s="277"/>
      <c r="F28" s="234"/>
    </row>
    <row r="29" spans="1:17" ht="18" customHeight="1">
      <c r="B29" s="234"/>
      <c r="C29" s="720" t="s">
        <v>270</v>
      </c>
      <c r="D29" s="721"/>
      <c r="E29" s="721"/>
      <c r="F29" s="722"/>
    </row>
    <row r="30" spans="1:17" ht="18" customHeight="1">
      <c r="B30" s="234"/>
      <c r="C30" s="723"/>
      <c r="D30" s="724"/>
      <c r="E30" s="724"/>
      <c r="F30" s="725"/>
    </row>
    <row r="31" spans="1:17">
      <c r="B31" s="234"/>
      <c r="C31" s="723"/>
      <c r="D31" s="724"/>
      <c r="E31" s="724"/>
      <c r="F31" s="725"/>
    </row>
    <row r="32" spans="1:17">
      <c r="B32" s="234"/>
      <c r="C32" s="723"/>
      <c r="D32" s="724"/>
      <c r="E32" s="724"/>
      <c r="F32" s="725"/>
    </row>
    <row r="33" spans="1:16">
      <c r="B33" s="114"/>
      <c r="C33" s="723"/>
      <c r="D33" s="724"/>
      <c r="E33" s="724"/>
      <c r="F33" s="725"/>
    </row>
    <row r="34" spans="1:16" ht="32.5" customHeight="1">
      <c r="B34" s="114"/>
      <c r="C34" s="723"/>
      <c r="D34" s="724"/>
      <c r="E34" s="724"/>
      <c r="F34" s="725"/>
    </row>
    <row r="35" spans="1:16" ht="75.5" customHeight="1" thickBot="1">
      <c r="B35" s="114"/>
      <c r="C35" s="726"/>
      <c r="D35" s="727"/>
      <c r="E35" s="727"/>
      <c r="F35" s="728"/>
    </row>
    <row r="40" spans="1:16" ht="25">
      <c r="B40" s="252"/>
      <c r="C40" s="366" t="s">
        <v>265</v>
      </c>
      <c r="D40" s="367"/>
      <c r="E40" s="367"/>
      <c r="F40" s="367"/>
      <c r="G40" s="367"/>
      <c r="H40" s="367"/>
      <c r="I40" s="367"/>
      <c r="J40" s="367"/>
      <c r="K40" s="367"/>
      <c r="L40" s="367"/>
      <c r="M40" s="367"/>
      <c r="N40" s="367"/>
      <c r="O40" s="368"/>
      <c r="P40" s="234"/>
    </row>
    <row r="41" spans="1:16">
      <c r="B41" s="234"/>
      <c r="C41" s="369"/>
      <c r="D41" s="370" t="s">
        <v>17</v>
      </c>
      <c r="E41" s="370" t="s">
        <v>18</v>
      </c>
      <c r="F41" s="370" t="s">
        <v>19</v>
      </c>
      <c r="G41" s="370" t="s">
        <v>20</v>
      </c>
      <c r="H41" s="370" t="s">
        <v>21</v>
      </c>
      <c r="I41" s="370" t="s">
        <v>22</v>
      </c>
      <c r="J41" s="370" t="s">
        <v>23</v>
      </c>
      <c r="K41" s="370" t="s">
        <v>24</v>
      </c>
      <c r="L41" s="370" t="s">
        <v>25</v>
      </c>
      <c r="M41" s="370" t="s">
        <v>26</v>
      </c>
      <c r="N41" s="370" t="s">
        <v>27</v>
      </c>
      <c r="O41" s="370" t="s">
        <v>28</v>
      </c>
      <c r="P41" s="362"/>
    </row>
    <row r="42" spans="1:16">
      <c r="B42" s="234"/>
      <c r="C42" s="119" t="s">
        <v>143</v>
      </c>
      <c r="D42" s="379">
        <f>SUMIFS('Jounal entries final'!$H:$H,'Jounal entries final'!$E:$E,$C42,'Jounal entries final'!$B:$B,D$18,'Jounal entries final'!$C:$C,$Q$18)</f>
        <v>10562853.030000003</v>
      </c>
      <c r="E42" s="379">
        <f>SUMIFS('Jounal entries final'!$H:$H,'Jounal entries final'!$E:$E,$C42,'Jounal entries final'!$B:$B,E$18,'Jounal entries final'!$C:$C,$Q$18)</f>
        <v>9023618.0780000016</v>
      </c>
      <c r="F42" s="379">
        <f>SUMIFS('Jounal entries final'!$H:$H,'Jounal entries final'!$E:$E,$C42,'Jounal entries final'!$B:$B,F$18,'Jounal entries final'!$C:$C,$Q$18)</f>
        <v>8408548.2319999989</v>
      </c>
      <c r="G42" s="379">
        <f>SUMIFS('Jounal entries final'!$H:$H,'Jounal entries final'!$E:$E,$C42,'Jounal entries final'!$B:$B,G$18,'Jounal entries final'!$C:$C,$Q$18)</f>
        <v>9582592.2860000003</v>
      </c>
      <c r="H42" s="379">
        <f>SUMIFS('Jounal entries final'!$H:$H,'Jounal entries final'!$E:$E,$C42,'Jounal entries final'!$B:$B,H$18,'Jounal entries final'!$C:$C,$Q$18)</f>
        <v>9481912.6860000007</v>
      </c>
      <c r="I42" s="379">
        <f>SUMIFS('Jounal entries final'!$H:$H,'Jounal entries final'!$E:$E,$C42,'Jounal entries final'!$B:$B,I$18,'Jounal entries final'!$C:$C,$Q$18)</f>
        <v>7875175.425999999</v>
      </c>
      <c r="J42" s="379">
        <f>SUMIFS('Jounal entries final'!$H:$H,'Jounal entries final'!$E:$E,$C42,'Jounal entries final'!$B:$B,J$18,'Jounal entries final'!$C:$C,$Q$18)</f>
        <v>9646932.9979999978</v>
      </c>
      <c r="K42" s="379">
        <f>SUMIFS('Jounal entries final'!$H:$H,'Jounal entries final'!$E:$E,$C42,'Jounal entries final'!$B:$B,K$18,'Jounal entries final'!$C:$C,$Q$18)</f>
        <v>8940122.8619999997</v>
      </c>
      <c r="L42" s="379">
        <f>SUMIFS('Jounal entries final'!$H:$H,'Jounal entries final'!$E:$E,$C42,'Jounal entries final'!$B:$B,L$18,'Jounal entries final'!$C:$C,$Q$18)</f>
        <v>8197676.7179999994</v>
      </c>
      <c r="M42" s="379">
        <f>SUMIFS('Jounal entries final'!$H:$H,'Jounal entries final'!$E:$E,$C42,'Jounal entries final'!$B:$B,M$18,'Jounal entries final'!$C:$C,$Q$18)</f>
        <v>8357251.3279999997</v>
      </c>
      <c r="N42" s="379">
        <f>SUMIFS('Jounal entries final'!$H:$H,'Jounal entries final'!$E:$E,$C42,'Jounal entries final'!$B:$B,N$18,'Jounal entries final'!$C:$C,$Q$18)</f>
        <v>8523529.1520000026</v>
      </c>
      <c r="O42" s="379">
        <f>SUMIFS('Jounal entries final'!$H:$H,'Jounal entries final'!$E:$E,$C42,'Jounal entries final'!$B:$B,O$18,'Jounal entries final'!$C:$C,$Q$18)</f>
        <v>7765783.269999994</v>
      </c>
      <c r="P42" s="114"/>
    </row>
    <row r="43" spans="1:16">
      <c r="B43" s="234"/>
      <c r="C43" s="119" t="s">
        <v>188</v>
      </c>
      <c r="D43" s="379">
        <f>-SUMIFS('Jounal entries final'!$H:$H,'Jounal entries final'!$E:$E,$C43,'Jounal entries final'!$B:$B,D$18,'Jounal entries final'!$C:$C,$Q$18)</f>
        <v>21833695</v>
      </c>
      <c r="E43" s="379">
        <f>-SUMIFS('Jounal entries final'!$H:$H,'Jounal entries final'!$E:$E,$C43,'Jounal entries final'!$B:$B,E$18,'Jounal entries final'!$C:$C,$Q$18)</f>
        <v>29646200</v>
      </c>
      <c r="F43" s="379">
        <f>-SUMIFS('Jounal entries final'!$H:$H,'Jounal entries final'!$E:$E,$C43,'Jounal entries final'!$B:$B,F$18,'Jounal entries final'!$C:$C,$Q$18)</f>
        <v>31818810</v>
      </c>
      <c r="G43" s="379">
        <f>-SUMIFS('Jounal entries final'!$H:$H,'Jounal entries final'!$E:$E,$C43,'Jounal entries final'!$B:$B,G$18,'Jounal entries final'!$C:$C,$Q$18)</f>
        <v>33312505</v>
      </c>
      <c r="H43" s="379">
        <f>-SUMIFS('Jounal entries final'!$H:$H,'Jounal entries final'!$E:$E,$C43,'Jounal entries final'!$B:$B,H$18,'Jounal entries final'!$C:$C,$Q$18)</f>
        <v>29079495</v>
      </c>
      <c r="I43" s="379">
        <f>-SUMIFS('Jounal entries final'!$H:$H,'Jounal entries final'!$E:$E,$C43,'Jounal entries final'!$B:$B,I$18,'Jounal entries final'!$C:$C,$Q$18)</f>
        <v>26707000</v>
      </c>
      <c r="J43" s="379">
        <f>-SUMIFS('Jounal entries final'!$H:$H,'Jounal entries final'!$E:$E,$C43,'Jounal entries final'!$B:$B,J$18,'Jounal entries final'!$C:$C,$Q$18)</f>
        <v>32809000</v>
      </c>
      <c r="K43" s="379">
        <f>-SUMIFS('Jounal entries final'!$H:$H,'Jounal entries final'!$E:$E,$C43,'Jounal entries final'!$B:$B,K$18,'Jounal entries final'!$C:$C,$Q$18)</f>
        <v>35846010</v>
      </c>
      <c r="L43" s="379">
        <f>-SUMIFS('Jounal entries final'!$H:$H,'Jounal entries final'!$E:$E,$C43,'Jounal entries final'!$B:$B,L$18,'Jounal entries final'!$C:$C,$Q$18)</f>
        <v>23717265</v>
      </c>
      <c r="M43" s="379">
        <f>-SUMIFS('Jounal entries final'!$H:$H,'Jounal entries final'!$E:$E,$C43,'Jounal entries final'!$B:$B,M$18,'Jounal entries final'!$C:$C,$Q$18)</f>
        <v>30787275</v>
      </c>
      <c r="N43" s="379">
        <f>-SUMIFS('Jounal entries final'!$H:$H,'Jounal entries final'!$E:$E,$C43,'Jounal entries final'!$B:$B,N$18,'Jounal entries final'!$C:$C,$Q$18)</f>
        <v>30693580</v>
      </c>
      <c r="O43" s="379">
        <f>-SUMIFS('Jounal entries final'!$H:$H,'Jounal entries final'!$E:$E,$C43,'Jounal entries final'!$B:$B,O$18,'Jounal entries final'!$C:$C,$Q$18)</f>
        <v>27730960</v>
      </c>
      <c r="P43" s="114"/>
    </row>
    <row r="44" spans="1:16">
      <c r="B44" s="234"/>
      <c r="C44" s="119"/>
      <c r="D44" s="124"/>
      <c r="E44" s="114"/>
      <c r="F44" s="114"/>
      <c r="G44" s="114"/>
      <c r="H44" s="114"/>
      <c r="I44" s="114"/>
      <c r="J44" s="114"/>
      <c r="K44" s="114"/>
      <c r="L44" s="114"/>
      <c r="M44" s="114"/>
      <c r="N44" s="114"/>
      <c r="O44" s="114"/>
      <c r="P44" s="114"/>
    </row>
    <row r="45" spans="1:16" ht="18">
      <c r="B45" s="234"/>
      <c r="C45" s="380" t="s">
        <v>162</v>
      </c>
      <c r="D45" s="381">
        <f>(D43/SUM(D42))*30</f>
        <v>62.010788954430794</v>
      </c>
      <c r="E45" s="381">
        <f>(E43/SUM(D42:E42))*60</f>
        <v>90.816359424412539</v>
      </c>
      <c r="F45" s="381">
        <f>(F43/SUM(D42:F42))*90</f>
        <v>102.29294237022663</v>
      </c>
      <c r="G45" s="381">
        <f t="shared" ref="G45:N45" si="0">(G43/SUM(E42:G42))*90</f>
        <v>110.98101948036374</v>
      </c>
      <c r="H45" s="381">
        <f t="shared" si="0"/>
        <v>95.26260261524007</v>
      </c>
      <c r="I45" s="381">
        <f t="shared" si="0"/>
        <v>89.222662054240445</v>
      </c>
      <c r="J45" s="381">
        <f t="shared" si="0"/>
        <v>109.34704827743337</v>
      </c>
      <c r="K45" s="381">
        <f t="shared" si="0"/>
        <v>121.91492339146811</v>
      </c>
      <c r="L45" s="381">
        <f t="shared" si="0"/>
        <v>79.692931179505024</v>
      </c>
      <c r="M45" s="381">
        <f t="shared" si="0"/>
        <v>108.68206382480858</v>
      </c>
      <c r="N45" s="381">
        <f t="shared" si="0"/>
        <v>110.15120181397371</v>
      </c>
      <c r="O45" s="381">
        <f>(O43/SUM(M42:O42))*90</f>
        <v>101.26305741099506</v>
      </c>
      <c r="P45" s="114"/>
    </row>
    <row r="46" spans="1:16">
      <c r="B46" s="114"/>
      <c r="C46" s="119" t="s">
        <v>103</v>
      </c>
      <c r="D46" s="124"/>
      <c r="E46" s="114"/>
      <c r="F46" s="114"/>
      <c r="G46" s="114"/>
      <c r="H46" s="114"/>
      <c r="I46" s="114"/>
      <c r="J46" s="114"/>
      <c r="K46" s="114"/>
      <c r="L46" s="114"/>
      <c r="M46" s="114"/>
      <c r="N46" s="114"/>
      <c r="O46" s="114"/>
      <c r="P46" s="114"/>
    </row>
    <row r="47" spans="1:16" ht="15.5" customHeight="1">
      <c r="A47" s="819" t="s">
        <v>267</v>
      </c>
      <c r="B47" s="114"/>
      <c r="C47" s="118" t="s">
        <v>123</v>
      </c>
      <c r="D47" s="379">
        <f>SUMIFS('Jounal entries final'!$H:$H,'Jounal entries final'!$E:$E,$C$42,'Jounal entries final'!$L:$L,$C47,'Jounal entries final'!$B:$B,D$18,'Jounal entries final'!$C:$C,$Q$18)</f>
        <v>4325362.83</v>
      </c>
      <c r="E47" s="379">
        <f>SUMIFS('Jounal entries final'!$H:$H,'Jounal entries final'!$E:$E,$C$42,'Jounal entries final'!$L:$L,$C47,'Jounal entries final'!$B:$B,E$18,'Jounal entries final'!$C:$C,$Q$18)</f>
        <v>3808515.2299999995</v>
      </c>
      <c r="F47" s="379">
        <f>SUMIFS('Jounal entries final'!$H:$H,'Jounal entries final'!$E:$E,$C$42,'Jounal entries final'!$L:$L,$C47,'Jounal entries final'!$B:$B,F$18,'Jounal entries final'!$C:$C,$Q$18)</f>
        <v>3258518.88</v>
      </c>
      <c r="G47" s="379">
        <f>SUMIFS('Jounal entries final'!$H:$H,'Jounal entries final'!$E:$E,$C$42,'Jounal entries final'!$L:$L,$C47,'Jounal entries final'!$B:$B,G$18,'Jounal entries final'!$C:$C,$Q$18)</f>
        <v>4026033.5100000002</v>
      </c>
      <c r="H47" s="379">
        <f>SUMIFS('Jounal entries final'!$H:$H,'Jounal entries final'!$E:$E,$C$42,'Jounal entries final'!$L:$L,$C47,'Jounal entries final'!$B:$B,H$18,'Jounal entries final'!$C:$C,$Q$18)</f>
        <v>3982744.27</v>
      </c>
      <c r="I47" s="379">
        <f>SUMIFS('Jounal entries final'!$H:$H,'Jounal entries final'!$E:$E,$C$42,'Jounal entries final'!$L:$L,$C47,'Jounal entries final'!$B:$B,I$18,'Jounal entries final'!$C:$C,$Q$18)</f>
        <v>3196991.8000000003</v>
      </c>
      <c r="J47" s="379">
        <f>SUMIFS('Jounal entries final'!$H:$H,'Jounal entries final'!$E:$E,$C$42,'Jounal entries final'!$L:$L,$C47,'Jounal entries final'!$B:$B,J$18,'Jounal entries final'!$C:$C,$Q$18)</f>
        <v>3989954.1600000006</v>
      </c>
      <c r="K47" s="379">
        <f>SUMIFS('Jounal entries final'!$H:$H,'Jounal entries final'!$E:$E,$C$42,'Jounal entries final'!$L:$L,$C47,'Jounal entries final'!$B:$B,K$18,'Jounal entries final'!$C:$C,$Q$18)</f>
        <v>3520316.04</v>
      </c>
      <c r="L47" s="379">
        <f>SUMIFS('Jounal entries final'!$H:$H,'Jounal entries final'!$E:$E,$C$42,'Jounal entries final'!$L:$L,$C47,'Jounal entries final'!$B:$B,L$18,'Jounal entries final'!$C:$C,$Q$18)</f>
        <v>3691280.42</v>
      </c>
      <c r="M47" s="379">
        <f>SUMIFS('Jounal entries final'!$H:$H,'Jounal entries final'!$E:$E,$C$42,'Jounal entries final'!$L:$L,$C47,'Jounal entries final'!$B:$B,M$18,'Jounal entries final'!$C:$C,$Q$18)</f>
        <v>3674165.76</v>
      </c>
      <c r="N47" s="379">
        <f>SUMIFS('Jounal entries final'!$H:$H,'Jounal entries final'!$E:$E,$C$42,'Jounal entries final'!$L:$L,$C47,'Jounal entries final'!$B:$B,N$18,'Jounal entries final'!$C:$C,$Q$18)</f>
        <v>3358704.8600000003</v>
      </c>
      <c r="O47" s="379">
        <f>SUMIFS('Jounal entries final'!$H:$H,'Jounal entries final'!$E:$E,$C$42,'Jounal entries final'!$L:$L,$C47,'Jounal entries final'!$B:$B,O$18,'Jounal entries final'!$C:$C,$Q$18)</f>
        <v>3523019.62</v>
      </c>
      <c r="P47" s="114"/>
    </row>
    <row r="48" spans="1:16">
      <c r="A48" s="819"/>
      <c r="B48" s="234"/>
      <c r="C48" s="118" t="s">
        <v>124</v>
      </c>
      <c r="D48" s="379">
        <f>SUMIFS('Jounal entries final'!$H:$H,'Jounal entries final'!$E:$E,$C$42,'Jounal entries final'!$L:$L,$C48,'Jounal entries final'!$B:$B,D$18,'Jounal entries final'!$C:$C,$Q$18)</f>
        <v>2371257</v>
      </c>
      <c r="E48" s="379">
        <f>SUMIFS('Jounal entries final'!$H:$H,'Jounal entries final'!$E:$E,$C$42,'Jounal entries final'!$L:$L,$C48,'Jounal entries final'!$B:$B,E$18,'Jounal entries final'!$C:$C,$Q$18)</f>
        <v>2153616</v>
      </c>
      <c r="F48" s="379">
        <f>SUMIFS('Jounal entries final'!$H:$H,'Jounal entries final'!$E:$E,$C$42,'Jounal entries final'!$L:$L,$C48,'Jounal entries final'!$B:$B,F$18,'Jounal entries final'!$C:$C,$Q$18)</f>
        <v>955314</v>
      </c>
      <c r="G48" s="379">
        <f>SUMIFS('Jounal entries final'!$H:$H,'Jounal entries final'!$E:$E,$C$42,'Jounal entries final'!$L:$L,$C48,'Jounal entries final'!$B:$B,G$18,'Jounal entries final'!$C:$C,$Q$18)</f>
        <v>1879658</v>
      </c>
      <c r="H48" s="379">
        <f>SUMIFS('Jounal entries final'!$H:$H,'Jounal entries final'!$E:$E,$C$42,'Jounal entries final'!$L:$L,$C48,'Jounal entries final'!$B:$B,H$18,'Jounal entries final'!$C:$C,$Q$18)</f>
        <v>1875578</v>
      </c>
      <c r="I48" s="379">
        <f>SUMIFS('Jounal entries final'!$H:$H,'Jounal entries final'!$E:$E,$C$42,'Jounal entries final'!$L:$L,$C48,'Jounal entries final'!$B:$B,I$18,'Jounal entries final'!$C:$C,$Q$18)</f>
        <v>1493282</v>
      </c>
      <c r="J48" s="379">
        <f>SUMIFS('Jounal entries final'!$H:$H,'Jounal entries final'!$E:$E,$C$42,'Jounal entries final'!$L:$L,$C48,'Jounal entries final'!$B:$B,J$18,'Jounal entries final'!$C:$C,$Q$18)</f>
        <v>1982123</v>
      </c>
      <c r="K48" s="379">
        <f>SUMIFS('Jounal entries final'!$H:$H,'Jounal entries final'!$E:$E,$C$42,'Jounal entries final'!$L:$L,$C48,'Jounal entries final'!$B:$B,K$18,'Jounal entries final'!$C:$C,$Q$18)</f>
        <v>2143001</v>
      </c>
      <c r="L48" s="379">
        <f>SUMIFS('Jounal entries final'!$H:$H,'Jounal entries final'!$E:$E,$C$42,'Jounal entries final'!$L:$L,$C48,'Jounal entries final'!$B:$B,L$18,'Jounal entries final'!$C:$C,$Q$18)</f>
        <v>1633814</v>
      </c>
      <c r="M48" s="379">
        <f>SUMIFS('Jounal entries final'!$H:$H,'Jounal entries final'!$E:$E,$C$42,'Jounal entries final'!$L:$L,$C48,'Jounal entries final'!$B:$B,M$18,'Jounal entries final'!$C:$C,$Q$18)</f>
        <v>1886144</v>
      </c>
      <c r="N48" s="379">
        <f>SUMIFS('Jounal entries final'!$H:$H,'Jounal entries final'!$E:$E,$C$42,'Jounal entries final'!$L:$L,$C48,'Jounal entries final'!$B:$B,N$18,'Jounal entries final'!$C:$C,$Q$18)</f>
        <v>2181323</v>
      </c>
      <c r="O48" s="379">
        <f>SUMIFS('Jounal entries final'!$H:$H,'Jounal entries final'!$E:$E,$C$42,'Jounal entries final'!$L:$L,$C48,'Jounal entries final'!$B:$B,O$18,'Jounal entries final'!$C:$C,$Q$18)</f>
        <v>1666860</v>
      </c>
      <c r="P48" s="364">
        <f>SUMIFS('Jounal entries final'!$H:$H,'Jounal entries final'!$E:$E,$C48,'Jounal entries final'!$B:$B,P$18,'Jounal entries final'!$C:$C,$Q$18)</f>
        <v>0</v>
      </c>
    </row>
    <row r="49" spans="1:16" ht="18" customHeight="1">
      <c r="A49" s="819"/>
      <c r="B49" s="252"/>
      <c r="C49" s="118" t="s">
        <v>125</v>
      </c>
      <c r="D49" s="379">
        <f>SUMIFS('Jounal entries final'!$H:$H,'Jounal entries final'!$E:$E,$C$42,'Jounal entries final'!$L:$L,$C49,'Jounal entries final'!$B:$B,D$18,'Jounal entries final'!$C:$C,$Q$18)</f>
        <v>3584807.2</v>
      </c>
      <c r="E49" s="379">
        <f>SUMIFS('Jounal entries final'!$H:$H,'Jounal entries final'!$E:$E,$C$42,'Jounal entries final'!$L:$L,$C49,'Jounal entries final'!$B:$B,E$18,'Jounal entries final'!$C:$C,$Q$18)</f>
        <v>2862290.75</v>
      </c>
      <c r="F49" s="379">
        <f>SUMIFS('Jounal entries final'!$H:$H,'Jounal entries final'!$E:$E,$C$42,'Jounal entries final'!$L:$L,$C49,'Jounal entries final'!$B:$B,F$18,'Jounal entries final'!$C:$C,$Q$18)</f>
        <v>3979070.35</v>
      </c>
      <c r="G49" s="379">
        <f>SUMIFS('Jounal entries final'!$H:$H,'Jounal entries final'!$E:$E,$C$42,'Jounal entries final'!$L:$L,$C49,'Jounal entries final'!$B:$B,G$18,'Jounal entries final'!$C:$C,$Q$18)</f>
        <v>3420318.5</v>
      </c>
      <c r="H49" s="379">
        <f>SUMIFS('Jounal entries final'!$H:$H,'Jounal entries final'!$E:$E,$C$42,'Jounal entries final'!$L:$L,$C49,'Jounal entries final'!$B:$B,H$18,'Jounal entries final'!$C:$C,$Q$18)</f>
        <v>3386799</v>
      </c>
      <c r="I49" s="379">
        <f>SUMIFS('Jounal entries final'!$H:$H,'Jounal entries final'!$E:$E,$C$42,'Jounal entries final'!$L:$L,$C49,'Jounal entries final'!$B:$B,I$18,'Jounal entries final'!$C:$C,$Q$18)</f>
        <v>2959581.5999999996</v>
      </c>
      <c r="J49" s="379">
        <f>SUMIFS('Jounal entries final'!$H:$H,'Jounal entries final'!$E:$E,$C$42,'Jounal entries final'!$L:$L,$C49,'Jounal entries final'!$B:$B,J$18,'Jounal entries final'!$C:$C,$Q$18)</f>
        <v>3421458.5999999996</v>
      </c>
      <c r="K49" s="379">
        <f>SUMIFS('Jounal entries final'!$H:$H,'Jounal entries final'!$E:$E,$C$42,'Jounal entries final'!$L:$L,$C49,'Jounal entries final'!$B:$B,K$18,'Jounal entries final'!$C:$C,$Q$18)</f>
        <v>3049329.7</v>
      </c>
      <c r="L49" s="379">
        <f>SUMIFS('Jounal entries final'!$H:$H,'Jounal entries final'!$E:$E,$C$42,'Jounal entries final'!$L:$L,$C49,'Jounal entries final'!$B:$B,L$18,'Jounal entries final'!$C:$C,$Q$18)</f>
        <v>2650670</v>
      </c>
      <c r="M49" s="379">
        <f>SUMIFS('Jounal entries final'!$H:$H,'Jounal entries final'!$E:$E,$C$42,'Jounal entries final'!$L:$L,$C49,'Jounal entries final'!$B:$B,M$18,'Jounal entries final'!$C:$C,$Q$18)</f>
        <v>2575560.2999999998</v>
      </c>
      <c r="N49" s="379">
        <f>SUMIFS('Jounal entries final'!$H:$H,'Jounal entries final'!$E:$E,$C$42,'Jounal entries final'!$L:$L,$C49,'Jounal entries final'!$B:$B,N$18,'Jounal entries final'!$C:$C,$Q$18)</f>
        <v>2755871</v>
      </c>
      <c r="O49" s="379">
        <f>SUMIFS('Jounal entries final'!$H:$H,'Jounal entries final'!$E:$E,$C$42,'Jounal entries final'!$L:$L,$C49,'Jounal entries final'!$B:$B,O$18,'Jounal entries final'!$C:$C,$Q$18)</f>
        <v>2352893.4</v>
      </c>
      <c r="P49" s="364">
        <f>SUMIFS('Jounal entries final'!$H:$H,'Jounal entries final'!$E:$E,$C49,'Jounal entries final'!$B:$B,P$18,'Jounal entries final'!$C:$C,$Q$18)</f>
        <v>0</v>
      </c>
    </row>
    <row r="50" spans="1:16">
      <c r="A50" s="819"/>
      <c r="B50" s="234"/>
      <c r="C50" s="118" t="s">
        <v>188</v>
      </c>
      <c r="D50" s="114"/>
      <c r="E50" s="114"/>
      <c r="F50" s="114"/>
      <c r="G50" s="114"/>
      <c r="H50" s="114"/>
      <c r="I50" s="114"/>
      <c r="J50" s="114"/>
      <c r="K50" s="114"/>
      <c r="L50" s="114"/>
      <c r="M50" s="114"/>
      <c r="N50" s="114"/>
      <c r="O50" s="114"/>
      <c r="P50" s="234"/>
    </row>
    <row r="51" spans="1:16">
      <c r="A51" s="819"/>
      <c r="B51" s="114"/>
      <c r="C51" s="118" t="s">
        <v>123</v>
      </c>
      <c r="D51" s="379">
        <f>-SUMIFS('Jounal entries final'!$H:$H,'Jounal entries final'!$E:$E,$C$43,'Jounal entries final'!$M:$M,$C51,'Jounal entries final'!$B:$B,D$18,'Jounal entries final'!$C:$C,$Q$18)</f>
        <v>7120000</v>
      </c>
      <c r="E51" s="379">
        <f>-SUMIFS('Jounal entries final'!$H:$H,'Jounal entries final'!$E:$E,$C$43,'Jounal entries final'!$M:$M,$C51,'Jounal entries final'!$B:$B,E$18,'Jounal entries final'!$C:$C,$Q$18)</f>
        <v>9905000</v>
      </c>
      <c r="F51" s="379">
        <f>-SUMIFS('Jounal entries final'!$H:$H,'Jounal entries final'!$E:$E,$C$43,'Jounal entries final'!$M:$M,$C51,'Jounal entries final'!$B:$B,F$18,'Jounal entries final'!$C:$C,$Q$18)</f>
        <v>12025000</v>
      </c>
      <c r="G51" s="379">
        <f>-SUMIFS('Jounal entries final'!$H:$H,'Jounal entries final'!$E:$E,$C$43,'Jounal entries final'!$M:$M,$C51,'Jounal entries final'!$B:$B,G$18,'Jounal entries final'!$C:$C,$Q$18)</f>
        <v>10095000</v>
      </c>
      <c r="H51" s="379">
        <f>-SUMIFS('Jounal entries final'!$H:$H,'Jounal entries final'!$E:$E,$C$43,'Jounal entries final'!$M:$M,$C51,'Jounal entries final'!$B:$B,H$18,'Jounal entries final'!$C:$C,$Q$18)</f>
        <v>14850000</v>
      </c>
      <c r="I51" s="379">
        <f>-SUMIFS('Jounal entries final'!$H:$H,'Jounal entries final'!$E:$E,$C$43,'Jounal entries final'!$M:$M,$C51,'Jounal entries final'!$B:$B,I$18,'Jounal entries final'!$C:$C,$Q$18)</f>
        <v>9980000</v>
      </c>
      <c r="J51" s="379">
        <f>-SUMIFS('Jounal entries final'!$H:$H,'Jounal entries final'!$E:$E,$C$43,'Jounal entries final'!$M:$M,$C51,'Jounal entries final'!$B:$B,J$18,'Jounal entries final'!$C:$C,$Q$18)</f>
        <v>13015000</v>
      </c>
      <c r="K51" s="379">
        <f>-SUMIFS('Jounal entries final'!$H:$H,'Jounal entries final'!$E:$E,$C$43,'Jounal entries final'!$M:$M,$C51,'Jounal entries final'!$B:$B,K$18,'Jounal entries final'!$C:$C,$Q$18)</f>
        <v>12485000</v>
      </c>
      <c r="L51" s="379">
        <f>-SUMIFS('Jounal entries final'!$H:$H,'Jounal entries final'!$E:$E,$C$43,'Jounal entries final'!$M:$M,$C51,'Jounal entries final'!$B:$B,L$18,'Jounal entries final'!$C:$C,$Q$18)</f>
        <v>6940000</v>
      </c>
      <c r="M51" s="379">
        <f>-SUMIFS('Jounal entries final'!$H:$H,'Jounal entries final'!$E:$E,$C$43,'Jounal entries final'!$M:$M,$C51,'Jounal entries final'!$B:$B,M$18,'Jounal entries final'!$C:$C,$Q$18)</f>
        <v>6495000</v>
      </c>
      <c r="N51" s="379">
        <f>-SUMIFS('Jounal entries final'!$H:$H,'Jounal entries final'!$E:$E,$C$43,'Jounal entries final'!$M:$M,$C51,'Jounal entries final'!$B:$B,N$18,'Jounal entries final'!$C:$C,$Q$18)</f>
        <v>14955000</v>
      </c>
      <c r="O51" s="379">
        <f>-SUMIFS('Jounal entries final'!$H:$H,'Jounal entries final'!$E:$E,$C$43,'Jounal entries final'!$M:$M,$C51,'Jounal entries final'!$B:$B,O$18,'Jounal entries final'!$C:$C,$Q$18)</f>
        <v>9650000</v>
      </c>
      <c r="P51" s="234"/>
    </row>
    <row r="52" spans="1:16">
      <c r="A52" s="819"/>
      <c r="B52" s="234"/>
      <c r="C52" s="118" t="s">
        <v>124</v>
      </c>
      <c r="D52" s="379">
        <f>-SUMIFS('Jounal entries final'!$H:$H,'Jounal entries final'!$E:$E,$C$43,'Jounal entries final'!$M:$M,$C52,'Jounal entries final'!$B:$B,D$18,'Jounal entries final'!$C:$C,$Q$18)</f>
        <v>6434000</v>
      </c>
      <c r="E52" s="379">
        <f>-SUMIFS('Jounal entries final'!$H:$H,'Jounal entries final'!$E:$E,$C$43,'Jounal entries final'!$M:$M,$C52,'Jounal entries final'!$B:$B,E$18,'Jounal entries final'!$C:$C,$Q$18)</f>
        <v>8414000</v>
      </c>
      <c r="F52" s="379">
        <f>-SUMIFS('Jounal entries final'!$H:$H,'Jounal entries final'!$E:$E,$C$43,'Jounal entries final'!$M:$M,$C52,'Jounal entries final'!$B:$B,F$18,'Jounal entries final'!$C:$C,$Q$18)</f>
        <v>3794000</v>
      </c>
      <c r="G52" s="379">
        <f>-SUMIFS('Jounal entries final'!$H:$H,'Jounal entries final'!$E:$E,$C$43,'Jounal entries final'!$M:$M,$C52,'Jounal entries final'!$B:$B,G$18,'Jounal entries final'!$C:$C,$Q$18)</f>
        <v>6984000</v>
      </c>
      <c r="H52" s="379">
        <f>-SUMIFS('Jounal entries final'!$H:$H,'Jounal entries final'!$E:$E,$C$43,'Jounal entries final'!$M:$M,$C52,'Jounal entries final'!$B:$B,H$18,'Jounal entries final'!$C:$C,$Q$18)</f>
        <v>10944000</v>
      </c>
      <c r="I52" s="379">
        <f>-SUMIFS('Jounal entries final'!$H:$H,'Jounal entries final'!$E:$E,$C$43,'Jounal entries final'!$M:$M,$C52,'Jounal entries final'!$B:$B,I$18,'Jounal entries final'!$C:$C,$Q$18)</f>
        <v>9184000</v>
      </c>
      <c r="J52" s="379">
        <f>-SUMIFS('Jounal entries final'!$H:$H,'Jounal entries final'!$E:$E,$C$43,'Jounal entries final'!$M:$M,$C52,'Jounal entries final'!$B:$B,J$18,'Jounal entries final'!$C:$C,$Q$18)</f>
        <v>3904000</v>
      </c>
      <c r="K52" s="379">
        <f>-SUMIFS('Jounal entries final'!$H:$H,'Jounal entries final'!$E:$E,$C$43,'Jounal entries final'!$M:$M,$C52,'Jounal entries final'!$B:$B,K$18,'Jounal entries final'!$C:$C,$Q$18)</f>
        <v>10614000</v>
      </c>
      <c r="L52" s="379">
        <f>-SUMIFS('Jounal entries final'!$H:$H,'Jounal entries final'!$E:$E,$C$43,'Jounal entries final'!$M:$M,$C52,'Jounal entries final'!$B:$B,L$18,'Jounal entries final'!$C:$C,$Q$18)</f>
        <v>8304000</v>
      </c>
      <c r="M52" s="379">
        <f>-SUMIFS('Jounal entries final'!$H:$H,'Jounal entries final'!$E:$E,$C$43,'Jounal entries final'!$M:$M,$C52,'Jounal entries final'!$B:$B,M$18,'Jounal entries final'!$C:$C,$Q$18)</f>
        <v>13034000</v>
      </c>
      <c r="N52" s="379">
        <f>-SUMIFS('Jounal entries final'!$H:$H,'Jounal entries final'!$E:$E,$C$43,'Jounal entries final'!$M:$M,$C52,'Jounal entries final'!$B:$B,N$18,'Jounal entries final'!$C:$C,$Q$18)</f>
        <v>6324000</v>
      </c>
      <c r="O52" s="379">
        <f>-SUMIFS('Jounal entries final'!$H:$H,'Jounal entries final'!$E:$E,$C$43,'Jounal entries final'!$M:$M,$C52,'Jounal entries final'!$B:$B,O$18,'Jounal entries final'!$C:$C,$Q$18)</f>
        <v>8524000</v>
      </c>
      <c r="P52" s="234"/>
    </row>
    <row r="53" spans="1:16">
      <c r="A53" s="819"/>
      <c r="B53" s="114"/>
      <c r="C53" s="118" t="s">
        <v>125</v>
      </c>
      <c r="D53" s="379">
        <f>-SUMIFS('Jounal entries final'!$H:$H,'Jounal entries final'!$E:$E,$C$43,'Jounal entries final'!$M:$M,$C53,'Jounal entries final'!$B:$B,D$18,'Jounal entries final'!$C:$C,$Q$18)</f>
        <v>8279695</v>
      </c>
      <c r="E53" s="379">
        <f>-SUMIFS('Jounal entries final'!$H:$H,'Jounal entries final'!$E:$E,$C$43,'Jounal entries final'!$M:$M,$C53,'Jounal entries final'!$B:$B,E$18,'Jounal entries final'!$C:$C,$Q$18)</f>
        <v>11327200</v>
      </c>
      <c r="F53" s="379">
        <f>-SUMIFS('Jounal entries final'!$H:$H,'Jounal entries final'!$E:$E,$C$43,'Jounal entries final'!$M:$M,$C53,'Jounal entries final'!$B:$B,F$18,'Jounal entries final'!$C:$C,$Q$18)</f>
        <v>15999810</v>
      </c>
      <c r="G53" s="379">
        <f>-SUMIFS('Jounal entries final'!$H:$H,'Jounal entries final'!$E:$E,$C$43,'Jounal entries final'!$M:$M,$C53,'Jounal entries final'!$B:$B,G$18,'Jounal entries final'!$C:$C,$Q$18)</f>
        <v>16233505</v>
      </c>
      <c r="H53" s="379">
        <f>-SUMIFS('Jounal entries final'!$H:$H,'Jounal entries final'!$E:$E,$C$43,'Jounal entries final'!$M:$M,$C53,'Jounal entries final'!$B:$B,H$18,'Jounal entries final'!$C:$C,$Q$18)</f>
        <v>3285495</v>
      </c>
      <c r="I53" s="379">
        <f>-SUMIFS('Jounal entries final'!$H:$H,'Jounal entries final'!$E:$E,$C$43,'Jounal entries final'!$M:$M,$C53,'Jounal entries final'!$B:$B,I$18,'Jounal entries final'!$C:$C,$Q$18)</f>
        <v>7543000</v>
      </c>
      <c r="J53" s="379">
        <f>-SUMIFS('Jounal entries final'!$H:$H,'Jounal entries final'!$E:$E,$C$43,'Jounal entries final'!$M:$M,$C53,'Jounal entries final'!$B:$B,J$18,'Jounal entries final'!$C:$C,$Q$18)</f>
        <v>15890000</v>
      </c>
      <c r="K53" s="379">
        <f>-SUMIFS('Jounal entries final'!$H:$H,'Jounal entries final'!$E:$E,$C$43,'Jounal entries final'!$M:$M,$C53,'Jounal entries final'!$B:$B,K$18,'Jounal entries final'!$C:$C,$Q$18)</f>
        <v>12747010</v>
      </c>
      <c r="L53" s="379">
        <f>-SUMIFS('Jounal entries final'!$H:$H,'Jounal entries final'!$E:$E,$C$43,'Jounal entries final'!$M:$M,$C53,'Jounal entries final'!$B:$B,L$18,'Jounal entries final'!$C:$C,$Q$18)</f>
        <v>8473265</v>
      </c>
      <c r="M53" s="379">
        <f>-SUMIFS('Jounal entries final'!$H:$H,'Jounal entries final'!$E:$E,$C$43,'Jounal entries final'!$M:$M,$C53,'Jounal entries final'!$B:$B,M$18,'Jounal entries final'!$C:$C,$Q$18)</f>
        <v>11258275</v>
      </c>
      <c r="N53" s="379">
        <f>-SUMIFS('Jounal entries final'!$H:$H,'Jounal entries final'!$E:$E,$C$43,'Jounal entries final'!$M:$M,$C53,'Jounal entries final'!$B:$B,N$18,'Jounal entries final'!$C:$C,$Q$18)</f>
        <v>9414580</v>
      </c>
      <c r="O53" s="379">
        <f>-SUMIFS('Jounal entries final'!$H:$H,'Jounal entries final'!$E:$E,$C$43,'Jounal entries final'!$M:$M,$C53,'Jounal entries final'!$B:$B,O$18,'Jounal entries final'!$C:$C,$Q$18)</f>
        <v>9556960</v>
      </c>
      <c r="P53" s="114"/>
    </row>
    <row r="55" spans="1:16" ht="18">
      <c r="B55" s="234"/>
      <c r="C55" s="380" t="s">
        <v>123</v>
      </c>
      <c r="D55" s="381">
        <f>(D51/D47)*30</f>
        <v>49.383140419690527</v>
      </c>
      <c r="E55" s="381">
        <f>(E51/SUM(D47:E47))*60</f>
        <v>73.064778647542198</v>
      </c>
      <c r="F55" s="381">
        <f t="shared" ref="F55:O57" si="1">(F51/(SUM(D47:F47))*90)</f>
        <v>94.997567737487927</v>
      </c>
      <c r="G55" s="381">
        <f t="shared" si="1"/>
        <v>81.902502637047846</v>
      </c>
      <c r="H55" s="381">
        <f t="shared" si="1"/>
        <v>118.61762766438068</v>
      </c>
      <c r="I55" s="381">
        <f t="shared" si="1"/>
        <v>80.155137368084269</v>
      </c>
      <c r="J55" s="381">
        <f t="shared" si="1"/>
        <v>104.86861997783441</v>
      </c>
      <c r="K55" s="381">
        <f t="shared" si="1"/>
        <v>104.94279489938698</v>
      </c>
      <c r="L55" s="381">
        <f t="shared" si="1"/>
        <v>55.76013725142635</v>
      </c>
      <c r="M55" s="381">
        <f t="shared" si="1"/>
        <v>53.698582440651556</v>
      </c>
      <c r="N55" s="381">
        <f t="shared" si="1"/>
        <v>125.50643822338408</v>
      </c>
      <c r="O55" s="381">
        <f t="shared" si="1"/>
        <v>82.27633863688223</v>
      </c>
      <c r="P55" s="114"/>
    </row>
    <row r="56" spans="1:16" ht="18">
      <c r="B56" s="234"/>
      <c r="C56" s="380" t="s">
        <v>124</v>
      </c>
      <c r="D56" s="381">
        <f>(D52/D48)*30</f>
        <v>81.399865134820899</v>
      </c>
      <c r="E56" s="381">
        <f>(E52/SUM(D48:E48))*60</f>
        <v>111.56998218513536</v>
      </c>
      <c r="F56" s="381">
        <f t="shared" si="1"/>
        <v>62.308092771286823</v>
      </c>
      <c r="G56" s="381">
        <f t="shared" si="1"/>
        <v>125.99958144468935</v>
      </c>
      <c r="H56" s="381">
        <f t="shared" si="1"/>
        <v>209.09660230758618</v>
      </c>
      <c r="I56" s="381">
        <f t="shared" si="1"/>
        <v>157.48445561204136</v>
      </c>
      <c r="J56" s="381">
        <f t="shared" si="1"/>
        <v>65.662701600808674</v>
      </c>
      <c r="K56" s="381">
        <f t="shared" si="1"/>
        <v>170.02331266198991</v>
      </c>
      <c r="L56" s="381">
        <f t="shared" si="1"/>
        <v>129.77392706780313</v>
      </c>
      <c r="M56" s="381">
        <f t="shared" si="1"/>
        <v>207.1461227248864</v>
      </c>
      <c r="N56" s="381">
        <f t="shared" si="1"/>
        <v>99.830196055939012</v>
      </c>
      <c r="O56" s="381">
        <f t="shared" si="1"/>
        <v>133.78379014660308</v>
      </c>
      <c r="P56" s="114"/>
    </row>
    <row r="57" spans="1:16" ht="18">
      <c r="B57" s="234"/>
      <c r="C57" s="380" t="s">
        <v>125</v>
      </c>
      <c r="D57" s="381">
        <f>(D53/D49)*30</f>
        <v>69.289877012074726</v>
      </c>
      <c r="E57" s="381">
        <f>(E53/SUM(D49:E49))*60</f>
        <v>105.41673250055089</v>
      </c>
      <c r="F57" s="381">
        <f t="shared" si="1"/>
        <v>138.11237825501053</v>
      </c>
      <c r="G57" s="381">
        <f t="shared" si="1"/>
        <v>142.3758592111958</v>
      </c>
      <c r="H57" s="381">
        <f t="shared" si="1"/>
        <v>27.414185077446064</v>
      </c>
      <c r="I57" s="381">
        <f t="shared" si="1"/>
        <v>69.508642894506707</v>
      </c>
      <c r="J57" s="381">
        <f t="shared" si="1"/>
        <v>146.40904408008683</v>
      </c>
      <c r="K57" s="381">
        <f t="shared" si="1"/>
        <v>121.65279964256759</v>
      </c>
      <c r="L57" s="381">
        <f t="shared" si="1"/>
        <v>83.604378260436704</v>
      </c>
      <c r="M57" s="381">
        <f t="shared" si="1"/>
        <v>122.43820961965112</v>
      </c>
      <c r="N57" s="381">
        <f t="shared" si="1"/>
        <v>106.15152178036126</v>
      </c>
      <c r="O57" s="381">
        <f t="shared" si="1"/>
        <v>111.93259441522559</v>
      </c>
      <c r="P57" s="114"/>
    </row>
    <row r="58" spans="1:16" ht="18">
      <c r="B58" s="234"/>
      <c r="C58" s="382" t="s">
        <v>234</v>
      </c>
      <c r="D58" s="383">
        <f>+D45</f>
        <v>62.010788954430794</v>
      </c>
      <c r="E58" s="383">
        <f>+E45</f>
        <v>90.816359424412539</v>
      </c>
      <c r="F58" s="383">
        <f t="shared" ref="F58:O58" si="2">+F45</f>
        <v>102.29294237022663</v>
      </c>
      <c r="G58" s="383">
        <f t="shared" si="2"/>
        <v>110.98101948036374</v>
      </c>
      <c r="H58" s="383">
        <f t="shared" si="2"/>
        <v>95.26260261524007</v>
      </c>
      <c r="I58" s="383">
        <f t="shared" si="2"/>
        <v>89.222662054240445</v>
      </c>
      <c r="J58" s="383">
        <f t="shared" si="2"/>
        <v>109.34704827743337</v>
      </c>
      <c r="K58" s="383">
        <f t="shared" si="2"/>
        <v>121.91492339146811</v>
      </c>
      <c r="L58" s="383">
        <f t="shared" si="2"/>
        <v>79.692931179505024</v>
      </c>
      <c r="M58" s="383">
        <f t="shared" si="2"/>
        <v>108.68206382480858</v>
      </c>
      <c r="N58" s="383">
        <f t="shared" si="2"/>
        <v>110.15120181397371</v>
      </c>
      <c r="O58" s="383">
        <f t="shared" si="2"/>
        <v>101.26305741099506</v>
      </c>
      <c r="P58" s="114"/>
    </row>
  </sheetData>
  <mergeCells count="3">
    <mergeCell ref="C26:E26"/>
    <mergeCell ref="C29:F35"/>
    <mergeCell ref="A47:A53"/>
  </mergeCells>
  <conditionalFormatting sqref="C43">
    <cfRule type="cellIs" dxfId="48" priority="3" operator="lessThan">
      <formula>0</formula>
    </cfRule>
  </conditionalFormatting>
  <conditionalFormatting sqref="C44:D44">
    <cfRule type="cellIs" dxfId="47" priority="2" operator="lessThan">
      <formula>0</formula>
    </cfRule>
  </conditionalFormatting>
  <conditionalFormatting sqref="F27:F28">
    <cfRule type="iconSet" priority="1">
      <iconSet iconSet="3Arrows">
        <cfvo type="percent" val="0"/>
        <cfvo type="num" val="0"/>
        <cfvo type="num" val="9.9999999999999995E-8" gte="0"/>
      </iconSet>
    </cfRule>
  </conditionalFormatting>
  <hyperlinks>
    <hyperlink ref="D45" location="'Indepth Working Capital'!A1" display="'Indepth Working Capital'!A1" xr:uid="{A3FE189C-538C-4AB9-88A9-7897F68E49EC}"/>
    <hyperlink ref="D21" location="'Indepth WC DSO'!A1" display="DSO" xr:uid="{BB58B8F9-CC45-4C7E-BD44-D5F25A0B29D4}"/>
    <hyperlink ref="E21" location="'Indepth WC DIO'!A1" display="DIO" xr:uid="{7E44E6CF-0F92-44FA-89AD-3CE6D9421E6E}"/>
    <hyperlink ref="F21" location="'Indepth WC DPO'!A1" display="DPO" xr:uid="{173CF871-8840-4CCF-9271-68177E2EAADA}"/>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194B0-504D-42CC-AF00-60BF4D57B1C9}">
  <sheetPr codeName="Sheet42">
    <tabColor theme="4" tint="0.79998168889431442"/>
  </sheetPr>
  <dimension ref="A1:AC194"/>
  <sheetViews>
    <sheetView showGridLines="0" zoomScale="70" zoomScaleNormal="70" workbookViewId="0">
      <pane ySplit="16" topLeftCell="A17" activePane="bottomLeft" state="frozen"/>
      <selection activeCell="T11" sqref="T11"/>
      <selection pane="bottomLeft" activeCell="W12" sqref="W12"/>
    </sheetView>
  </sheetViews>
  <sheetFormatPr baseColWidth="10" defaultColWidth="8.83203125" defaultRowHeight="15"/>
  <cols>
    <col min="1" max="1" width="5.33203125" style="236" customWidth="1"/>
    <col min="2" max="2" width="2.1640625" style="236" customWidth="1"/>
    <col min="3" max="3" width="50.5" style="243" bestFit="1" customWidth="1"/>
    <col min="4" max="4" width="14.6640625" style="400" bestFit="1" customWidth="1"/>
    <col min="5" max="5" width="16.1640625" style="236" bestFit="1" customWidth="1"/>
    <col min="6" max="15" width="13.6640625" style="236" bestFit="1" customWidth="1"/>
    <col min="16" max="16" width="1.5" style="236" customWidth="1"/>
    <col min="17" max="17" width="5.33203125" style="236" customWidth="1"/>
    <col min="18" max="23" width="8.83203125" style="114"/>
    <col min="24" max="24" width="15.6640625" style="114" bestFit="1" customWidth="1"/>
    <col min="25" max="25" width="13.5" style="114" bestFit="1" customWidth="1"/>
    <col min="26" max="28" width="8.83203125" style="114"/>
    <col min="29" max="29" width="13.5" style="114" bestFit="1" customWidth="1"/>
    <col min="30" max="16384" width="8.83203125" style="114"/>
  </cols>
  <sheetData>
    <row r="1" spans="1:17" s="114" customFormat="1">
      <c r="C1" s="118"/>
    </row>
    <row r="2" spans="1:17" s="114" customFormat="1">
      <c r="C2" s="118"/>
    </row>
    <row r="3" spans="1:17" s="114" customFormat="1">
      <c r="C3" s="118"/>
    </row>
    <row r="4" spans="1:17" s="114" customFormat="1">
      <c r="C4" s="118"/>
    </row>
    <row r="5" spans="1:17" s="114" customFormat="1">
      <c r="C5" s="118"/>
    </row>
    <row r="6" spans="1:17" s="114" customFormat="1">
      <c r="C6" s="118"/>
    </row>
    <row r="7" spans="1:17" s="114" customFormat="1">
      <c r="C7" s="118"/>
    </row>
    <row r="8" spans="1:17" s="114" customFormat="1">
      <c r="C8" s="118"/>
    </row>
    <row r="9" spans="1:17" s="114" customFormat="1">
      <c r="C9" s="118"/>
    </row>
    <row r="10" spans="1:17" s="114" customFormat="1">
      <c r="C10" s="118"/>
    </row>
    <row r="11" spans="1:17" s="114" customFormat="1">
      <c r="C11" s="118"/>
    </row>
    <row r="12" spans="1:17" s="114" customFormat="1">
      <c r="C12" s="118"/>
    </row>
    <row r="13" spans="1:17" s="114" customFormat="1">
      <c r="C13" s="118"/>
    </row>
    <row r="14" spans="1:17" ht="20" thickBot="1">
      <c r="A14" s="114"/>
      <c r="B14" s="114"/>
      <c r="C14" s="118"/>
      <c r="D14" s="147"/>
      <c r="E14" s="147"/>
      <c r="F14" s="147"/>
      <c r="G14" s="114"/>
      <c r="H14" s="114"/>
      <c r="I14" s="114"/>
      <c r="J14" s="114"/>
      <c r="K14" s="114"/>
      <c r="L14" s="280"/>
      <c r="M14" s="280"/>
      <c r="N14" s="280"/>
      <c r="O14" s="280"/>
      <c r="P14" s="114"/>
      <c r="Q14" s="114"/>
    </row>
    <row r="15" spans="1:17" s="287" customFormat="1" ht="26.5" customHeight="1" thickBot="1">
      <c r="C15" s="643" t="s">
        <v>174</v>
      </c>
      <c r="D15" s="647" t="s">
        <v>25</v>
      </c>
      <c r="E15" s="648">
        <f>VLOOKUP('Cost analysis'!D15,Reference!$A$2:$B$13,2,0)</f>
        <v>9</v>
      </c>
      <c r="F15" s="666">
        <v>2022</v>
      </c>
      <c r="G15" s="649">
        <v>2023</v>
      </c>
    </row>
    <row r="16" spans="1:17" s="114" customFormat="1">
      <c r="C16" s="118"/>
      <c r="D16" s="401"/>
    </row>
    <row r="19" spans="1:17" ht="22">
      <c r="B19" s="234"/>
      <c r="C19" s="335" t="s">
        <v>143</v>
      </c>
      <c r="D19" s="409"/>
      <c r="E19" s="335"/>
      <c r="F19" s="234"/>
      <c r="G19" s="731" t="s">
        <v>250</v>
      </c>
      <c r="H19" s="731"/>
      <c r="I19" s="295"/>
      <c r="J19" s="293"/>
      <c r="K19" s="294"/>
      <c r="L19" s="293"/>
      <c r="M19" s="293"/>
      <c r="N19" s="293"/>
      <c r="O19" s="752"/>
      <c r="P19" s="752"/>
    </row>
    <row r="20" spans="1:17" s="204" customFormat="1" ht="34">
      <c r="A20" s="244"/>
      <c r="B20" s="252"/>
      <c r="C20" s="258">
        <f>SUMIFS('Jounal entries final'!$H:$H,'Jounal entries final'!$E:$E,C19,'Jounal entries final'!$B:$B,E15,'Jounal entries final'!$C:$C,'Cost analysis'!$F$15)</f>
        <v>8197676.7179999994</v>
      </c>
      <c r="D20" s="410"/>
      <c r="E20" s="258"/>
      <c r="F20" s="234"/>
      <c r="G20" s="234"/>
      <c r="H20" s="234"/>
      <c r="I20" s="295"/>
      <c r="J20" s="295"/>
      <c r="K20" s="765"/>
      <c r="L20" s="765"/>
      <c r="M20" s="765"/>
      <c r="N20" s="293"/>
      <c r="O20" s="293"/>
      <c r="P20" s="293"/>
      <c r="Q20" s="244"/>
    </row>
    <row r="21" spans="1:17" ht="22">
      <c r="B21" s="234"/>
      <c r="C21" s="397" t="s">
        <v>281</v>
      </c>
      <c r="D21" s="396"/>
      <c r="E21" s="396"/>
      <c r="F21" s="780" t="s">
        <v>179</v>
      </c>
      <c r="G21" s="780"/>
      <c r="H21" s="234"/>
      <c r="I21" s="295"/>
      <c r="J21" s="293"/>
      <c r="K21" s="781"/>
      <c r="L21" s="782"/>
      <c r="M21" s="782"/>
      <c r="N21" s="782"/>
      <c r="O21" s="782"/>
      <c r="P21" s="293"/>
    </row>
    <row r="22" spans="1:17" ht="22">
      <c r="B22" s="234"/>
      <c r="C22" s="254" t="s">
        <v>180</v>
      </c>
      <c r="D22" s="733">
        <f>SUMIFS('Jounal entries final'!$H:$H,'Jounal entries final'!$E:$E,C19,'Jounal entries final'!$B:$B,E15-1,'Jounal entries final'!$C:$C,'Financial statement 1 P&amp;L'!$G$3)</f>
        <v>8940122.8619999997</v>
      </c>
      <c r="E22" s="733">
        <f>-SUMIFS('Jounal entries final'!$H:$H,'Jounal entries final'!$E:$E,'Financial statement 1 P&amp;L'!D12,'Jounal entries final'!$B:$B,'Financial statement 1 P&amp;L'!$E$2-1,'Jounal entries final'!$C:$C,'Financial statement 1 P&amp;L'!$G$3)</f>
        <v>0</v>
      </c>
      <c r="F22" s="783">
        <f>+(C20-D22)</f>
        <v>-742446.14400000032</v>
      </c>
      <c r="G22" s="783"/>
      <c r="H22" s="261">
        <f>+(C20-D22)/D22</f>
        <v>-8.3046525809591307E-2</v>
      </c>
      <c r="I22" s="295"/>
      <c r="J22" s="293"/>
      <c r="K22" s="782"/>
      <c r="L22" s="782"/>
      <c r="M22" s="782"/>
      <c r="N22" s="782"/>
      <c r="O22" s="782"/>
      <c r="P22" s="293"/>
    </row>
    <row r="23" spans="1:17" ht="22">
      <c r="B23" s="234"/>
      <c r="C23" s="254" t="s">
        <v>277</v>
      </c>
      <c r="D23" s="402"/>
      <c r="E23" s="254"/>
      <c r="F23" s="783">
        <f>HLOOKUP(D15,$D$94:$O$97,3,0)</f>
        <v>-149790.19759538778</v>
      </c>
      <c r="G23" s="783"/>
      <c r="H23" s="261">
        <f>(E112-D112)/D112</f>
        <v>-0.14187889513539612</v>
      </c>
      <c r="I23" s="295"/>
      <c r="J23" s="293"/>
      <c r="K23" s="782"/>
      <c r="L23" s="782"/>
      <c r="M23" s="782"/>
      <c r="N23" s="782"/>
      <c r="O23" s="782"/>
      <c r="P23" s="293"/>
    </row>
    <row r="24" spans="1:17" ht="22">
      <c r="B24" s="234"/>
      <c r="C24" s="254" t="s">
        <v>278</v>
      </c>
      <c r="D24" s="402"/>
      <c r="E24" s="254"/>
      <c r="F24" s="783">
        <f>HLOOKUP(D15,$D$94:$O$97,2,0)</f>
        <v>-592655.94640461274</v>
      </c>
      <c r="G24" s="783"/>
      <c r="H24" s="261">
        <f>((E101/E112)-(D101/D112))/(D101/D112)</f>
        <v>-4.4779465122207728E-3</v>
      </c>
      <c r="I24" s="295"/>
      <c r="J24" s="293"/>
      <c r="K24" s="249"/>
      <c r="L24" s="749"/>
      <c r="M24" s="749"/>
      <c r="N24" s="750"/>
      <c r="O24" s="750"/>
      <c r="P24" s="293"/>
    </row>
    <row r="25" spans="1:17" ht="22">
      <c r="B25" s="234"/>
      <c r="C25" s="255"/>
      <c r="D25" s="411"/>
      <c r="E25" s="257"/>
      <c r="F25" s="234"/>
      <c r="G25" s="234"/>
      <c r="H25" s="234"/>
      <c r="I25" s="295"/>
      <c r="J25" s="293"/>
      <c r="K25" s="246"/>
      <c r="L25" s="247"/>
      <c r="M25" s="248"/>
      <c r="N25" s="293"/>
      <c r="O25" s="293"/>
      <c r="P25" s="293"/>
    </row>
    <row r="26" spans="1:17">
      <c r="C26" s="245"/>
      <c r="D26" s="399"/>
    </row>
    <row r="27" spans="1:17" hidden="1">
      <c r="C27" s="245"/>
      <c r="D27" s="399"/>
    </row>
    <row r="28" spans="1:17" hidden="1">
      <c r="C28" s="245"/>
      <c r="D28" s="399"/>
    </row>
    <row r="29" spans="1:17" hidden="1">
      <c r="C29" s="245" t="s">
        <v>296</v>
      </c>
      <c r="D29" s="399"/>
    </row>
    <row r="30" spans="1:17" hidden="1">
      <c r="C30" s="245"/>
      <c r="D30" s="399"/>
    </row>
    <row r="31" spans="1:17" hidden="1">
      <c r="C31" s="245"/>
      <c r="D31" s="399"/>
    </row>
    <row r="32" spans="1:17" hidden="1">
      <c r="C32" s="245"/>
      <c r="D32" s="399"/>
    </row>
    <row r="33" spans="2:29" hidden="1">
      <c r="C33" s="245"/>
      <c r="D33" s="399"/>
    </row>
    <row r="34" spans="2:29" hidden="1">
      <c r="C34" s="245"/>
      <c r="D34" s="399"/>
    </row>
    <row r="35" spans="2:29" hidden="1">
      <c r="C35" s="245"/>
      <c r="D35" s="399"/>
    </row>
    <row r="36" spans="2:29" hidden="1">
      <c r="C36" s="245"/>
      <c r="D36" s="399"/>
    </row>
    <row r="37" spans="2:29" hidden="1">
      <c r="C37" s="245"/>
      <c r="D37" s="399"/>
    </row>
    <row r="38" spans="2:29" hidden="1">
      <c r="C38" s="245"/>
      <c r="D38" s="399"/>
    </row>
    <row r="39" spans="2:29" hidden="1">
      <c r="C39" s="245"/>
      <c r="D39" s="399"/>
    </row>
    <row r="40" spans="2:29">
      <c r="C40" s="245"/>
      <c r="D40" s="399"/>
      <c r="W40" s="114" t="s">
        <v>288</v>
      </c>
    </row>
    <row r="41" spans="2:29" ht="18">
      <c r="B41" s="234"/>
      <c r="C41" s="335" t="s">
        <v>293</v>
      </c>
      <c r="D41" s="409"/>
      <c r="E41" s="335"/>
      <c r="F41" s="234"/>
      <c r="G41" s="731" t="s">
        <v>250</v>
      </c>
      <c r="H41" s="731"/>
    </row>
    <row r="42" spans="2:29" ht="34">
      <c r="B42" s="252"/>
      <c r="C42" s="258">
        <f>SUMIFS('Jounal entries final'!$H:$H,'Jounal entries final'!$E:$E,C19,'Jounal entries final'!$B:$B,E15,'Jounal entries final'!$C:$C,'Cost analysis'!$F$15)</f>
        <v>8197676.7179999994</v>
      </c>
      <c r="D42" s="410"/>
      <c r="E42" s="258"/>
      <c r="F42" s="234"/>
      <c r="G42" s="234"/>
      <c r="H42" s="234"/>
      <c r="X42" s="397"/>
      <c r="Y42" s="397" t="s">
        <v>143</v>
      </c>
      <c r="Z42" s="396"/>
    </row>
    <row r="43" spans="2:29" ht="19">
      <c r="B43" s="234"/>
      <c r="C43" s="397"/>
      <c r="D43" s="396" t="s">
        <v>295</v>
      </c>
      <c r="E43" s="396" t="s">
        <v>294</v>
      </c>
      <c r="F43" s="406"/>
      <c r="G43" s="397"/>
      <c r="H43" s="396"/>
      <c r="X43" s="118" t="s">
        <v>3</v>
      </c>
      <c r="Y43" s="403">
        <f>HLOOKUP($E$15,$C$99:$O$107,4,0)</f>
        <v>715560.8</v>
      </c>
      <c r="Z43" s="404"/>
      <c r="AB43" s="254"/>
      <c r="AC43" s="403"/>
    </row>
    <row r="44" spans="2:29" ht="19">
      <c r="B44" s="234"/>
      <c r="C44" s="405" t="str" cm="1">
        <f t="array" ref="C44:D49">_xlfn._xlws.SORT(X43:Y48,2,-1)</f>
        <v>Component 3</v>
      </c>
      <c r="D44" s="395">
        <v>2132295.12</v>
      </c>
      <c r="E44" s="261">
        <f t="shared" ref="E44:E49" si="0">D44/$C$20</f>
        <v>0.26010968636004222</v>
      </c>
      <c r="F44" s="405"/>
      <c r="G44" s="405"/>
      <c r="H44" s="261"/>
      <c r="X44" s="118" t="s">
        <v>4</v>
      </c>
      <c r="Y44" s="403">
        <f>HLOOKUP($E$15,$C$99:$O$107,5,0)</f>
        <v>843424.5</v>
      </c>
      <c r="Z44" s="404"/>
      <c r="AB44" s="254"/>
      <c r="AC44" s="403"/>
    </row>
    <row r="45" spans="2:29" ht="19">
      <c r="B45" s="234"/>
      <c r="C45" s="405" t="str">
        <v>Component 6</v>
      </c>
      <c r="D45" s="395">
        <v>1805512</v>
      </c>
      <c r="E45" s="261">
        <f t="shared" si="0"/>
        <v>0.22024679212288989</v>
      </c>
      <c r="F45" s="405"/>
      <c r="G45" s="405"/>
      <c r="H45" s="261"/>
      <c r="X45" s="118" t="s">
        <v>5</v>
      </c>
      <c r="Y45" s="403">
        <f>HLOOKUP($E$15,$C$99:$O$107,6,0)</f>
        <v>2132295.12</v>
      </c>
      <c r="Z45" s="404"/>
      <c r="AB45" s="254"/>
      <c r="AC45" s="403"/>
    </row>
    <row r="46" spans="2:29" ht="19">
      <c r="B46" s="234"/>
      <c r="C46" s="405" t="str">
        <v>Component 4</v>
      </c>
      <c r="D46" s="395">
        <v>1633814</v>
      </c>
      <c r="E46" s="261">
        <f t="shared" si="0"/>
        <v>0.19930207743037276</v>
      </c>
      <c r="F46" s="405"/>
      <c r="G46" s="405"/>
      <c r="H46" s="261"/>
      <c r="X46" s="118" t="s">
        <v>6</v>
      </c>
      <c r="Y46" s="403">
        <f>HLOOKUP($E$15,$C$99:$O$107,7,0)</f>
        <v>1633814</v>
      </c>
      <c r="Z46" s="404"/>
      <c r="AB46" s="254"/>
      <c r="AC46" s="403"/>
    </row>
    <row r="47" spans="2:29" ht="19">
      <c r="B47" s="234"/>
      <c r="C47" s="405" t="str">
        <v>Component 5</v>
      </c>
      <c r="D47" s="395">
        <v>845158</v>
      </c>
      <c r="E47" s="261">
        <f t="shared" si="0"/>
        <v>0.10309725902513933</v>
      </c>
      <c r="F47" s="405"/>
      <c r="G47" s="405"/>
      <c r="H47" s="261"/>
      <c r="X47" s="118" t="s">
        <v>11</v>
      </c>
      <c r="Y47" s="403">
        <f>HLOOKUP($E$15,$C$99:$O$107,8,0)</f>
        <v>845158</v>
      </c>
      <c r="Z47" s="404"/>
      <c r="AB47" s="254"/>
      <c r="AC47" s="403"/>
    </row>
    <row r="48" spans="2:29" ht="19">
      <c r="B48" s="234"/>
      <c r="C48" s="405" t="str">
        <v>Component 2</v>
      </c>
      <c r="D48" s="395">
        <v>843424.5</v>
      </c>
      <c r="E48" s="261">
        <f t="shared" si="0"/>
        <v>0.10288579667310566</v>
      </c>
      <c r="F48" s="405"/>
      <c r="G48" s="405"/>
      <c r="H48" s="261"/>
      <c r="X48" s="118" t="s">
        <v>12</v>
      </c>
      <c r="Y48" s="403">
        <f>HLOOKUP($E$15,$C$99:$O$107,9,0)</f>
        <v>1805512</v>
      </c>
      <c r="Z48" s="404"/>
      <c r="AB48" s="254"/>
      <c r="AC48" s="403"/>
    </row>
    <row r="49" spans="2:29" ht="19">
      <c r="B49" s="234"/>
      <c r="C49" s="405" t="str">
        <v>Component 1</v>
      </c>
      <c r="D49" s="395">
        <v>715560.8</v>
      </c>
      <c r="E49" s="261">
        <f t="shared" si="0"/>
        <v>8.728824331762336E-2</v>
      </c>
      <c r="F49" s="405"/>
      <c r="G49" s="405"/>
      <c r="H49" s="261"/>
      <c r="X49" s="254"/>
      <c r="Y49" s="403"/>
      <c r="Z49" s="404"/>
      <c r="AB49" s="254"/>
      <c r="AC49" s="403"/>
    </row>
    <row r="50" spans="2:29" ht="19">
      <c r="B50" s="234"/>
      <c r="C50" s="255"/>
      <c r="D50" s="412"/>
      <c r="E50" s="404"/>
      <c r="F50" s="234"/>
      <c r="G50" s="234"/>
      <c r="H50" s="234"/>
    </row>
    <row r="51" spans="2:29">
      <c r="C51" s="236"/>
    </row>
    <row r="52" spans="2:29">
      <c r="C52" s="245"/>
      <c r="D52" s="399"/>
      <c r="W52" s="114" t="s">
        <v>288</v>
      </c>
    </row>
    <row r="53" spans="2:29" ht="18">
      <c r="B53" s="234"/>
      <c r="C53" s="335" t="s">
        <v>241</v>
      </c>
      <c r="D53" s="409" t="s">
        <v>289</v>
      </c>
      <c r="E53" s="335"/>
      <c r="F53" s="234"/>
      <c r="G53" s="731" t="s">
        <v>250</v>
      </c>
      <c r="H53" s="731"/>
    </row>
    <row r="54" spans="2:29" ht="34">
      <c r="B54" s="252"/>
      <c r="C54" s="416">
        <f>HLOOKUP(D15,'LTM P&amp;L'!$D$23:$O$28,6,0)</f>
        <v>0.28638821785534407</v>
      </c>
      <c r="D54" s="410"/>
      <c r="E54" s="258"/>
      <c r="F54" s="234"/>
      <c r="G54" s="234"/>
      <c r="H54" s="234"/>
      <c r="X54" s="397"/>
      <c r="Y54" s="397" t="s">
        <v>238</v>
      </c>
      <c r="Z54" s="396"/>
    </row>
    <row r="55" spans="2:29" ht="19">
      <c r="B55" s="234"/>
      <c r="C55" s="397"/>
      <c r="D55" s="396" t="s">
        <v>238</v>
      </c>
      <c r="E55" s="396" t="s">
        <v>287</v>
      </c>
      <c r="F55" s="406"/>
      <c r="G55" s="397"/>
      <c r="H55" s="396"/>
      <c r="X55" s="118" t="s">
        <v>3</v>
      </c>
      <c r="Y55" s="403">
        <f>-SUMIFS('Jounal entries final'!$H:$H,'Jounal entries final'!$E:$E,$C$101,'Jounal entries final'!$M:$M,$X55,'Jounal entries final'!$B:$B,E$15,'Jounal entries final'!$C:$C,$F$15)</f>
        <v>0</v>
      </c>
      <c r="Z55" s="404"/>
      <c r="AB55" s="254" t="s">
        <v>39</v>
      </c>
      <c r="AC55" s="403">
        <f>-SUMIFS('Jounal entries final'!$H:$H,'Jounal entries final'!$E:$E,$C$101,'Jounal entries final'!$M:$M,$X55,'Jounal entries final'!$B:$B,E$15-1,'Jounal entries final'!$C:$C,$F$15)</f>
        <v>0</v>
      </c>
    </row>
    <row r="56" spans="2:29" ht="19">
      <c r="B56" s="234"/>
      <c r="C56" s="405" t="str" cm="1">
        <f t="array" ref="C56:D62">_xlfn._xlws.SORT(X55:Y61,2,-1)</f>
        <v>Component 1</v>
      </c>
      <c r="D56" s="395">
        <v>0</v>
      </c>
      <c r="E56" s="261">
        <f t="shared" ref="E56:E61" si="1">D56/$C$20</f>
        <v>0</v>
      </c>
      <c r="F56" s="405"/>
      <c r="G56" s="405"/>
      <c r="H56" s="261"/>
      <c r="X56" s="118" t="s">
        <v>4</v>
      </c>
      <c r="Y56" s="403">
        <f>-SUMIFS('Jounal entries final'!$H:$H,'Jounal entries final'!$E:$E,$C$101,'Jounal entries final'!$M:$M,$X56,'Jounal entries final'!$B:$B,E$15,'Jounal entries final'!$C:$C,$F$15)</f>
        <v>0</v>
      </c>
      <c r="Z56" s="404"/>
      <c r="AB56" s="254" t="s">
        <v>31</v>
      </c>
      <c r="AC56" s="403">
        <f>-SUMIFS('Jounal entries final'!$H:$H,'Jounal entries final'!$E:$E,$C$101,'Jounal entries final'!$M:$M,$X56,'Jounal entries final'!$B:$B,E$15-1,'Jounal entries final'!$C:$C,$F$15)</f>
        <v>0</v>
      </c>
    </row>
    <row r="57" spans="2:29" ht="19">
      <c r="B57" s="234"/>
      <c r="C57" s="405" t="str">
        <v>Component 2</v>
      </c>
      <c r="D57" s="395">
        <v>0</v>
      </c>
      <c r="E57" s="261">
        <f t="shared" si="1"/>
        <v>0</v>
      </c>
      <c r="F57" s="405"/>
      <c r="G57" s="405"/>
      <c r="H57" s="261"/>
      <c r="X57" s="118" t="s">
        <v>5</v>
      </c>
      <c r="Y57" s="403">
        <f>-SUMIFS('Jounal entries final'!$H:$H,'Jounal entries final'!$E:$E,$C$101,'Jounal entries final'!$M:$M,$X57,'Jounal entries final'!$B:$B,E$15,'Jounal entries final'!$C:$C,$F$15)</f>
        <v>0</v>
      </c>
      <c r="Z57" s="404"/>
      <c r="AB57" s="254" t="s">
        <v>40</v>
      </c>
      <c r="AC57" s="403">
        <f>-SUMIFS('Jounal entries final'!$H:$H,'Jounal entries final'!$E:$E,$C$101,'Jounal entries final'!$M:$M,$X57,'Jounal entries final'!$B:$B,E$15-1,'Jounal entries final'!$C:$C,$F$15)</f>
        <v>0</v>
      </c>
    </row>
    <row r="58" spans="2:29" ht="19">
      <c r="B58" s="234"/>
      <c r="C58" s="405" t="str">
        <v>Component 3</v>
      </c>
      <c r="D58" s="395">
        <v>0</v>
      </c>
      <c r="E58" s="261">
        <f t="shared" si="1"/>
        <v>0</v>
      </c>
      <c r="F58" s="405"/>
      <c r="G58" s="405"/>
      <c r="H58" s="261"/>
      <c r="X58" s="118" t="s">
        <v>6</v>
      </c>
      <c r="Y58" s="403">
        <f>-SUMIFS('Jounal entries final'!$H:$H,'Jounal entries final'!$E:$E,$C$101,'Jounal entries final'!$M:$M,$X58,'Jounal entries final'!$B:$B,E$15,'Jounal entries final'!$C:$C,$F$15)</f>
        <v>0</v>
      </c>
      <c r="Z58" s="404"/>
      <c r="AB58" s="254" t="s">
        <v>36</v>
      </c>
      <c r="AC58" s="403">
        <f>-SUMIFS('Jounal entries final'!$H:$H,'Jounal entries final'!$E:$E,$C$101,'Jounal entries final'!$M:$M,$X58,'Jounal entries final'!$B:$B,E$15-1,'Jounal entries final'!$C:$C,$F$15)</f>
        <v>0</v>
      </c>
    </row>
    <row r="59" spans="2:29" ht="19">
      <c r="B59" s="234"/>
      <c r="C59" s="405" t="str">
        <v>Component 4</v>
      </c>
      <c r="D59" s="395">
        <v>0</v>
      </c>
      <c r="E59" s="261">
        <f t="shared" si="1"/>
        <v>0</v>
      </c>
      <c r="F59" s="405"/>
      <c r="G59" s="405"/>
      <c r="H59" s="261"/>
      <c r="X59" s="118" t="s">
        <v>11</v>
      </c>
      <c r="Y59" s="403">
        <f>-SUMIFS('Jounal entries final'!$H:$H,'Jounal entries final'!$E:$E,$C$101,'Jounal entries final'!$M:$M,$X59,'Jounal entries final'!$B:$B,E$15,'Jounal entries final'!$C:$C,$F$15)</f>
        <v>0</v>
      </c>
      <c r="Z59" s="404"/>
      <c r="AB59" s="254" t="s">
        <v>32</v>
      </c>
      <c r="AC59" s="403">
        <f>-SUMIFS('Jounal entries final'!$H:$H,'Jounal entries final'!$E:$E,$C$101,'Jounal entries final'!$M:$M,$X59,'Jounal entries final'!$B:$B,E$15-1,'Jounal entries final'!$C:$C,$F$15)</f>
        <v>0</v>
      </c>
    </row>
    <row r="60" spans="2:29" ht="19">
      <c r="B60" s="234"/>
      <c r="C60" s="405" t="str">
        <v>Component 5</v>
      </c>
      <c r="D60" s="395">
        <v>0</v>
      </c>
      <c r="E60" s="261">
        <f t="shared" si="1"/>
        <v>0</v>
      </c>
      <c r="F60" s="405"/>
      <c r="G60" s="405"/>
      <c r="H60" s="261"/>
      <c r="X60" s="118" t="s">
        <v>12</v>
      </c>
      <c r="Y60" s="403">
        <f>-SUMIFS('Jounal entries final'!$H:$H,'Jounal entries final'!$E:$E,$C$101,'Jounal entries final'!$M:$M,$X60,'Jounal entries final'!$B:$B,E$15,'Jounal entries final'!$C:$C,$F$15)</f>
        <v>0</v>
      </c>
      <c r="Z60" s="404"/>
      <c r="AB60" s="254" t="s">
        <v>37</v>
      </c>
      <c r="AC60" s="403">
        <f>-SUMIFS('Jounal entries final'!$H:$H,'Jounal entries final'!$E:$E,$C$101,'Jounal entries final'!$M:$M,$X60,'Jounal entries final'!$B:$B,E$15-1,'Jounal entries final'!$C:$C,$F$15)</f>
        <v>0</v>
      </c>
    </row>
    <row r="61" spans="2:29" ht="19">
      <c r="B61" s="234"/>
      <c r="C61" s="405" t="str">
        <v>Component 6</v>
      </c>
      <c r="D61" s="395">
        <v>0</v>
      </c>
      <c r="E61" s="261">
        <f t="shared" si="1"/>
        <v>0</v>
      </c>
      <c r="F61" s="405"/>
      <c r="G61" s="405"/>
      <c r="H61" s="261"/>
      <c r="X61" s="254" t="s">
        <v>33</v>
      </c>
      <c r="Y61" s="403">
        <f>-SUMIFS('Jounal entries final'!$H:$H,'Jounal entries final'!$E:$E,$C$101,'Jounal entries final'!$M:$M,$X61,'Jounal entries final'!$B:$B,E$15,'Jounal entries final'!$C:$C,$F$15)</f>
        <v>0</v>
      </c>
      <c r="Z61" s="404"/>
      <c r="AB61" s="254" t="s">
        <v>33</v>
      </c>
      <c r="AC61" s="403">
        <f>-SUMIFS('Jounal entries final'!$H:$H,'Jounal entries final'!$E:$E,$C$101,'Jounal entries final'!$M:$M,$X61,'Jounal entries final'!$B:$B,E$15-1,'Jounal entries final'!$C:$C,$F$15)</f>
        <v>0</v>
      </c>
    </row>
    <row r="62" spans="2:29" ht="19">
      <c r="B62" s="234"/>
      <c r="C62" s="255" t="str">
        <v>Client 7</v>
      </c>
      <c r="D62" s="412">
        <v>0</v>
      </c>
      <c r="E62" s="404"/>
      <c r="F62" s="234"/>
      <c r="G62" s="234"/>
      <c r="H62" s="234"/>
    </row>
    <row r="63" spans="2:29">
      <c r="C63" s="236"/>
    </row>
    <row r="64" spans="2:29">
      <c r="C64" s="245"/>
      <c r="D64" s="399"/>
      <c r="W64" s="114" t="s">
        <v>288</v>
      </c>
    </row>
    <row r="65" spans="2:29" ht="18">
      <c r="B65" s="234"/>
      <c r="C65" s="335" t="s">
        <v>241</v>
      </c>
      <c r="D65" s="409" t="s">
        <v>289</v>
      </c>
      <c r="E65" s="335"/>
      <c r="F65" s="234"/>
      <c r="G65" s="731" t="s">
        <v>250</v>
      </c>
      <c r="H65" s="731"/>
    </row>
    <row r="66" spans="2:29" ht="34">
      <c r="B66" s="252"/>
      <c r="C66" s="258"/>
      <c r="D66" s="410"/>
      <c r="E66" s="258"/>
      <c r="F66" s="234"/>
      <c r="G66" s="234"/>
      <c r="H66" s="234"/>
      <c r="X66" s="397"/>
      <c r="Y66" s="397" t="s">
        <v>241</v>
      </c>
      <c r="Z66" s="396"/>
    </row>
    <row r="67" spans="2:29" ht="19">
      <c r="B67" s="234"/>
      <c r="C67" s="397"/>
      <c r="D67" s="396" t="s">
        <v>238</v>
      </c>
      <c r="E67" s="396"/>
      <c r="F67" s="406"/>
      <c r="G67" s="397" t="s">
        <v>241</v>
      </c>
      <c r="H67" s="396"/>
      <c r="X67" s="254" t="s">
        <v>39</v>
      </c>
      <c r="Y67" s="415" t="e">
        <f t="shared" ref="Y67:Y76" si="2">VLOOKUP(X67,$C$184:$O$193,$E$15+1,0)</f>
        <v>#REF!</v>
      </c>
      <c r="Z67" s="404"/>
      <c r="AB67" s="254" t="s">
        <v>39</v>
      </c>
      <c r="AC67" s="403">
        <f>-SUMIFS('Jounal entries final'!$H:$H,'Jounal entries final'!$E:$E,$C$101,'Jounal entries final'!$M:$M,$X67,'Jounal entries final'!$B:$B,E$15-1,'Jounal entries final'!$C:$C,$F$15)</f>
        <v>0</v>
      </c>
    </row>
    <row r="68" spans="2:29" ht="19">
      <c r="B68" s="234"/>
      <c r="C68" s="405"/>
      <c r="D68" s="261"/>
      <c r="E68" s="261"/>
      <c r="F68" s="405"/>
      <c r="G68" s="415" t="e">
        <f t="shared" ref="G68:G77" si="3">VLOOKUP(C68,$C$169:$O$178,$E$15+1,0)</f>
        <v>#N/A</v>
      </c>
      <c r="H68" s="261"/>
      <c r="X68" s="254" t="s">
        <v>31</v>
      </c>
      <c r="Y68" s="415" t="e">
        <f t="shared" si="2"/>
        <v>#REF!</v>
      </c>
      <c r="Z68" s="404"/>
      <c r="AB68" s="254" t="s">
        <v>31</v>
      </c>
      <c r="AC68" s="403">
        <f>-SUMIFS('Jounal entries final'!$H:$H,'Jounal entries final'!$E:$E,$C$101,'Jounal entries final'!$M:$M,$X68,'Jounal entries final'!$B:$B,E$15-1,'Jounal entries final'!$C:$C,$F$15)</f>
        <v>0</v>
      </c>
    </row>
    <row r="69" spans="2:29" ht="19">
      <c r="B69" s="234"/>
      <c r="C69" s="405"/>
      <c r="D69" s="261"/>
      <c r="E69" s="261"/>
      <c r="F69" s="405"/>
      <c r="G69" s="415" t="e">
        <f t="shared" si="3"/>
        <v>#N/A</v>
      </c>
      <c r="H69" s="261"/>
      <c r="X69" s="254" t="s">
        <v>40</v>
      </c>
      <c r="Y69" s="415" t="e">
        <f t="shared" si="2"/>
        <v>#REF!</v>
      </c>
      <c r="Z69" s="404"/>
      <c r="AB69" s="254" t="s">
        <v>40</v>
      </c>
      <c r="AC69" s="403">
        <f>-SUMIFS('Jounal entries final'!$H:$H,'Jounal entries final'!$E:$E,$C$101,'Jounal entries final'!$M:$M,$X69,'Jounal entries final'!$B:$B,E$15-1,'Jounal entries final'!$C:$C,$F$15)</f>
        <v>0</v>
      </c>
    </row>
    <row r="70" spans="2:29" ht="19">
      <c r="B70" s="234"/>
      <c r="C70" s="405"/>
      <c r="D70" s="261"/>
      <c r="E70" s="261"/>
      <c r="F70" s="405"/>
      <c r="G70" s="415" t="e">
        <f t="shared" si="3"/>
        <v>#N/A</v>
      </c>
      <c r="H70" s="261"/>
      <c r="X70" s="254" t="s">
        <v>36</v>
      </c>
      <c r="Y70" s="415" t="e">
        <f t="shared" si="2"/>
        <v>#REF!</v>
      </c>
      <c r="Z70" s="404"/>
      <c r="AB70" s="254" t="s">
        <v>36</v>
      </c>
      <c r="AC70" s="403">
        <f>-SUMIFS('Jounal entries final'!$H:$H,'Jounal entries final'!$E:$E,$C$101,'Jounal entries final'!$M:$M,$X70,'Jounal entries final'!$B:$B,E$15-1,'Jounal entries final'!$C:$C,$F$15)</f>
        <v>0</v>
      </c>
    </row>
    <row r="71" spans="2:29" ht="19">
      <c r="B71" s="234"/>
      <c r="C71" s="405"/>
      <c r="D71" s="261"/>
      <c r="E71" s="261"/>
      <c r="F71" s="405"/>
      <c r="G71" s="415" t="e">
        <f t="shared" si="3"/>
        <v>#N/A</v>
      </c>
      <c r="H71" s="261"/>
      <c r="X71" s="254" t="s">
        <v>32</v>
      </c>
      <c r="Y71" s="415" t="e">
        <f t="shared" si="2"/>
        <v>#REF!</v>
      </c>
      <c r="Z71" s="404"/>
      <c r="AB71" s="254" t="s">
        <v>32</v>
      </c>
      <c r="AC71" s="403">
        <f>-SUMIFS('Jounal entries final'!$H:$H,'Jounal entries final'!$E:$E,$C$101,'Jounal entries final'!$M:$M,$X71,'Jounal entries final'!$B:$B,E$15-1,'Jounal entries final'!$C:$C,$F$15)</f>
        <v>0</v>
      </c>
    </row>
    <row r="72" spans="2:29" ht="19">
      <c r="B72" s="234"/>
      <c r="C72" s="405"/>
      <c r="D72" s="261"/>
      <c r="E72" s="261"/>
      <c r="F72" s="405"/>
      <c r="G72" s="415" t="e">
        <f t="shared" si="3"/>
        <v>#N/A</v>
      </c>
      <c r="H72" s="261"/>
      <c r="X72" s="254" t="s">
        <v>37</v>
      </c>
      <c r="Y72" s="415" t="e">
        <f t="shared" si="2"/>
        <v>#REF!</v>
      </c>
      <c r="Z72" s="404"/>
      <c r="AB72" s="254" t="s">
        <v>37</v>
      </c>
      <c r="AC72" s="403">
        <f>-SUMIFS('Jounal entries final'!$H:$H,'Jounal entries final'!$E:$E,$C$101,'Jounal entries final'!$M:$M,$X72,'Jounal entries final'!$B:$B,E$15-1,'Jounal entries final'!$C:$C,$F$15)</f>
        <v>0</v>
      </c>
    </row>
    <row r="73" spans="2:29" ht="19">
      <c r="B73" s="234"/>
      <c r="C73" s="405"/>
      <c r="D73" s="261"/>
      <c r="E73" s="261"/>
      <c r="F73" s="405"/>
      <c r="G73" s="415" t="e">
        <f t="shared" si="3"/>
        <v>#N/A</v>
      </c>
      <c r="H73" s="261"/>
      <c r="X73" s="254" t="s">
        <v>33</v>
      </c>
      <c r="Y73" s="415" t="e">
        <f t="shared" si="2"/>
        <v>#REF!</v>
      </c>
      <c r="Z73" s="404"/>
      <c r="AB73" s="254" t="s">
        <v>33</v>
      </c>
      <c r="AC73" s="403">
        <f>-SUMIFS('Jounal entries final'!$H:$H,'Jounal entries final'!$E:$E,$C$101,'Jounal entries final'!$M:$M,$X73,'Jounal entries final'!$B:$B,E$15-1,'Jounal entries final'!$C:$C,$F$15)</f>
        <v>0</v>
      </c>
    </row>
    <row r="74" spans="2:29" ht="19">
      <c r="B74" s="234"/>
      <c r="C74" s="405"/>
      <c r="D74" s="261"/>
      <c r="E74" s="261"/>
      <c r="F74" s="405"/>
      <c r="G74" s="415" t="e">
        <f t="shared" si="3"/>
        <v>#N/A</v>
      </c>
      <c r="H74" s="261"/>
      <c r="X74" s="254" t="s">
        <v>38</v>
      </c>
      <c r="Y74" s="415" t="e">
        <f t="shared" si="2"/>
        <v>#REF!</v>
      </c>
      <c r="Z74" s="404"/>
      <c r="AB74" s="254" t="s">
        <v>38</v>
      </c>
      <c r="AC74" s="403">
        <f>-SUMIFS('Jounal entries final'!$H:$H,'Jounal entries final'!$E:$E,$C$101,'Jounal entries final'!$M:$M,$X74,'Jounal entries final'!$B:$B,E$15-1,'Jounal entries final'!$C:$C,$F$15)</f>
        <v>0</v>
      </c>
    </row>
    <row r="75" spans="2:29" ht="19">
      <c r="B75" s="234"/>
      <c r="C75" s="405"/>
      <c r="D75" s="261"/>
      <c r="E75" s="261"/>
      <c r="F75" s="405"/>
      <c r="G75" s="415" t="e">
        <f t="shared" si="3"/>
        <v>#N/A</v>
      </c>
      <c r="H75" s="261"/>
      <c r="X75" s="254" t="s">
        <v>34</v>
      </c>
      <c r="Y75" s="415" t="e">
        <f t="shared" si="2"/>
        <v>#REF!</v>
      </c>
      <c r="Z75" s="404"/>
      <c r="AB75" s="254" t="s">
        <v>34</v>
      </c>
      <c r="AC75" s="403">
        <f>-SUMIFS('Jounal entries final'!$H:$H,'Jounal entries final'!$E:$E,$C$101,'Jounal entries final'!$M:$M,$X75,'Jounal entries final'!$B:$B,E$15-1,'Jounal entries final'!$C:$C,$F$15)</f>
        <v>0</v>
      </c>
    </row>
    <row r="76" spans="2:29" ht="19">
      <c r="B76" s="234"/>
      <c r="C76" s="405"/>
      <c r="D76" s="261"/>
      <c r="E76" s="261"/>
      <c r="F76" s="405"/>
      <c r="G76" s="415" t="e">
        <f t="shared" si="3"/>
        <v>#N/A</v>
      </c>
      <c r="H76" s="261"/>
      <c r="X76" s="254" t="s">
        <v>35</v>
      </c>
      <c r="Y76" s="415" t="e">
        <f t="shared" si="2"/>
        <v>#REF!</v>
      </c>
      <c r="Z76" s="404"/>
      <c r="AB76" s="254" t="s">
        <v>35</v>
      </c>
      <c r="AC76" s="403">
        <f>-SUMIFS('Jounal entries final'!$H:$H,'Jounal entries final'!$E:$E,$C$101,'Jounal entries final'!$M:$M,$X76,'Jounal entries final'!$B:$B,E$15-1,'Jounal entries final'!$C:$C,$F$15)</f>
        <v>0</v>
      </c>
    </row>
    <row r="77" spans="2:29" ht="19">
      <c r="B77" s="234"/>
      <c r="C77" s="405"/>
      <c r="D77" s="261"/>
      <c r="E77" s="261"/>
      <c r="F77" s="405"/>
      <c r="G77" s="415" t="e">
        <f t="shared" si="3"/>
        <v>#N/A</v>
      </c>
      <c r="H77" s="261"/>
    </row>
    <row r="78" spans="2:29" ht="19">
      <c r="B78" s="234"/>
      <c r="C78" s="255"/>
      <c r="D78" s="412"/>
      <c r="E78" s="404"/>
      <c r="F78" s="234"/>
      <c r="G78" s="234"/>
      <c r="H78" s="234"/>
    </row>
    <row r="79" spans="2:29">
      <c r="C79" s="236"/>
    </row>
    <row r="80" spans="2:29">
      <c r="C80" s="236"/>
    </row>
    <row r="81" spans="2:16">
      <c r="C81" s="236"/>
    </row>
    <row r="82" spans="2:16" ht="18">
      <c r="C82" s="408" t="s">
        <v>284</v>
      </c>
      <c r="D82" s="399"/>
    </row>
    <row r="83" spans="2:16" ht="186" customHeight="1">
      <c r="C83" s="784" t="s">
        <v>285</v>
      </c>
      <c r="D83" s="785"/>
      <c r="E83" s="785"/>
      <c r="F83" s="785"/>
      <c r="G83" s="785"/>
      <c r="H83" s="785"/>
      <c r="I83" s="785"/>
      <c r="J83" s="785"/>
      <c r="K83" s="785"/>
      <c r="L83" s="785"/>
      <c r="M83" s="785"/>
      <c r="N83" s="785"/>
      <c r="O83" s="786"/>
    </row>
    <row r="84" spans="2:16" ht="15.5" customHeight="1">
      <c r="C84" s="787"/>
      <c r="D84" s="788"/>
      <c r="E84" s="788"/>
      <c r="F84" s="788"/>
      <c r="G84" s="788"/>
      <c r="H84" s="788"/>
      <c r="I84" s="788"/>
      <c r="J84" s="788"/>
      <c r="K84" s="788"/>
      <c r="L84" s="788"/>
      <c r="M84" s="788"/>
      <c r="N84" s="788"/>
      <c r="O84" s="789"/>
    </row>
    <row r="85" spans="2:16" ht="15.5" customHeight="1">
      <c r="C85" s="787"/>
      <c r="D85" s="788"/>
      <c r="E85" s="788"/>
      <c r="F85" s="788"/>
      <c r="G85" s="788"/>
      <c r="H85" s="788"/>
      <c r="I85" s="788"/>
      <c r="J85" s="788"/>
      <c r="K85" s="788"/>
      <c r="L85" s="788"/>
      <c r="M85" s="788"/>
      <c r="N85" s="788"/>
      <c r="O85" s="789"/>
    </row>
    <row r="86" spans="2:16" ht="15.5" customHeight="1">
      <c r="C86" s="787"/>
      <c r="D86" s="788"/>
      <c r="E86" s="788"/>
      <c r="F86" s="788"/>
      <c r="G86" s="788"/>
      <c r="H86" s="788"/>
      <c r="I86" s="788"/>
      <c r="J86" s="788"/>
      <c r="K86" s="788"/>
      <c r="L86" s="788"/>
      <c r="M86" s="788"/>
      <c r="N86" s="788"/>
      <c r="O86" s="789"/>
    </row>
    <row r="87" spans="2:16" ht="15.5" customHeight="1">
      <c r="C87" s="787"/>
      <c r="D87" s="788"/>
      <c r="E87" s="788"/>
      <c r="F87" s="788"/>
      <c r="G87" s="788"/>
      <c r="H87" s="788"/>
      <c r="I87" s="788"/>
      <c r="J87" s="788"/>
      <c r="K87" s="788"/>
      <c r="L87" s="788"/>
      <c r="M87" s="788"/>
      <c r="N87" s="788"/>
      <c r="O87" s="789"/>
    </row>
    <row r="88" spans="2:16" ht="15.5" customHeight="1">
      <c r="C88" s="790"/>
      <c r="D88" s="791"/>
      <c r="E88" s="791"/>
      <c r="F88" s="791"/>
      <c r="G88" s="791"/>
      <c r="H88" s="791"/>
      <c r="I88" s="791"/>
      <c r="J88" s="791"/>
      <c r="K88" s="791"/>
      <c r="L88" s="791"/>
      <c r="M88" s="791"/>
      <c r="N88" s="791"/>
      <c r="O88" s="792"/>
    </row>
    <row r="89" spans="2:16">
      <c r="C89" s="245"/>
      <c r="D89" s="399"/>
    </row>
    <row r="90" spans="2:16">
      <c r="C90" s="245"/>
      <c r="D90" s="399"/>
    </row>
    <row r="91" spans="2:16">
      <c r="C91" s="245"/>
      <c r="D91" s="399"/>
    </row>
    <row r="92" spans="2:16" ht="18" customHeight="1">
      <c r="B92" s="234"/>
      <c r="C92" s="251"/>
      <c r="D92" s="413"/>
      <c r="E92" s="234"/>
      <c r="F92" s="234"/>
      <c r="G92" s="251"/>
      <c r="H92" s="234"/>
      <c r="I92" s="234"/>
      <c r="J92" s="234"/>
      <c r="K92" s="251"/>
      <c r="L92" s="234"/>
      <c r="M92" s="234"/>
      <c r="N92" s="234"/>
      <c r="O92" s="251"/>
      <c r="P92" s="234"/>
    </row>
    <row r="93" spans="2:16" ht="22">
      <c r="B93" s="252"/>
      <c r="C93" s="719" t="s">
        <v>143</v>
      </c>
      <c r="D93" s="719"/>
      <c r="E93" s="719"/>
      <c r="F93" s="252"/>
      <c r="G93" s="719"/>
      <c r="H93" s="719"/>
      <c r="I93" s="719"/>
      <c r="J93" s="252"/>
      <c r="K93" s="719"/>
      <c r="L93" s="719"/>
      <c r="M93" s="719"/>
      <c r="N93" s="252"/>
      <c r="O93" s="391"/>
      <c r="P93" s="391"/>
    </row>
    <row r="94" spans="2:16" ht="34">
      <c r="B94" s="234"/>
      <c r="C94" s="258"/>
      <c r="D94" s="370" t="s">
        <v>17</v>
      </c>
      <c r="E94" s="370" t="s">
        <v>18</v>
      </c>
      <c r="F94" s="370" t="s">
        <v>19</v>
      </c>
      <c r="G94" s="370" t="s">
        <v>20</v>
      </c>
      <c r="H94" s="370" t="s">
        <v>21</v>
      </c>
      <c r="I94" s="370" t="s">
        <v>22</v>
      </c>
      <c r="J94" s="370" t="s">
        <v>23</v>
      </c>
      <c r="K94" s="370" t="s">
        <v>24</v>
      </c>
      <c r="L94" s="370" t="s">
        <v>25</v>
      </c>
      <c r="M94" s="370" t="s">
        <v>26</v>
      </c>
      <c r="N94" s="370" t="s">
        <v>27</v>
      </c>
      <c r="O94" s="370" t="s">
        <v>28</v>
      </c>
      <c r="P94" s="114"/>
    </row>
    <row r="95" spans="2:16" ht="19">
      <c r="B95" s="234"/>
      <c r="C95" s="254" t="s">
        <v>278</v>
      </c>
      <c r="D95" s="402"/>
      <c r="E95" s="393">
        <f t="shared" ref="E95:O95" si="4">((E101/E112)-(D101/D112))*E112</f>
        <v>-40589.034626030465</v>
      </c>
      <c r="F95" s="393">
        <f t="shared" si="4"/>
        <v>313703.73629803892</v>
      </c>
      <c r="G95" s="393">
        <f t="shared" si="4"/>
        <v>-375942.85831365047</v>
      </c>
      <c r="H95" s="393">
        <f t="shared" si="4"/>
        <v>668885.75903647346</v>
      </c>
      <c r="I95" s="393">
        <f t="shared" si="4"/>
        <v>-1171137.3821926331</v>
      </c>
      <c r="J95" s="393">
        <f t="shared" si="4"/>
        <v>799714.81036942289</v>
      </c>
      <c r="K95" s="393">
        <f t="shared" si="4"/>
        <v>464923.00249648525</v>
      </c>
      <c r="L95" s="393">
        <f t="shared" si="4"/>
        <v>-592655.94640461274</v>
      </c>
      <c r="M95" s="393">
        <f t="shared" si="4"/>
        <v>198067.89171013766</v>
      </c>
      <c r="N95" s="393">
        <f t="shared" si="4"/>
        <v>-206409.26706676491</v>
      </c>
      <c r="O95" s="393">
        <f t="shared" si="4"/>
        <v>-478238.95799912146</v>
      </c>
      <c r="P95" s="385"/>
    </row>
    <row r="96" spans="2:16" ht="19">
      <c r="B96" s="234"/>
      <c r="C96" s="254" t="s">
        <v>277</v>
      </c>
      <c r="D96" s="402"/>
      <c r="E96" s="393">
        <f t="shared" ref="E96:O96" si="5">(E112-D112)*(D101/D112)</f>
        <v>-1498645.9173739715</v>
      </c>
      <c r="F96" s="393">
        <f t="shared" si="5"/>
        <v>-928773.58229804039</v>
      </c>
      <c r="G96" s="393">
        <f t="shared" si="5"/>
        <v>1549986.9123136513</v>
      </c>
      <c r="H96" s="393">
        <f t="shared" si="5"/>
        <v>-769565.35903647367</v>
      </c>
      <c r="I96" s="393">
        <f t="shared" si="5"/>
        <v>-435599.87780736818</v>
      </c>
      <c r="J96" s="393">
        <f t="shared" si="5"/>
        <v>972042.7616305768</v>
      </c>
      <c r="K96" s="393">
        <f t="shared" si="5"/>
        <v>-1171733.1384964841</v>
      </c>
      <c r="L96" s="393">
        <f t="shared" si="5"/>
        <v>-149790.19759538778</v>
      </c>
      <c r="M96" s="393">
        <f t="shared" si="5"/>
        <v>-38493.281710136267</v>
      </c>
      <c r="N96" s="393">
        <f t="shared" si="5"/>
        <v>372687.0910667674</v>
      </c>
      <c r="O96" s="393">
        <f t="shared" si="5"/>
        <v>-279506.92400088749</v>
      </c>
      <c r="P96" s="392"/>
    </row>
    <row r="97" spans="2:16" ht="18">
      <c r="B97" s="234"/>
      <c r="C97" s="255" t="s">
        <v>280</v>
      </c>
      <c r="D97" s="411"/>
      <c r="E97" s="394">
        <f>E101-D101</f>
        <v>-1539234.9520000014</v>
      </c>
      <c r="F97" s="394">
        <f>F101-E101</f>
        <v>-615069.8460000027</v>
      </c>
      <c r="G97" s="394">
        <f t="shared" ref="G97:O97" si="6">G101-F101</f>
        <v>1174044.0540000014</v>
      </c>
      <c r="H97" s="394">
        <f t="shared" si="6"/>
        <v>-100679.59999999963</v>
      </c>
      <c r="I97" s="394">
        <f t="shared" si="6"/>
        <v>-1606737.2600000016</v>
      </c>
      <c r="J97" s="394">
        <f t="shared" si="6"/>
        <v>1771757.5719999988</v>
      </c>
      <c r="K97" s="394">
        <f t="shared" si="6"/>
        <v>-706810.13599999808</v>
      </c>
      <c r="L97" s="394">
        <f t="shared" si="6"/>
        <v>-742446.14400000032</v>
      </c>
      <c r="M97" s="394">
        <f t="shared" si="6"/>
        <v>159574.61000000034</v>
      </c>
      <c r="N97" s="394">
        <f t="shared" si="6"/>
        <v>166277.82400000282</v>
      </c>
      <c r="O97" s="394">
        <f t="shared" si="6"/>
        <v>-757745.8820000086</v>
      </c>
      <c r="P97" s="256"/>
    </row>
    <row r="98" spans="2:16">
      <c r="C98" s="245"/>
      <c r="D98" s="399"/>
    </row>
    <row r="99" spans="2:16" ht="22">
      <c r="B99" s="252"/>
      <c r="C99" s="335" t="s">
        <v>143</v>
      </c>
      <c r="D99" s="387">
        <v>1</v>
      </c>
      <c r="E99" s="387">
        <v>2</v>
      </c>
      <c r="F99" s="387">
        <v>3</v>
      </c>
      <c r="G99" s="387">
        <v>4</v>
      </c>
      <c r="H99" s="387">
        <v>5</v>
      </c>
      <c r="I99" s="387">
        <v>6</v>
      </c>
      <c r="J99" s="387">
        <v>7</v>
      </c>
      <c r="K99" s="387">
        <v>8</v>
      </c>
      <c r="L99" s="387">
        <v>9</v>
      </c>
      <c r="M99" s="387">
        <v>10</v>
      </c>
      <c r="N99" s="387">
        <v>11</v>
      </c>
      <c r="O99" s="387">
        <v>12</v>
      </c>
      <c r="P99" s="234"/>
    </row>
    <row r="100" spans="2:16" ht="18" customHeight="1">
      <c r="B100" s="234"/>
      <c r="C100" s="369"/>
      <c r="D100" s="370" t="s">
        <v>17</v>
      </c>
      <c r="E100" s="370" t="s">
        <v>18</v>
      </c>
      <c r="F100" s="370" t="s">
        <v>19</v>
      </c>
      <c r="G100" s="370" t="s">
        <v>20</v>
      </c>
      <c r="H100" s="370" t="s">
        <v>21</v>
      </c>
      <c r="I100" s="370" t="s">
        <v>22</v>
      </c>
      <c r="J100" s="370" t="s">
        <v>23</v>
      </c>
      <c r="K100" s="370" t="s">
        <v>24</v>
      </c>
      <c r="L100" s="370" t="s">
        <v>25</v>
      </c>
      <c r="M100" s="370" t="s">
        <v>26</v>
      </c>
      <c r="N100" s="370" t="s">
        <v>27</v>
      </c>
      <c r="O100" s="370" t="s">
        <v>28</v>
      </c>
      <c r="P100" s="362"/>
    </row>
    <row r="101" spans="2:16">
      <c r="B101" s="234"/>
      <c r="C101" s="119" t="s">
        <v>143</v>
      </c>
      <c r="D101" s="407">
        <f>SUMIFS('Jounal entries final'!$H:$H,'Jounal entries final'!$E:$E,$C101,'Jounal entries final'!$B:$B,D99,'Jounal entries final'!$C:$C,'Cost analysis'!$F$15)</f>
        <v>10562853.030000003</v>
      </c>
      <c r="E101" s="407">
        <f>SUMIFS('Jounal entries final'!$H:$H,'Jounal entries final'!$E:$E,$C101,'Jounal entries final'!$B:$B,E99,'Jounal entries final'!$C:$C,'Cost analysis'!$F$15)</f>
        <v>9023618.0780000016</v>
      </c>
      <c r="F101" s="407">
        <f>SUMIFS('Jounal entries final'!$H:$H,'Jounal entries final'!$E:$E,$C101,'Jounal entries final'!$B:$B,F99,'Jounal entries final'!$C:$C,'Cost analysis'!$F$15)</f>
        <v>8408548.2319999989</v>
      </c>
      <c r="G101" s="407">
        <f>SUMIFS('Jounal entries final'!$H:$H,'Jounal entries final'!$E:$E,$C101,'Jounal entries final'!$B:$B,G99,'Jounal entries final'!$C:$C,'Cost analysis'!$F$15)</f>
        <v>9582592.2860000003</v>
      </c>
      <c r="H101" s="407">
        <f>SUMIFS('Jounal entries final'!$H:$H,'Jounal entries final'!$E:$E,$C101,'Jounal entries final'!$B:$B,H99,'Jounal entries final'!$C:$C,'Cost analysis'!$F$15)</f>
        <v>9481912.6860000007</v>
      </c>
      <c r="I101" s="407">
        <f>SUMIFS('Jounal entries final'!$H:$H,'Jounal entries final'!$E:$E,$C101,'Jounal entries final'!$B:$B,I99,'Jounal entries final'!$C:$C,'Cost analysis'!$F$15)</f>
        <v>7875175.425999999</v>
      </c>
      <c r="J101" s="407">
        <f>SUMIFS('Jounal entries final'!$H:$H,'Jounal entries final'!$E:$E,$C101,'Jounal entries final'!$B:$B,J99,'Jounal entries final'!$C:$C,'Cost analysis'!$F$15)</f>
        <v>9646932.9979999978</v>
      </c>
      <c r="K101" s="407">
        <f>SUMIFS('Jounal entries final'!$H:$H,'Jounal entries final'!$E:$E,$C101,'Jounal entries final'!$B:$B,K99,'Jounal entries final'!$C:$C,'Cost analysis'!$F$15)</f>
        <v>8940122.8619999997</v>
      </c>
      <c r="L101" s="407">
        <f>SUMIFS('Jounal entries final'!$H:$H,'Jounal entries final'!$E:$E,$C101,'Jounal entries final'!$B:$B,L99,'Jounal entries final'!$C:$C,'Cost analysis'!$F$15)</f>
        <v>8197676.7179999994</v>
      </c>
      <c r="M101" s="407">
        <f>SUMIFS('Jounal entries final'!$H:$H,'Jounal entries final'!$E:$E,$C101,'Jounal entries final'!$B:$B,M99,'Jounal entries final'!$C:$C,'Cost analysis'!$F$15)</f>
        <v>8357251.3279999997</v>
      </c>
      <c r="N101" s="407">
        <f>SUMIFS('Jounal entries final'!$H:$H,'Jounal entries final'!$E:$E,$C101,'Jounal entries final'!$B:$B,N99,'Jounal entries final'!$C:$C,'Cost analysis'!$F$15)</f>
        <v>8523529.1520000026</v>
      </c>
      <c r="O101" s="407">
        <f>SUMIFS('Jounal entries final'!$H:$H,'Jounal entries final'!$E:$E,$C101,'Jounal entries final'!$B:$B,O99,'Jounal entries final'!$C:$C,'Cost analysis'!$F$15)</f>
        <v>7765783.269999994</v>
      </c>
      <c r="P101" s="114"/>
    </row>
    <row r="102" spans="2:16" ht="18" customHeight="1">
      <c r="B102" s="114"/>
      <c r="C102" s="118" t="s">
        <v>3</v>
      </c>
      <c r="D102" s="379">
        <f>SUMIFS('Jounal entries final'!$F:$F,'Jounal entries final'!$E:$E,$C$99,'Jounal entries final'!$M:$M,$C102,'Jounal entries final'!$B:$B,D$99,'Jounal entries final'!$C:$C,$F$15)</f>
        <v>858169.20000000007</v>
      </c>
      <c r="E102" s="379">
        <f>SUMIFS('Jounal entries final'!$F:$F,'Jounal entries final'!$E:$E,$C$99,'Jounal entries final'!$M:$M,$C102,'Jounal entries final'!$B:$B,E$99,'Jounal entries final'!$C:$C,$F$15)</f>
        <v>927914.8</v>
      </c>
      <c r="F102" s="379">
        <f>SUMIFS('Jounal entries final'!$F:$F,'Jounal entries final'!$E:$E,$C$99,'Jounal entries final'!$M:$M,$C102,'Jounal entries final'!$B:$B,F$99,'Jounal entries final'!$C:$C,$F$15)</f>
        <v>404875.6</v>
      </c>
      <c r="G102" s="379">
        <f>SUMIFS('Jounal entries final'!$F:$F,'Jounal entries final'!$E:$E,$C$99,'Jounal entries final'!$M:$M,$C102,'Jounal entries final'!$B:$B,G$99,'Jounal entries final'!$C:$C,$F$15)</f>
        <v>758612.40000000014</v>
      </c>
      <c r="H102" s="379">
        <f>SUMIFS('Jounal entries final'!$F:$F,'Jounal entries final'!$E:$E,$C$99,'Jounal entries final'!$M:$M,$C102,'Jounal entries final'!$B:$B,H$99,'Jounal entries final'!$C:$C,$F$15)</f>
        <v>661583.20000000007</v>
      </c>
      <c r="I102" s="379">
        <f>SUMIFS('Jounal entries final'!$F:$F,'Jounal entries final'!$E:$E,$C$99,'Jounal entries final'!$M:$M,$C102,'Jounal entries final'!$B:$B,I$99,'Jounal entries final'!$C:$C,$F$15)</f>
        <v>563456.80000000005</v>
      </c>
      <c r="J102" s="379">
        <f>SUMIFS('Jounal entries final'!$F:$F,'Jounal entries final'!$E:$E,$C$99,'Jounal entries final'!$M:$M,$C102,'Jounal entries final'!$B:$B,J$99,'Jounal entries final'!$C:$C,$F$15)</f>
        <v>704544.79999999993</v>
      </c>
      <c r="K102" s="379">
        <f>SUMIFS('Jounal entries final'!$F:$F,'Jounal entries final'!$E:$E,$C$99,'Jounal entries final'!$M:$M,$C102,'Jounal entries final'!$B:$B,K$99,'Jounal entries final'!$C:$C,$F$15)</f>
        <v>729079.2</v>
      </c>
      <c r="L102" s="379">
        <f>SUMIFS('Jounal entries final'!$F:$F,'Jounal entries final'!$E:$E,$C$99,'Jounal entries final'!$M:$M,$C102,'Jounal entries final'!$B:$B,L$99,'Jounal entries final'!$C:$C,$F$15)</f>
        <v>715560.8</v>
      </c>
      <c r="M102" s="379">
        <f>SUMIFS('Jounal entries final'!$F:$F,'Jounal entries final'!$E:$E,$C$99,'Jounal entries final'!$M:$M,$C102,'Jounal entries final'!$B:$B,M$99,'Jounal entries final'!$C:$C,$F$15)</f>
        <v>851001.59999999986</v>
      </c>
      <c r="N102" s="379">
        <f>SUMIFS('Jounal entries final'!$F:$F,'Jounal entries final'!$E:$E,$C$99,'Jounal entries final'!$M:$M,$C102,'Jounal entries final'!$B:$B,N$99,'Jounal entries final'!$C:$C,$F$15)</f>
        <v>636362.39999999991</v>
      </c>
      <c r="O102" s="379">
        <f>SUMIFS('Jounal entries final'!$F:$F,'Jounal entries final'!$E:$E,$C$99,'Jounal entries final'!$M:$M,$C102,'Jounal entries final'!$B:$B,O$99,'Jounal entries final'!$C:$C,$F$15)</f>
        <v>918443.20000000019</v>
      </c>
      <c r="P102" s="114"/>
    </row>
    <row r="103" spans="2:16" ht="18" customHeight="1">
      <c r="B103" s="234"/>
      <c r="C103" s="118" t="s">
        <v>4</v>
      </c>
      <c r="D103" s="379">
        <f>SUMIFS('Jounal entries final'!$F:$F,'Jounal entries final'!$E:$E,$C$99,'Jounal entries final'!$M:$M,$C103,'Jounal entries final'!$B:$B,D$99,'Jounal entries final'!$C:$C,$F$15)</f>
        <v>975874.68</v>
      </c>
      <c r="E103" s="379">
        <f>SUMIFS('Jounal entries final'!$F:$F,'Jounal entries final'!$E:$E,$C$99,'Jounal entries final'!$M:$M,$C103,'Jounal entries final'!$B:$B,E$99,'Jounal entries final'!$C:$C,$F$15)</f>
        <v>925831.55999999982</v>
      </c>
      <c r="F103" s="379">
        <f>SUMIFS('Jounal entries final'!$F:$F,'Jounal entries final'!$E:$E,$C$99,'Jounal entries final'!$M:$M,$C103,'Jounal entries final'!$B:$B,F$99,'Jounal entries final'!$C:$C,$F$15)</f>
        <v>830798.7</v>
      </c>
      <c r="G103" s="379">
        <f>SUMIFS('Jounal entries final'!$F:$F,'Jounal entries final'!$E:$E,$C$99,'Jounal entries final'!$M:$M,$C103,'Jounal entries final'!$B:$B,G$99,'Jounal entries final'!$C:$C,$F$15)</f>
        <v>989612.88</v>
      </c>
      <c r="H103" s="379">
        <f>SUMIFS('Jounal entries final'!$F:$F,'Jounal entries final'!$E:$E,$C$99,'Jounal entries final'!$M:$M,$C103,'Jounal entries final'!$B:$B,H$99,'Jounal entries final'!$C:$C,$F$15)</f>
        <v>957947.75999999989</v>
      </c>
      <c r="I103" s="379">
        <f>SUMIFS('Jounal entries final'!$F:$F,'Jounal entries final'!$E:$E,$C$99,'Jounal entries final'!$M:$M,$C103,'Jounal entries final'!$B:$B,I$99,'Jounal entries final'!$C:$C,$F$15)</f>
        <v>838781.94</v>
      </c>
      <c r="J103" s="379">
        <f>SUMIFS('Jounal entries final'!$F:$F,'Jounal entries final'!$E:$E,$C$99,'Jounal entries final'!$M:$M,$C103,'Jounal entries final'!$B:$B,J$99,'Jounal entries final'!$C:$C,$F$15)</f>
        <v>934816.88000000012</v>
      </c>
      <c r="K103" s="379">
        <f>SUMIFS('Jounal entries final'!$F:$F,'Jounal entries final'!$E:$E,$C$99,'Jounal entries final'!$M:$M,$C103,'Jounal entries final'!$B:$B,K$99,'Jounal entries final'!$C:$C,$F$15)</f>
        <v>822659.91999999993</v>
      </c>
      <c r="L103" s="379">
        <f>SUMIFS('Jounal entries final'!$F:$F,'Jounal entries final'!$E:$E,$C$99,'Jounal entries final'!$M:$M,$C103,'Jounal entries final'!$B:$B,L$99,'Jounal entries final'!$C:$C,$F$15)</f>
        <v>843424.5</v>
      </c>
      <c r="M103" s="379">
        <f>SUMIFS('Jounal entries final'!$F:$F,'Jounal entries final'!$E:$E,$C$99,'Jounal entries final'!$M:$M,$C103,'Jounal entries final'!$B:$B,M$99,'Jounal entries final'!$C:$C,$F$15)</f>
        <v>851028.88000000012</v>
      </c>
      <c r="N103" s="379">
        <f>SUMIFS('Jounal entries final'!$F:$F,'Jounal entries final'!$E:$E,$C$99,'Jounal entries final'!$M:$M,$C103,'Jounal entries final'!$B:$B,N$99,'Jounal entries final'!$C:$C,$F$15)</f>
        <v>790902.6399999999</v>
      </c>
      <c r="O103" s="379">
        <f>SUMIFS('Jounal entries final'!$F:$F,'Jounal entries final'!$E:$E,$C$99,'Jounal entries final'!$M:$M,$C103,'Jounal entries final'!$B:$B,O$99,'Jounal entries final'!$C:$C,$F$15)</f>
        <v>825855.3</v>
      </c>
      <c r="P103" s="364">
        <f>SUMIFS('Jounal entries final'!$H:$H,'Jounal entries final'!$E:$E,$C103,'Jounal entries final'!$B:$B,P$15,'Jounal entries final'!$C:$C,$Q$15)</f>
        <v>0</v>
      </c>
    </row>
    <row r="104" spans="2:16" ht="18" customHeight="1">
      <c r="B104" s="252"/>
      <c r="C104" s="118" t="s">
        <v>5</v>
      </c>
      <c r="D104" s="379">
        <f>SUMIFS('Jounal entries final'!$F:$F,'Jounal entries final'!$E:$E,$C$99,'Jounal entries final'!$M:$M,$C104,'Jounal entries final'!$B:$B,D$99,'Jounal entries final'!$C:$C,$F$15)</f>
        <v>2491318.9500000002</v>
      </c>
      <c r="E104" s="379">
        <f>SUMIFS('Jounal entries final'!$F:$F,'Jounal entries final'!$E:$E,$C$99,'Jounal entries final'!$M:$M,$C104,'Jounal entries final'!$B:$B,E$99,'Jounal entries final'!$C:$C,$F$15)</f>
        <v>1954768.8699999999</v>
      </c>
      <c r="F104" s="379">
        <f>SUMIFS('Jounal entries final'!$F:$F,'Jounal entries final'!$E:$E,$C$99,'Jounal entries final'!$M:$M,$C104,'Jounal entries final'!$B:$B,F$99,'Jounal entries final'!$C:$C,$F$15)</f>
        <v>2022844.58</v>
      </c>
      <c r="G104" s="379">
        <f>SUMIFS('Jounal entries final'!$F:$F,'Jounal entries final'!$E:$E,$C$99,'Jounal entries final'!$M:$M,$C104,'Jounal entries final'!$B:$B,G$99,'Jounal entries final'!$C:$C,$F$15)</f>
        <v>2277808.23</v>
      </c>
      <c r="H104" s="379">
        <f>SUMIFS('Jounal entries final'!$F:$F,'Jounal entries final'!$E:$E,$C$99,'Jounal entries final'!$M:$M,$C104,'Jounal entries final'!$B:$B,H$99,'Jounal entries final'!$C:$C,$F$15)</f>
        <v>2363213.31</v>
      </c>
      <c r="I104" s="379">
        <f>SUMIFS('Jounal entries final'!$F:$F,'Jounal entries final'!$E:$E,$C$99,'Jounal entries final'!$M:$M,$C104,'Jounal entries final'!$B:$B,I$99,'Jounal entries final'!$C:$C,$F$15)</f>
        <v>1794753.0600000003</v>
      </c>
      <c r="J104" s="379">
        <f>SUMIFS('Jounal entries final'!$F:$F,'Jounal entries final'!$E:$E,$C$99,'Jounal entries final'!$M:$M,$C104,'Jounal entries final'!$B:$B,J$99,'Jounal entries final'!$C:$C,$F$15)</f>
        <v>2350592.4800000004</v>
      </c>
      <c r="K104" s="379">
        <f>SUMIFS('Jounal entries final'!$F:$F,'Jounal entries final'!$E:$E,$C$99,'Jounal entries final'!$M:$M,$C104,'Jounal entries final'!$B:$B,K$99,'Jounal entries final'!$C:$C,$F$15)</f>
        <v>1968576.92</v>
      </c>
      <c r="L104" s="379">
        <f>SUMIFS('Jounal entries final'!$F:$F,'Jounal entries final'!$E:$E,$C$99,'Jounal entries final'!$M:$M,$C104,'Jounal entries final'!$B:$B,L$99,'Jounal entries final'!$C:$C,$F$15)</f>
        <v>2132295.12</v>
      </c>
      <c r="M104" s="379">
        <f>SUMIFS('Jounal entries final'!$F:$F,'Jounal entries final'!$E:$E,$C$99,'Jounal entries final'!$M:$M,$C104,'Jounal entries final'!$B:$B,M$99,'Jounal entries final'!$C:$C,$F$15)</f>
        <v>1972135.2799999998</v>
      </c>
      <c r="N104" s="379">
        <f>SUMIFS('Jounal entries final'!$F:$F,'Jounal entries final'!$E:$E,$C$99,'Jounal entries final'!$M:$M,$C104,'Jounal entries final'!$B:$B,N$99,'Jounal entries final'!$C:$C,$F$15)</f>
        <v>1931439.8200000003</v>
      </c>
      <c r="O104" s="379">
        <f>SUMIFS('Jounal entries final'!$F:$F,'Jounal entries final'!$E:$E,$C$99,'Jounal entries final'!$M:$M,$C104,'Jounal entries final'!$B:$B,O$99,'Jounal entries final'!$C:$C,$F$15)</f>
        <v>1778721.1199999999</v>
      </c>
      <c r="P104" s="364">
        <f>SUMIFS('Jounal entries final'!$H:$H,'Jounal entries final'!$E:$E,$C104,'Jounal entries final'!$B:$B,P$15,'Jounal entries final'!$C:$C,$Q$15)</f>
        <v>0</v>
      </c>
    </row>
    <row r="105" spans="2:16" ht="18" customHeight="1">
      <c r="B105" s="234"/>
      <c r="C105" s="118" t="s">
        <v>6</v>
      </c>
      <c r="D105" s="379">
        <f>SUMIFS('Jounal entries final'!$F:$F,'Jounal entries final'!$E:$E,$C$99,'Jounal entries final'!$M:$M,$C105,'Jounal entries final'!$B:$B,D$99,'Jounal entries final'!$C:$C,$F$15)</f>
        <v>2371257</v>
      </c>
      <c r="E105" s="379">
        <f>SUMIFS('Jounal entries final'!$F:$F,'Jounal entries final'!$E:$E,$C$99,'Jounal entries final'!$M:$M,$C105,'Jounal entries final'!$B:$B,E$99,'Jounal entries final'!$C:$C,$F$15)</f>
        <v>2153616</v>
      </c>
      <c r="F105" s="379">
        <f>SUMIFS('Jounal entries final'!$F:$F,'Jounal entries final'!$E:$E,$C$99,'Jounal entries final'!$M:$M,$C105,'Jounal entries final'!$B:$B,F$99,'Jounal entries final'!$C:$C,$F$15)</f>
        <v>955314</v>
      </c>
      <c r="G105" s="379">
        <f>SUMIFS('Jounal entries final'!$F:$F,'Jounal entries final'!$E:$E,$C$99,'Jounal entries final'!$M:$M,$C105,'Jounal entries final'!$B:$B,G$99,'Jounal entries final'!$C:$C,$F$15)</f>
        <v>1879658</v>
      </c>
      <c r="H105" s="379">
        <f>SUMIFS('Jounal entries final'!$F:$F,'Jounal entries final'!$E:$E,$C$99,'Jounal entries final'!$M:$M,$C105,'Jounal entries final'!$B:$B,H$99,'Jounal entries final'!$C:$C,$F$15)</f>
        <v>1875578</v>
      </c>
      <c r="I105" s="379">
        <f>SUMIFS('Jounal entries final'!$F:$F,'Jounal entries final'!$E:$E,$C$99,'Jounal entries final'!$M:$M,$C105,'Jounal entries final'!$B:$B,I$99,'Jounal entries final'!$C:$C,$F$15)</f>
        <v>1493282</v>
      </c>
      <c r="J105" s="379">
        <f>SUMIFS('Jounal entries final'!$F:$F,'Jounal entries final'!$E:$E,$C$99,'Jounal entries final'!$M:$M,$C105,'Jounal entries final'!$B:$B,J$99,'Jounal entries final'!$C:$C,$F$15)</f>
        <v>1982123</v>
      </c>
      <c r="K105" s="379">
        <f>SUMIFS('Jounal entries final'!$F:$F,'Jounal entries final'!$E:$E,$C$99,'Jounal entries final'!$M:$M,$C105,'Jounal entries final'!$B:$B,K$99,'Jounal entries final'!$C:$C,$F$15)</f>
        <v>2143001</v>
      </c>
      <c r="L105" s="379">
        <f>SUMIFS('Jounal entries final'!$F:$F,'Jounal entries final'!$E:$E,$C$99,'Jounal entries final'!$M:$M,$C105,'Jounal entries final'!$B:$B,L$99,'Jounal entries final'!$C:$C,$F$15)</f>
        <v>1633814</v>
      </c>
      <c r="M105" s="379">
        <f>SUMIFS('Jounal entries final'!$F:$F,'Jounal entries final'!$E:$E,$C$99,'Jounal entries final'!$M:$M,$C105,'Jounal entries final'!$B:$B,M$99,'Jounal entries final'!$C:$C,$F$15)</f>
        <v>1886144</v>
      </c>
      <c r="N105" s="379">
        <f>SUMIFS('Jounal entries final'!$F:$F,'Jounal entries final'!$E:$E,$C$99,'Jounal entries final'!$M:$M,$C105,'Jounal entries final'!$B:$B,N$99,'Jounal entries final'!$C:$C,$F$15)</f>
        <v>2181323</v>
      </c>
      <c r="O105" s="379">
        <f>SUMIFS('Jounal entries final'!$F:$F,'Jounal entries final'!$E:$E,$C$99,'Jounal entries final'!$M:$M,$C105,'Jounal entries final'!$B:$B,O$99,'Jounal entries final'!$C:$C,$F$15)</f>
        <v>1666860</v>
      </c>
      <c r="P105" s="364">
        <f>SUMIFS('Jounal entries final'!$H:$H,'Jounal entries final'!$E:$E,$C105,'Jounal entries final'!$B:$B,P$15,'Jounal entries final'!$C:$C,$Q$15)</f>
        <v>0</v>
      </c>
    </row>
    <row r="106" spans="2:16" ht="18" customHeight="1">
      <c r="B106" s="234"/>
      <c r="C106" s="118" t="s">
        <v>11</v>
      </c>
      <c r="D106" s="379">
        <f>SUMIFS('Jounal entries final'!$F:$F,'Jounal entries final'!$E:$E,$C$99,'Jounal entries final'!$M:$M,$C106,'Jounal entries final'!$B:$B,D$99,'Jounal entries final'!$C:$C,$F$15)</f>
        <v>1048003.2000000001</v>
      </c>
      <c r="E106" s="379">
        <f>SUMIFS('Jounal entries final'!$F:$F,'Jounal entries final'!$E:$E,$C$99,'Jounal entries final'!$M:$M,$C106,'Jounal entries final'!$B:$B,E$99,'Jounal entries final'!$C:$C,$F$15)</f>
        <v>796282.75</v>
      </c>
      <c r="F106" s="379">
        <f>SUMIFS('Jounal entries final'!$F:$F,'Jounal entries final'!$E:$E,$C$99,'Jounal entries final'!$M:$M,$C106,'Jounal entries final'!$B:$B,F$99,'Jounal entries final'!$C:$C,$F$15)</f>
        <v>998481.35</v>
      </c>
      <c r="G106" s="379">
        <f>SUMIFS('Jounal entries final'!$F:$F,'Jounal entries final'!$E:$E,$C$99,'Jounal entries final'!$M:$M,$C106,'Jounal entries final'!$B:$B,G$99,'Jounal entries final'!$C:$C,$F$15)</f>
        <v>940346.5</v>
      </c>
      <c r="H106" s="379">
        <f>SUMIFS('Jounal entries final'!$F:$F,'Jounal entries final'!$E:$E,$C$99,'Jounal entries final'!$M:$M,$C106,'Jounal entries final'!$B:$B,H$99,'Jounal entries final'!$C:$C,$F$15)</f>
        <v>1080370</v>
      </c>
      <c r="I106" s="379">
        <f>SUMIFS('Jounal entries final'!$F:$F,'Jounal entries final'!$E:$E,$C$99,'Jounal entries final'!$M:$M,$C106,'Jounal entries final'!$B:$B,I$99,'Jounal entries final'!$C:$C,$F$15)</f>
        <v>894125.59999999986</v>
      </c>
      <c r="J106" s="379">
        <f>SUMIFS('Jounal entries final'!$F:$F,'Jounal entries final'!$E:$E,$C$99,'Jounal entries final'!$M:$M,$C106,'Jounal entries final'!$B:$B,J$99,'Jounal entries final'!$C:$C,$F$15)</f>
        <v>1144563.5999999999</v>
      </c>
      <c r="K106" s="379">
        <f>SUMIFS('Jounal entries final'!$F:$F,'Jounal entries final'!$E:$E,$C$99,'Jounal entries final'!$M:$M,$C106,'Jounal entries final'!$B:$B,K$99,'Jounal entries final'!$C:$C,$F$15)</f>
        <v>917779.70000000007</v>
      </c>
      <c r="L106" s="379">
        <f>SUMIFS('Jounal entries final'!$F:$F,'Jounal entries final'!$E:$E,$C$99,'Jounal entries final'!$M:$M,$C106,'Jounal entries final'!$B:$B,L$99,'Jounal entries final'!$C:$C,$F$15)</f>
        <v>845158</v>
      </c>
      <c r="M106" s="379">
        <f>SUMIFS('Jounal entries final'!$F:$F,'Jounal entries final'!$E:$E,$C$99,'Jounal entries final'!$M:$M,$C106,'Jounal entries final'!$B:$B,M$99,'Jounal entries final'!$C:$C,$F$15)</f>
        <v>790023.3</v>
      </c>
      <c r="N106" s="379">
        <f>SUMIFS('Jounal entries final'!$F:$F,'Jounal entries final'!$E:$E,$C$99,'Jounal entries final'!$M:$M,$C106,'Jounal entries final'!$B:$B,N$99,'Jounal entries final'!$C:$C,$F$15)</f>
        <v>920426</v>
      </c>
      <c r="O106" s="379">
        <f>SUMIFS('Jounal entries final'!$F:$F,'Jounal entries final'!$E:$E,$C$99,'Jounal entries final'!$M:$M,$C106,'Jounal entries final'!$B:$B,O$99,'Jounal entries final'!$C:$C,$F$15)</f>
        <v>735751.39999999991</v>
      </c>
      <c r="P106" s="234"/>
    </row>
    <row r="107" spans="2:16" ht="18" customHeight="1">
      <c r="B107" s="234"/>
      <c r="C107" s="118" t="s">
        <v>12</v>
      </c>
      <c r="D107" s="379">
        <f>SUMIFS('Jounal entries final'!$F:$F,'Jounal entries final'!$E:$E,$C$99,'Jounal entries final'!$M:$M,$C107,'Jounal entries final'!$B:$B,D$99,'Jounal entries final'!$C:$C,$F$15)</f>
        <v>2536804</v>
      </c>
      <c r="E107" s="379">
        <f>SUMIFS('Jounal entries final'!$F:$F,'Jounal entries final'!$E:$E,$C$99,'Jounal entries final'!$M:$M,$C107,'Jounal entries final'!$B:$B,E$99,'Jounal entries final'!$C:$C,$F$15)</f>
        <v>2066008</v>
      </c>
      <c r="F107" s="379">
        <f>SUMIFS('Jounal entries final'!$F:$F,'Jounal entries final'!$E:$E,$C$99,'Jounal entries final'!$M:$M,$C107,'Jounal entries final'!$B:$B,F$99,'Jounal entries final'!$C:$C,$F$15)</f>
        <v>2980589</v>
      </c>
      <c r="G107" s="379">
        <f>SUMIFS('Jounal entries final'!$F:$F,'Jounal entries final'!$E:$E,$C$99,'Jounal entries final'!$M:$M,$C107,'Jounal entries final'!$B:$B,G$99,'Jounal entries final'!$C:$C,$F$15)</f>
        <v>2479972</v>
      </c>
      <c r="H107" s="379">
        <f>SUMIFS('Jounal entries final'!$F:$F,'Jounal entries final'!$E:$E,$C$99,'Jounal entries final'!$M:$M,$C107,'Jounal entries final'!$B:$B,H$99,'Jounal entries final'!$C:$C,$F$15)</f>
        <v>2306429</v>
      </c>
      <c r="I107" s="379">
        <f>SUMIFS('Jounal entries final'!$F:$F,'Jounal entries final'!$E:$E,$C$99,'Jounal entries final'!$M:$M,$C107,'Jounal entries final'!$B:$B,I$99,'Jounal entries final'!$C:$C,$F$15)</f>
        <v>2065456</v>
      </c>
      <c r="J107" s="379">
        <f>SUMIFS('Jounal entries final'!$F:$F,'Jounal entries final'!$E:$E,$C$99,'Jounal entries final'!$M:$M,$C107,'Jounal entries final'!$B:$B,J$99,'Jounal entries final'!$C:$C,$F$15)</f>
        <v>2276895</v>
      </c>
      <c r="K107" s="379">
        <f>SUMIFS('Jounal entries final'!$F:$F,'Jounal entries final'!$E:$E,$C$99,'Jounal entries final'!$M:$M,$C107,'Jounal entries final'!$B:$B,K$99,'Jounal entries final'!$C:$C,$F$15)</f>
        <v>2131550</v>
      </c>
      <c r="L107" s="379">
        <f>SUMIFS('Jounal entries final'!$F:$F,'Jounal entries final'!$E:$E,$C$99,'Jounal entries final'!$M:$M,$C107,'Jounal entries final'!$B:$B,L$99,'Jounal entries final'!$C:$C,$F$15)</f>
        <v>1805512</v>
      </c>
      <c r="M107" s="379">
        <f>SUMIFS('Jounal entries final'!$F:$F,'Jounal entries final'!$E:$E,$C$99,'Jounal entries final'!$M:$M,$C107,'Jounal entries final'!$B:$B,M$99,'Jounal entries final'!$C:$C,$F$15)</f>
        <v>1785537</v>
      </c>
      <c r="N107" s="379">
        <f>SUMIFS('Jounal entries final'!$F:$F,'Jounal entries final'!$E:$E,$C$99,'Jounal entries final'!$M:$M,$C107,'Jounal entries final'!$B:$B,N$99,'Jounal entries final'!$C:$C,$F$15)</f>
        <v>1835445</v>
      </c>
      <c r="O107" s="379">
        <f>SUMIFS('Jounal entries final'!$F:$F,'Jounal entries final'!$E:$E,$C$99,'Jounal entries final'!$M:$M,$C107,'Jounal entries final'!$B:$B,O$99,'Jounal entries final'!$C:$C,$F$15)</f>
        <v>1617142</v>
      </c>
      <c r="P107" s="234"/>
    </row>
    <row r="108" spans="2:16">
      <c r="B108" s="234"/>
      <c r="C108" s="118"/>
      <c r="D108" s="401"/>
      <c r="E108" s="114"/>
      <c r="F108" s="114"/>
      <c r="G108" s="114"/>
      <c r="H108" s="114"/>
      <c r="I108" s="114"/>
      <c r="J108" s="114"/>
      <c r="K108" s="114"/>
      <c r="L108" s="114"/>
      <c r="M108" s="114"/>
      <c r="N108" s="114"/>
      <c r="O108" s="114"/>
      <c r="P108" s="234"/>
    </row>
    <row r="110" spans="2:16" ht="22">
      <c r="B110" s="252"/>
      <c r="C110" s="380" t="s">
        <v>16</v>
      </c>
      <c r="D110" s="387">
        <v>1</v>
      </c>
      <c r="E110" s="387">
        <v>2</v>
      </c>
      <c r="F110" s="387">
        <v>3</v>
      </c>
      <c r="G110" s="387">
        <v>4</v>
      </c>
      <c r="H110" s="387">
        <v>5</v>
      </c>
      <c r="I110" s="387">
        <v>6</v>
      </c>
      <c r="J110" s="387">
        <v>7</v>
      </c>
      <c r="K110" s="387">
        <v>8</v>
      </c>
      <c r="L110" s="387">
        <v>9</v>
      </c>
      <c r="M110" s="387">
        <v>10</v>
      </c>
      <c r="N110" s="387">
        <v>11</v>
      </c>
      <c r="O110" s="387">
        <v>12</v>
      </c>
      <c r="P110" s="234"/>
    </row>
    <row r="111" spans="2:16">
      <c r="B111" s="234"/>
      <c r="C111" s="369"/>
      <c r="D111" s="370" t="s">
        <v>17</v>
      </c>
      <c r="E111" s="370" t="s">
        <v>18</v>
      </c>
      <c r="F111" s="370" t="s">
        <v>19</v>
      </c>
      <c r="G111" s="370" t="s">
        <v>20</v>
      </c>
      <c r="H111" s="370" t="s">
        <v>21</v>
      </c>
      <c r="I111" s="370" t="s">
        <v>22</v>
      </c>
      <c r="J111" s="370" t="s">
        <v>23</v>
      </c>
      <c r="K111" s="370" t="s">
        <v>24</v>
      </c>
      <c r="L111" s="370" t="s">
        <v>25</v>
      </c>
      <c r="M111" s="370" t="s">
        <v>26</v>
      </c>
      <c r="N111" s="370" t="s">
        <v>27</v>
      </c>
      <c r="O111" s="370" t="s">
        <v>28</v>
      </c>
      <c r="P111" s="362"/>
    </row>
    <row r="112" spans="2:16">
      <c r="B112" s="234"/>
      <c r="C112" s="119" t="s">
        <v>292</v>
      </c>
      <c r="D112" s="389">
        <f>SUM(ERP_Inventory!C10:C15)</f>
        <v>535159.51</v>
      </c>
      <c r="E112" s="389">
        <f>SUM(ERP_Inventory!D10:D15)</f>
        <v>459231.67000000004</v>
      </c>
      <c r="F112" s="389">
        <f>SUM(ERP_Inventory!E10:E15)</f>
        <v>411964.35</v>
      </c>
      <c r="G112" s="389">
        <f>SUM(ERP_Inventory!F10:F15)</f>
        <v>487903.66000000003</v>
      </c>
      <c r="H112" s="389">
        <f>SUM(ERP_Inventory!G10:G15)</f>
        <v>448720.76</v>
      </c>
      <c r="I112" s="389">
        <f>SUM(ERP_Inventory!H10:H15)</f>
        <v>428106.49</v>
      </c>
      <c r="J112" s="389">
        <f>SUM(ERP_Inventory!I10:I15)</f>
        <v>480948.21</v>
      </c>
      <c r="K112" s="389">
        <f>SUM(ERP_Inventory!J10:J15)</f>
        <v>422531.41000000003</v>
      </c>
      <c r="L112" s="389">
        <f>SUM(ERP_Inventory!K10:K15)</f>
        <v>415451.97</v>
      </c>
      <c r="M112" s="389">
        <f>SUM(ERP_Inventory!L10:L15)</f>
        <v>413501.16000000003</v>
      </c>
      <c r="N112" s="389">
        <f>SUM(ERP_Inventory!M10:M15)</f>
        <v>431941.02</v>
      </c>
      <c r="O112" s="389">
        <f>SUM(ERP_Inventory!N10:N15)</f>
        <v>417776.64000000001</v>
      </c>
      <c r="P112" s="114"/>
    </row>
    <row r="113" spans="2:16">
      <c r="B113" s="114"/>
      <c r="C113" s="118" t="s">
        <v>3</v>
      </c>
      <c r="D113" s="389">
        <f>ERP_Inventory!C10</f>
        <v>45166.8</v>
      </c>
      <c r="E113" s="389">
        <f>ERP_Inventory!D10</f>
        <v>46812.4</v>
      </c>
      <c r="F113" s="389">
        <f>ERP_Inventory!E10</f>
        <v>21229.200000000001</v>
      </c>
      <c r="G113" s="389">
        <f>ERP_Inventory!F10</f>
        <v>38945.200000000004</v>
      </c>
      <c r="H113" s="389">
        <f>ERP_Inventory!G10</f>
        <v>34382.800000000003</v>
      </c>
      <c r="I113" s="389">
        <f>ERP_Inventory!H10</f>
        <v>30869.200000000001</v>
      </c>
      <c r="J113" s="389">
        <f>ERP_Inventory!I10</f>
        <v>35181.599999999999</v>
      </c>
      <c r="K113" s="389">
        <f>ERP_Inventory!J10</f>
        <v>38499.599999999999</v>
      </c>
      <c r="L113" s="389">
        <f>ERP_Inventory!K10</f>
        <v>36094</v>
      </c>
      <c r="M113" s="389">
        <f>ERP_Inventory!L10</f>
        <v>39558</v>
      </c>
      <c r="N113" s="389">
        <f>ERP_Inventory!M10</f>
        <v>37427.599999999999</v>
      </c>
      <c r="O113" s="389">
        <f>ERP_Inventory!N10</f>
        <v>40061.600000000006</v>
      </c>
      <c r="P113" s="114"/>
    </row>
    <row r="114" spans="2:16">
      <c r="B114" s="234"/>
      <c r="C114" s="118" t="s">
        <v>4</v>
      </c>
      <c r="D114" s="389">
        <f>ERP_Inventory!C11</f>
        <v>54215.26</v>
      </c>
      <c r="E114" s="389">
        <f>ERP_Inventory!D11</f>
        <v>47392.179999999993</v>
      </c>
      <c r="F114" s="389">
        <f>ERP_Inventory!E11</f>
        <v>41542.82</v>
      </c>
      <c r="G114" s="389">
        <f>ERP_Inventory!F11</f>
        <v>49429.16</v>
      </c>
      <c r="H114" s="389">
        <f>ERP_Inventory!G11</f>
        <v>45616.56</v>
      </c>
      <c r="I114" s="389">
        <f>ERP_Inventory!H11</f>
        <v>43406.66</v>
      </c>
      <c r="J114" s="389">
        <f>ERP_Inventory!I11</f>
        <v>48815.58</v>
      </c>
      <c r="K114" s="389">
        <f>ERP_Inventory!J11</f>
        <v>43822.02</v>
      </c>
      <c r="L114" s="389">
        <f>ERP_Inventory!K11</f>
        <v>42750.18</v>
      </c>
      <c r="M114" s="389">
        <f>ERP_Inventory!L11</f>
        <v>42647.880000000005</v>
      </c>
      <c r="N114" s="389">
        <f>ERP_Inventory!M11</f>
        <v>43851.72</v>
      </c>
      <c r="O114" s="389">
        <f>ERP_Inventory!N11</f>
        <v>42961.599999999999</v>
      </c>
      <c r="P114" s="364">
        <f>SUMIFS('Jounal entries final'!$H:$H,'Jounal entries final'!$E:$E,$C114,'Jounal entries final'!$B:$B,P$15,'Jounal entries final'!$C:$C,$Q$15)</f>
        <v>0</v>
      </c>
    </row>
    <row r="115" spans="2:16" ht="22">
      <c r="B115" s="252"/>
      <c r="C115" s="118" t="s">
        <v>5</v>
      </c>
      <c r="D115" s="389">
        <f>ERP_Inventory!C12</f>
        <v>131122.05000000002</v>
      </c>
      <c r="E115" s="389">
        <f>ERP_Inventory!D12</f>
        <v>107692.44</v>
      </c>
      <c r="F115" s="389">
        <f>ERP_Inventory!E12</f>
        <v>102003.48000000001</v>
      </c>
      <c r="G115" s="389">
        <f>ERP_Inventory!F12</f>
        <v>119536.8</v>
      </c>
      <c r="H115" s="389">
        <f>ERP_Inventory!G12</f>
        <v>109065</v>
      </c>
      <c r="I115" s="389">
        <f>ERP_Inventory!H12</f>
        <v>104689.23000000001</v>
      </c>
      <c r="J115" s="389">
        <f>ERP_Inventory!I12</f>
        <v>117326.88</v>
      </c>
      <c r="K115" s="389">
        <f>ERP_Inventory!J12</f>
        <v>97879.290000000008</v>
      </c>
      <c r="L115" s="389">
        <f>ERP_Inventory!K12</f>
        <v>98114.489999999991</v>
      </c>
      <c r="M115" s="389">
        <f>ERP_Inventory!L12</f>
        <v>97107.03</v>
      </c>
      <c r="N115" s="389">
        <f>ERP_Inventory!M12</f>
        <v>105314.40000000001</v>
      </c>
      <c r="O115" s="389">
        <f>ERP_Inventory!N12</f>
        <v>98817.84</v>
      </c>
      <c r="P115" s="364">
        <f>SUMIFS('Jounal entries final'!$H:$H,'Jounal entries final'!$E:$E,$C115,'Jounal entries final'!$B:$B,P$15,'Jounal entries final'!$C:$C,$Q$15)</f>
        <v>0</v>
      </c>
    </row>
    <row r="116" spans="2:16">
      <c r="B116" s="234"/>
      <c r="C116" s="118" t="s">
        <v>6</v>
      </c>
      <c r="D116" s="389">
        <f>ERP_Inventory!C13</f>
        <v>112917</v>
      </c>
      <c r="E116" s="389">
        <f>ERP_Inventory!D13</f>
        <v>117031</v>
      </c>
      <c r="F116" s="389">
        <f>ERP_Inventory!E13</f>
        <v>53073</v>
      </c>
      <c r="G116" s="389">
        <f>ERP_Inventory!F13</f>
        <v>97363</v>
      </c>
      <c r="H116" s="389">
        <f>ERP_Inventory!G13</f>
        <v>85957</v>
      </c>
      <c r="I116" s="389">
        <f>ERP_Inventory!H13</f>
        <v>77173</v>
      </c>
      <c r="J116" s="389">
        <f>ERP_Inventory!I13</f>
        <v>87954</v>
      </c>
      <c r="K116" s="389">
        <f>ERP_Inventory!J13</f>
        <v>96249</v>
      </c>
      <c r="L116" s="389">
        <f>ERP_Inventory!K13</f>
        <v>90235</v>
      </c>
      <c r="M116" s="389">
        <f>ERP_Inventory!L13</f>
        <v>98895</v>
      </c>
      <c r="N116" s="389">
        <f>ERP_Inventory!M13</f>
        <v>93569</v>
      </c>
      <c r="O116" s="389">
        <f>ERP_Inventory!N13</f>
        <v>100154</v>
      </c>
      <c r="P116" s="364">
        <f>SUMIFS('Jounal entries final'!$H:$H,'Jounal entries final'!$E:$E,$C116,'Jounal entries final'!$B:$B,P$15,'Jounal entries final'!$C:$C,$Q$15)</f>
        <v>0</v>
      </c>
    </row>
    <row r="117" spans="2:16">
      <c r="B117" s="234"/>
      <c r="C117" s="118" t="s">
        <v>11</v>
      </c>
      <c r="D117" s="389">
        <f>ERP_Inventory!C14</f>
        <v>58222.400000000001</v>
      </c>
      <c r="E117" s="389">
        <f>ERP_Inventory!D14</f>
        <v>41915.65</v>
      </c>
      <c r="F117" s="389">
        <f>ERP_Inventory!E14</f>
        <v>58357.85</v>
      </c>
      <c r="G117" s="389">
        <f>ERP_Inventory!F14</f>
        <v>55314.5</v>
      </c>
      <c r="H117" s="389">
        <f>ERP_Inventory!G14</f>
        <v>52308.4</v>
      </c>
      <c r="I117" s="389">
        <f>ERP_Inventory!H14</f>
        <v>51838.399999999994</v>
      </c>
      <c r="J117" s="389">
        <f>ERP_Inventory!I14</f>
        <v>57735.15</v>
      </c>
      <c r="K117" s="389">
        <f>ERP_Inventory!J14</f>
        <v>43139.5</v>
      </c>
      <c r="L117" s="389">
        <f>ERP_Inventory!K14</f>
        <v>44174.3</v>
      </c>
      <c r="M117" s="389">
        <f>ERP_Inventory!L14</f>
        <v>40334.25</v>
      </c>
      <c r="N117" s="389">
        <f>ERP_Inventory!M14</f>
        <v>46021.3</v>
      </c>
      <c r="O117" s="389">
        <f>ERP_Inventory!N14</f>
        <v>40655.599999999999</v>
      </c>
      <c r="P117" s="234"/>
    </row>
    <row r="118" spans="2:16">
      <c r="B118" s="234"/>
      <c r="C118" s="118" t="s">
        <v>12</v>
      </c>
      <c r="D118" s="389">
        <f>ERP_Inventory!C15</f>
        <v>133516</v>
      </c>
      <c r="E118" s="389">
        <f>ERP_Inventory!D15</f>
        <v>98388</v>
      </c>
      <c r="F118" s="389">
        <f>ERP_Inventory!E15</f>
        <v>135758</v>
      </c>
      <c r="G118" s="389">
        <f>ERP_Inventory!F15</f>
        <v>127315</v>
      </c>
      <c r="H118" s="389">
        <f>ERP_Inventory!G15</f>
        <v>121391</v>
      </c>
      <c r="I118" s="389">
        <f>ERP_Inventory!H15</f>
        <v>120130</v>
      </c>
      <c r="J118" s="389">
        <f>ERP_Inventory!I15</f>
        <v>133935</v>
      </c>
      <c r="K118" s="389">
        <f>ERP_Inventory!J15</f>
        <v>102942</v>
      </c>
      <c r="L118" s="389">
        <f>ERP_Inventory!K15</f>
        <v>104084</v>
      </c>
      <c r="M118" s="389">
        <f>ERP_Inventory!L15</f>
        <v>94959</v>
      </c>
      <c r="N118" s="389">
        <f>ERP_Inventory!M15</f>
        <v>105757</v>
      </c>
      <c r="O118" s="389">
        <f>ERP_Inventory!N15</f>
        <v>95126</v>
      </c>
      <c r="P118" s="234"/>
    </row>
    <row r="119" spans="2:16">
      <c r="B119" s="234"/>
      <c r="C119" s="118"/>
      <c r="D119" s="401"/>
      <c r="E119" s="114"/>
      <c r="F119" s="114"/>
      <c r="G119" s="114"/>
      <c r="H119" s="114"/>
      <c r="I119" s="114"/>
      <c r="J119" s="114"/>
      <c r="K119" s="114"/>
      <c r="L119" s="114"/>
      <c r="M119" s="114"/>
      <c r="N119" s="114"/>
      <c r="O119" s="114"/>
      <c r="P119" s="234"/>
    </row>
    <row r="120" spans="2:16">
      <c r="E120" s="390"/>
    </row>
    <row r="121" spans="2:16" ht="22">
      <c r="B121" s="252"/>
      <c r="C121" s="380" t="s">
        <v>282</v>
      </c>
      <c r="D121" s="387">
        <v>1</v>
      </c>
      <c r="E121" s="387">
        <v>2</v>
      </c>
      <c r="F121" s="387">
        <v>3</v>
      </c>
      <c r="G121" s="387">
        <v>4</v>
      </c>
      <c r="H121" s="387">
        <v>5</v>
      </c>
      <c r="I121" s="387">
        <v>6</v>
      </c>
      <c r="J121" s="387">
        <v>7</v>
      </c>
      <c r="K121" s="387">
        <v>8</v>
      </c>
      <c r="L121" s="387">
        <v>9</v>
      </c>
      <c r="M121" s="387">
        <v>10</v>
      </c>
      <c r="N121" s="387">
        <v>11</v>
      </c>
      <c r="O121" s="387">
        <v>12</v>
      </c>
      <c r="P121" s="234"/>
    </row>
    <row r="122" spans="2:16">
      <c r="B122" s="234"/>
      <c r="C122" s="369"/>
      <c r="D122" s="370" t="s">
        <v>17</v>
      </c>
      <c r="E122" s="370" t="s">
        <v>18</v>
      </c>
      <c r="F122" s="370" t="s">
        <v>19</v>
      </c>
      <c r="G122" s="370" t="s">
        <v>20</v>
      </c>
      <c r="H122" s="370" t="s">
        <v>21</v>
      </c>
      <c r="I122" s="370" t="s">
        <v>22</v>
      </c>
      <c r="J122" s="370" t="s">
        <v>23</v>
      </c>
      <c r="K122" s="370" t="s">
        <v>24</v>
      </c>
      <c r="L122" s="370" t="s">
        <v>25</v>
      </c>
      <c r="M122" s="370" t="s">
        <v>26</v>
      </c>
      <c r="N122" s="370" t="s">
        <v>27</v>
      </c>
      <c r="O122" s="370" t="s">
        <v>28</v>
      </c>
      <c r="P122" s="362"/>
    </row>
    <row r="123" spans="2:16">
      <c r="B123" s="234"/>
      <c r="C123" s="119"/>
      <c r="D123" s="389"/>
      <c r="E123" s="389"/>
      <c r="F123" s="389"/>
      <c r="G123" s="389"/>
      <c r="H123" s="389"/>
      <c r="I123" s="389"/>
      <c r="J123" s="389"/>
      <c r="K123" s="389"/>
      <c r="L123" s="389"/>
      <c r="M123" s="389"/>
      <c r="N123" s="389"/>
      <c r="O123" s="389"/>
      <c r="P123" s="114"/>
    </row>
    <row r="124" spans="2:16">
      <c r="B124" s="114"/>
      <c r="C124" s="118" t="s">
        <v>39</v>
      </c>
      <c r="D124" s="389"/>
      <c r="E124" s="389">
        <f t="shared" ref="E124:F129" si="7">(E113-D113)*(D102/D113)</f>
        <v>31266.399999999972</v>
      </c>
      <c r="F124" s="389">
        <f t="shared" si="7"/>
        <v>-507109.86643197102</v>
      </c>
      <c r="G124" s="389">
        <f t="shared" ref="G124:O124" si="8">(G113-F113)*F102/F113</f>
        <v>337873.12426280789</v>
      </c>
      <c r="H124" s="389">
        <f t="shared" si="8"/>
        <v>-88870.854784671828</v>
      </c>
      <c r="I124" s="389">
        <f t="shared" si="8"/>
        <v>-67607.604136952243</v>
      </c>
      <c r="J124" s="389">
        <f t="shared" si="8"/>
        <v>78714.417747139494</v>
      </c>
      <c r="K124" s="389">
        <f t="shared" si="8"/>
        <v>66446.086772631141</v>
      </c>
      <c r="L124" s="389">
        <f t="shared" si="8"/>
        <v>-45555.614175731665</v>
      </c>
      <c r="M124" s="389">
        <f t="shared" si="8"/>
        <v>68673.536078018515</v>
      </c>
      <c r="N124" s="389">
        <f t="shared" si="8"/>
        <v>-45830.775282875802</v>
      </c>
      <c r="O124" s="389">
        <f t="shared" si="8"/>
        <v>44784.559031303223</v>
      </c>
      <c r="P124" s="114"/>
    </row>
    <row r="125" spans="2:16">
      <c r="B125" s="234"/>
      <c r="C125" s="118" t="s">
        <v>31</v>
      </c>
      <c r="D125" s="389"/>
      <c r="E125" s="389">
        <f t="shared" si="7"/>
        <v>-122815.44000000016</v>
      </c>
      <c r="F125" s="389">
        <f t="shared" si="7"/>
        <v>-114270.37316708354</v>
      </c>
      <c r="G125" s="389">
        <f t="shared" ref="G125:O125" si="9">(G114-F114)*F103/F114</f>
        <v>157715.84643887929</v>
      </c>
      <c r="H125" s="389">
        <f t="shared" si="9"/>
        <v>-76331.421903346229</v>
      </c>
      <c r="I125" s="389">
        <f t="shared" si="9"/>
        <v>-46407.899999999878</v>
      </c>
      <c r="J125" s="389">
        <f t="shared" si="9"/>
        <v>104520.92860645804</v>
      </c>
      <c r="K125" s="389">
        <f t="shared" si="9"/>
        <v>-95626.522911185442</v>
      </c>
      <c r="L125" s="389">
        <f t="shared" si="9"/>
        <v>-20121.386660240609</v>
      </c>
      <c r="M125" s="389">
        <f t="shared" si="9"/>
        <v>-2018.2915335092464</v>
      </c>
      <c r="N125" s="389">
        <f t="shared" si="9"/>
        <v>24022.357193351629</v>
      </c>
      <c r="O125" s="389">
        <f t="shared" si="9"/>
        <v>-16054.062598155828</v>
      </c>
      <c r="P125" s="364">
        <f>SUMIFS('Jounal entries final'!$H:$H,'Jounal entries final'!$E:$E,$C125,'Jounal entries final'!$B:$B,P$15,'Jounal entries final'!$C:$C,$Q$15)</f>
        <v>0</v>
      </c>
    </row>
    <row r="126" spans="2:16" ht="22">
      <c r="B126" s="252"/>
      <c r="C126" s="118" t="s">
        <v>40</v>
      </c>
      <c r="D126" s="389"/>
      <c r="E126" s="389">
        <f t="shared" si="7"/>
        <v>-445162.59000000032</v>
      </c>
      <c r="F126" s="389">
        <f t="shared" si="7"/>
        <v>-103262.60516221178</v>
      </c>
      <c r="G126" s="389">
        <f t="shared" ref="G126:O126" si="10">(G115-F115)*F104/F115</f>
        <v>347705.60113640811</v>
      </c>
      <c r="H126" s="389">
        <f t="shared" si="10"/>
        <v>-199543.17183423016</v>
      </c>
      <c r="I126" s="389">
        <f t="shared" si="10"/>
        <v>-94813.899101441129</v>
      </c>
      <c r="J126" s="389">
        <f t="shared" si="10"/>
        <v>216655.15171626527</v>
      </c>
      <c r="K126" s="389">
        <f t="shared" si="10"/>
        <v>-389623.91915751272</v>
      </c>
      <c r="L126" s="389">
        <f t="shared" si="10"/>
        <v>4730.4112196151564</v>
      </c>
      <c r="M126" s="389">
        <f t="shared" si="10"/>
        <v>-21894.850002228857</v>
      </c>
      <c r="N126" s="389">
        <f t="shared" si="10"/>
        <v>166682.51446896914</v>
      </c>
      <c r="O126" s="389">
        <f t="shared" si="10"/>
        <v>-119145.28950475172</v>
      </c>
      <c r="P126" s="364">
        <f>SUMIFS('Jounal entries final'!$H:$H,'Jounal entries final'!$E:$E,$C126,'Jounal entries final'!$B:$B,P$15,'Jounal entries final'!$C:$C,$Q$15)</f>
        <v>0</v>
      </c>
    </row>
    <row r="127" spans="2:16">
      <c r="B127" s="234"/>
      <c r="C127" s="118" t="s">
        <v>36</v>
      </c>
      <c r="D127" s="389"/>
      <c r="E127" s="389">
        <f t="shared" si="7"/>
        <v>86394</v>
      </c>
      <c r="F127" s="389">
        <f t="shared" si="7"/>
        <v>-1176961.4215720622</v>
      </c>
      <c r="G127" s="389">
        <f t="shared" ref="G127:O127" si="11">(G116-F116)*F105/F116</f>
        <v>797220</v>
      </c>
      <c r="H127" s="389">
        <f t="shared" si="11"/>
        <v>-220200.47808715838</v>
      </c>
      <c r="I127" s="389">
        <f t="shared" si="11"/>
        <v>-191666.49780704305</v>
      </c>
      <c r="J127" s="389">
        <f t="shared" si="11"/>
        <v>208610.17767872184</v>
      </c>
      <c r="K127" s="389">
        <f t="shared" si="11"/>
        <v>186935.33307183301</v>
      </c>
      <c r="L127" s="389">
        <f t="shared" si="11"/>
        <v>-133902.77316127959</v>
      </c>
      <c r="M127" s="389">
        <f t="shared" si="11"/>
        <v>156799.7920984097</v>
      </c>
      <c r="N127" s="389">
        <f t="shared" si="11"/>
        <v>-101578.47155063451</v>
      </c>
      <c r="O127" s="389">
        <f t="shared" si="11"/>
        <v>153512.50900405049</v>
      </c>
      <c r="P127" s="364">
        <f>SUMIFS('Jounal entries final'!$H:$H,'Jounal entries final'!$E:$E,$C127,'Jounal entries final'!$B:$B,P$15,'Jounal entries final'!$C:$C,$Q$15)</f>
        <v>0</v>
      </c>
    </row>
    <row r="128" spans="2:16">
      <c r="B128" s="234"/>
      <c r="C128" s="118" t="s">
        <v>32</v>
      </c>
      <c r="D128" s="389"/>
      <c r="E128" s="389">
        <f t="shared" si="7"/>
        <v>-293521.5</v>
      </c>
      <c r="F128" s="389">
        <f t="shared" si="7"/>
        <v>312356.84600024094</v>
      </c>
      <c r="G128" s="389">
        <f t="shared" ref="G128:O128" si="12">(G117-F117)*F106/F117</f>
        <v>-52070.59918284342</v>
      </c>
      <c r="H128" s="389">
        <f t="shared" si="12"/>
        <v>-51103.699999999975</v>
      </c>
      <c r="I128" s="389">
        <f t="shared" si="12"/>
        <v>-9707.3108716765928</v>
      </c>
      <c r="J128" s="389">
        <f t="shared" si="12"/>
        <v>101709.06377897479</v>
      </c>
      <c r="K128" s="389">
        <f t="shared" si="12"/>
        <v>-289349.72383963666</v>
      </c>
      <c r="L128" s="389">
        <f t="shared" si="12"/>
        <v>22015.054267202973</v>
      </c>
      <c r="M128" s="389">
        <f t="shared" si="12"/>
        <v>-73469.165960750979</v>
      </c>
      <c r="N128" s="389">
        <f t="shared" si="12"/>
        <v>111391.73303743103</v>
      </c>
      <c r="O128" s="389">
        <f t="shared" si="12"/>
        <v>-107314.00000000007</v>
      </c>
      <c r="P128" s="234"/>
    </row>
    <row r="129" spans="2:16">
      <c r="B129" s="234"/>
      <c r="C129" s="118" t="s">
        <v>37</v>
      </c>
      <c r="D129" s="389"/>
      <c r="E129" s="389">
        <f t="shared" si="7"/>
        <v>-667432</v>
      </c>
      <c r="F129" s="389">
        <f t="shared" si="7"/>
        <v>784716.82481603452</v>
      </c>
      <c r="G129" s="389">
        <f t="shared" ref="G129:O129" si="13">(G118-F118)*F107/F118</f>
        <v>-185367.44005509804</v>
      </c>
      <c r="H129" s="389">
        <f t="shared" si="13"/>
        <v>-115393.74094175863</v>
      </c>
      <c r="I129" s="389">
        <f t="shared" si="13"/>
        <v>-23959</v>
      </c>
      <c r="J129" s="389">
        <f t="shared" si="13"/>
        <v>237356.36460501124</v>
      </c>
      <c r="K129" s="389">
        <f t="shared" si="13"/>
        <v>-526881</v>
      </c>
      <c r="L129" s="389">
        <f t="shared" si="13"/>
        <v>23646.617512774184</v>
      </c>
      <c r="M129" s="389">
        <f t="shared" si="13"/>
        <v>-158288.46892894202</v>
      </c>
      <c r="N129" s="389">
        <f t="shared" si="13"/>
        <v>203037.40062553313</v>
      </c>
      <c r="O129" s="389">
        <f t="shared" si="13"/>
        <v>-184504.24837126621</v>
      </c>
      <c r="P129" s="234"/>
    </row>
    <row r="130" spans="2:16">
      <c r="B130" s="234"/>
      <c r="C130" s="118" t="s">
        <v>33</v>
      </c>
      <c r="D130" s="389"/>
      <c r="E130" s="389" t="e">
        <f>(#REF!-#REF!)*(#REF!/#REF!)</f>
        <v>#REF!</v>
      </c>
      <c r="F130" s="389" t="e">
        <f>(#REF!-#REF!)*(#REF!/#REF!)</f>
        <v>#REF!</v>
      </c>
      <c r="G130" s="389" t="e">
        <f>(#REF!-#REF!)*#REF!/#REF!</f>
        <v>#REF!</v>
      </c>
      <c r="H130" s="389" t="e">
        <f>(#REF!-#REF!)*#REF!/#REF!</f>
        <v>#REF!</v>
      </c>
      <c r="I130" s="389" t="e">
        <f>(#REF!-#REF!)*#REF!/#REF!</f>
        <v>#REF!</v>
      </c>
      <c r="J130" s="389" t="e">
        <f>(#REF!-#REF!)*#REF!/#REF!</f>
        <v>#REF!</v>
      </c>
      <c r="K130" s="389" t="e">
        <f>(#REF!-#REF!)*#REF!/#REF!</f>
        <v>#REF!</v>
      </c>
      <c r="L130" s="389" t="e">
        <f>(#REF!-#REF!)*#REF!/#REF!</f>
        <v>#REF!</v>
      </c>
      <c r="M130" s="389" t="e">
        <f>(#REF!-#REF!)*#REF!/#REF!</f>
        <v>#REF!</v>
      </c>
      <c r="N130" s="389" t="e">
        <f>(#REF!-#REF!)*#REF!/#REF!</f>
        <v>#REF!</v>
      </c>
      <c r="O130" s="389" t="e">
        <f>(#REF!-#REF!)*#REF!/#REF!</f>
        <v>#REF!</v>
      </c>
      <c r="P130" s="234"/>
    </row>
    <row r="131" spans="2:16">
      <c r="B131" s="234"/>
      <c r="C131" s="118" t="s">
        <v>38</v>
      </c>
      <c r="D131" s="389"/>
      <c r="E131" s="389" t="e">
        <f>(#REF!-#REF!)*(#REF!/#REF!)</f>
        <v>#REF!</v>
      </c>
      <c r="F131" s="389" t="e">
        <f>(#REF!-#REF!)*(#REF!/#REF!)</f>
        <v>#REF!</v>
      </c>
      <c r="G131" s="389" t="e">
        <f>(#REF!-#REF!)*#REF!/#REF!</f>
        <v>#REF!</v>
      </c>
      <c r="H131" s="389" t="e">
        <f>(#REF!-#REF!)*#REF!/#REF!</f>
        <v>#REF!</v>
      </c>
      <c r="I131" s="389" t="e">
        <f>(#REF!-#REF!)*#REF!/#REF!</f>
        <v>#REF!</v>
      </c>
      <c r="J131" s="389" t="e">
        <f>(#REF!-#REF!)*#REF!/#REF!</f>
        <v>#REF!</v>
      </c>
      <c r="K131" s="389" t="e">
        <f>(#REF!-#REF!)*#REF!/#REF!</f>
        <v>#REF!</v>
      </c>
      <c r="L131" s="389" t="e">
        <f>(#REF!-#REF!)*#REF!/#REF!</f>
        <v>#REF!</v>
      </c>
      <c r="M131" s="389" t="e">
        <f>(#REF!-#REF!)*#REF!/#REF!</f>
        <v>#REF!</v>
      </c>
      <c r="N131" s="389" t="e">
        <f>(#REF!-#REF!)*#REF!/#REF!</f>
        <v>#REF!</v>
      </c>
      <c r="O131" s="389" t="e">
        <f>(#REF!-#REF!)*#REF!/#REF!</f>
        <v>#REF!</v>
      </c>
      <c r="P131" s="234"/>
    </row>
    <row r="132" spans="2:16">
      <c r="B132" s="114"/>
      <c r="C132" s="118" t="s">
        <v>34</v>
      </c>
      <c r="D132" s="389"/>
      <c r="E132" s="389" t="e">
        <f>(#REF!-#REF!)*(#REF!/#REF!)</f>
        <v>#REF!</v>
      </c>
      <c r="F132" s="389" t="e">
        <f>(#REF!-#REF!)*(#REF!/#REF!)</f>
        <v>#REF!</v>
      </c>
      <c r="G132" s="389" t="e">
        <f>(#REF!-#REF!)*#REF!/#REF!</f>
        <v>#REF!</v>
      </c>
      <c r="H132" s="389" t="e">
        <f>(#REF!-#REF!)*#REF!/#REF!</f>
        <v>#REF!</v>
      </c>
      <c r="I132" s="389" t="e">
        <f>(#REF!-#REF!)*#REF!/#REF!</f>
        <v>#REF!</v>
      </c>
      <c r="J132" s="389" t="e">
        <f>(#REF!-#REF!)*#REF!/#REF!</f>
        <v>#REF!</v>
      </c>
      <c r="K132" s="389" t="e">
        <f>(#REF!-#REF!)*#REF!/#REF!</f>
        <v>#REF!</v>
      </c>
      <c r="L132" s="389" t="e">
        <f>(#REF!-#REF!)*#REF!/#REF!</f>
        <v>#REF!</v>
      </c>
      <c r="M132" s="389" t="e">
        <f>(#REF!-#REF!)*#REF!/#REF!</f>
        <v>#REF!</v>
      </c>
      <c r="N132" s="389" t="e">
        <f>(#REF!-#REF!)*#REF!/#REF!</f>
        <v>#REF!</v>
      </c>
      <c r="O132" s="389" t="e">
        <f>(#REF!-#REF!)*#REF!/#REF!</f>
        <v>#REF!</v>
      </c>
      <c r="P132" s="234"/>
    </row>
    <row r="133" spans="2:16">
      <c r="B133" s="114"/>
      <c r="C133" s="118" t="s">
        <v>35</v>
      </c>
      <c r="D133" s="389"/>
      <c r="E133" s="389" t="e">
        <f>(#REF!-#REF!)*(#REF!/#REF!)</f>
        <v>#REF!</v>
      </c>
      <c r="F133" s="389" t="e">
        <f>(#REF!-#REF!)*(#REF!/#REF!)</f>
        <v>#REF!</v>
      </c>
      <c r="G133" s="389" t="e">
        <f>(#REF!-#REF!)*#REF!/#REF!</f>
        <v>#REF!</v>
      </c>
      <c r="H133" s="389" t="e">
        <f>(#REF!-#REF!)*#REF!/#REF!</f>
        <v>#REF!</v>
      </c>
      <c r="I133" s="389" t="e">
        <f>(#REF!-#REF!)*#REF!/#REF!</f>
        <v>#REF!</v>
      </c>
      <c r="J133" s="389" t="e">
        <f>(#REF!-#REF!)*#REF!/#REF!</f>
        <v>#REF!</v>
      </c>
      <c r="K133" s="389" t="e">
        <f>(#REF!-#REF!)*#REF!/#REF!</f>
        <v>#REF!</v>
      </c>
      <c r="L133" s="389" t="e">
        <f>(#REF!-#REF!)*#REF!/#REF!</f>
        <v>#REF!</v>
      </c>
      <c r="M133" s="389" t="e">
        <f>(#REF!-#REF!)*#REF!/#REF!</f>
        <v>#REF!</v>
      </c>
      <c r="N133" s="389" t="e">
        <f>(#REF!-#REF!)*#REF!/#REF!</f>
        <v>#REF!</v>
      </c>
      <c r="O133" s="389" t="e">
        <f>(#REF!-#REF!)*#REF!/#REF!</f>
        <v>#REF!</v>
      </c>
      <c r="P133" s="234"/>
    </row>
    <row r="134" spans="2:16">
      <c r="B134" s="234"/>
      <c r="C134" s="118"/>
      <c r="D134" s="401"/>
      <c r="E134" s="114"/>
      <c r="F134" s="114"/>
      <c r="G134" s="114"/>
      <c r="H134" s="114"/>
      <c r="I134" s="114"/>
      <c r="J134" s="114"/>
      <c r="K134" s="114"/>
      <c r="L134" s="114"/>
      <c r="M134" s="114"/>
      <c r="N134" s="114"/>
      <c r="O134" s="114"/>
      <c r="P134" s="234"/>
    </row>
    <row r="136" spans="2:16" ht="18">
      <c r="B136"/>
      <c r="C136" s="380" t="s">
        <v>283</v>
      </c>
      <c r="D136" s="387">
        <v>1</v>
      </c>
      <c r="E136" s="387">
        <v>2</v>
      </c>
      <c r="F136" s="387">
        <v>3</v>
      </c>
      <c r="G136" s="387">
        <v>4</v>
      </c>
      <c r="H136" s="387">
        <v>5</v>
      </c>
      <c r="I136" s="387">
        <v>6</v>
      </c>
      <c r="J136" s="387">
        <v>7</v>
      </c>
      <c r="K136" s="387">
        <v>8</v>
      </c>
      <c r="L136" s="387">
        <v>9</v>
      </c>
      <c r="M136" s="387">
        <v>10</v>
      </c>
      <c r="N136" s="387">
        <v>11</v>
      </c>
      <c r="O136" s="387">
        <v>12</v>
      </c>
      <c r="P136" s="234"/>
    </row>
    <row r="137" spans="2:16">
      <c r="B137"/>
      <c r="C137" s="369"/>
      <c r="D137" s="370" t="s">
        <v>17</v>
      </c>
      <c r="E137" s="370" t="s">
        <v>18</v>
      </c>
      <c r="F137" s="370" t="s">
        <v>19</v>
      </c>
      <c r="G137" s="370" t="s">
        <v>20</v>
      </c>
      <c r="H137" s="370" t="s">
        <v>21</v>
      </c>
      <c r="I137" s="370" t="s">
        <v>22</v>
      </c>
      <c r="J137" s="370" t="s">
        <v>23</v>
      </c>
      <c r="K137" s="370" t="s">
        <v>24</v>
      </c>
      <c r="L137" s="370" t="s">
        <v>25</v>
      </c>
      <c r="M137" s="370" t="s">
        <v>26</v>
      </c>
      <c r="N137" s="370" t="s">
        <v>27</v>
      </c>
      <c r="O137" s="370" t="s">
        <v>28</v>
      </c>
      <c r="P137" s="362"/>
    </row>
    <row r="138" spans="2:16">
      <c r="B138"/>
      <c r="C138" s="119"/>
      <c r="D138" s="389"/>
      <c r="E138" s="389"/>
      <c r="F138" s="389"/>
      <c r="G138" s="389"/>
      <c r="H138" s="389"/>
      <c r="I138" s="389"/>
      <c r="J138" s="389"/>
      <c r="K138" s="389"/>
      <c r="L138" s="389"/>
      <c r="M138" s="389"/>
      <c r="N138" s="389"/>
      <c r="O138" s="389"/>
      <c r="P138" s="114"/>
    </row>
    <row r="139" spans="2:16">
      <c r="B139"/>
      <c r="C139" s="118" t="s">
        <v>39</v>
      </c>
      <c r="D139" s="389"/>
      <c r="E139" s="389">
        <f t="shared" ref="E139:O139" si="14">((E102/E113)-(D102/D113))*E113</f>
        <v>38479.199999999953</v>
      </c>
      <c r="F139" s="389">
        <f t="shared" si="14"/>
        <v>-15929.333568028977</v>
      </c>
      <c r="G139" s="389">
        <f t="shared" si="14"/>
        <v>15863.675737192279</v>
      </c>
      <c r="H139" s="389">
        <f t="shared" si="14"/>
        <v>-8158.3452153282151</v>
      </c>
      <c r="I139" s="389">
        <f t="shared" si="14"/>
        <v>-30518.795863047868</v>
      </c>
      <c r="J139" s="389">
        <f t="shared" si="14"/>
        <v>62373.582252860455</v>
      </c>
      <c r="K139" s="389">
        <f t="shared" si="14"/>
        <v>-41911.686772631088</v>
      </c>
      <c r="L139" s="389">
        <f t="shared" si="14"/>
        <v>32037.2141757317</v>
      </c>
      <c r="M139" s="389">
        <f t="shared" si="14"/>
        <v>66767.263921981328</v>
      </c>
      <c r="N139" s="389">
        <f t="shared" si="14"/>
        <v>-168808.4247171242</v>
      </c>
      <c r="O139" s="389">
        <f t="shared" si="14"/>
        <v>237296.24096869712</v>
      </c>
      <c r="P139" s="114"/>
    </row>
    <row r="140" spans="2:16">
      <c r="B140"/>
      <c r="C140" s="118" t="s">
        <v>31</v>
      </c>
      <c r="D140" s="389"/>
      <c r="E140" s="389">
        <f t="shared" ref="E140:O140" si="15">((E103/E114)-(D103/D114))*E114</f>
        <v>72772.31999999992</v>
      </c>
      <c r="F140" s="389">
        <f t="shared" si="15"/>
        <v>19237.513167083667</v>
      </c>
      <c r="G140" s="389">
        <f t="shared" si="15"/>
        <v>1098.3335611208577</v>
      </c>
      <c r="H140" s="389">
        <f t="shared" si="15"/>
        <v>44666.301903346146</v>
      </c>
      <c r="I140" s="389">
        <f t="shared" si="15"/>
        <v>-72757.920000000173</v>
      </c>
      <c r="J140" s="389">
        <f t="shared" si="15"/>
        <v>-8485.9886064578332</v>
      </c>
      <c r="K140" s="389">
        <f t="shared" si="15"/>
        <v>-16530.43708881475</v>
      </c>
      <c r="L140" s="389">
        <f t="shared" si="15"/>
        <v>40885.966660240752</v>
      </c>
      <c r="M140" s="389">
        <f t="shared" si="15"/>
        <v>9622.6715335092522</v>
      </c>
      <c r="N140" s="389">
        <f t="shared" si="15"/>
        <v>-84148.597193351859</v>
      </c>
      <c r="O140" s="389">
        <f t="shared" si="15"/>
        <v>51006.722598155953</v>
      </c>
      <c r="P140" s="364">
        <f>SUMIFS('Jounal entries final'!$H:$H,'Jounal entries final'!$E:$E,$C140,'Jounal entries final'!$B:$B,P$15,'Jounal entries final'!$C:$C,$Q$15)</f>
        <v>0</v>
      </c>
    </row>
    <row r="141" spans="2:16">
      <c r="B141"/>
      <c r="C141" s="118" t="s">
        <v>40</v>
      </c>
      <c r="D141" s="389"/>
      <c r="E141" s="389">
        <f t="shared" ref="E141:O141" si="16">((E104/E115)-(D104/D115))*E115</f>
        <v>-91387.490000000165</v>
      </c>
      <c r="F141" s="389">
        <f t="shared" si="16"/>
        <v>171338.31516221183</v>
      </c>
      <c r="G141" s="389">
        <f t="shared" si="16"/>
        <v>-92741.951136407981</v>
      </c>
      <c r="H141" s="389">
        <f t="shared" si="16"/>
        <v>284948.25183423003</v>
      </c>
      <c r="I141" s="389">
        <f t="shared" si="16"/>
        <v>-473646.35089855851</v>
      </c>
      <c r="J141" s="389">
        <f t="shared" si="16"/>
        <v>339184.26828373509</v>
      </c>
      <c r="K141" s="389">
        <f t="shared" si="16"/>
        <v>7608.3591575119399</v>
      </c>
      <c r="L141" s="389">
        <f t="shared" si="16"/>
        <v>158987.78878038531</v>
      </c>
      <c r="M141" s="389">
        <f t="shared" si="16"/>
        <v>-138264.98999777151</v>
      </c>
      <c r="N141" s="389">
        <f t="shared" si="16"/>
        <v>-207377.97446896875</v>
      </c>
      <c r="O141" s="389">
        <f t="shared" si="16"/>
        <v>-33573.410495248638</v>
      </c>
      <c r="P141" s="364">
        <f>SUMIFS('Jounal entries final'!$H:$H,'Jounal entries final'!$E:$E,$C141,'Jounal entries final'!$B:$B,P$15,'Jounal entries final'!$C:$C,$Q$15)</f>
        <v>0</v>
      </c>
    </row>
    <row r="142" spans="2:16">
      <c r="B142"/>
      <c r="C142" s="118" t="s">
        <v>36</v>
      </c>
      <c r="D142" s="389"/>
      <c r="E142" s="389">
        <f t="shared" ref="E142:O142" si="17">((E105/E116)-(D105/D116))*E116</f>
        <v>-304034.99999999994</v>
      </c>
      <c r="F142" s="389">
        <f t="shared" si="17"/>
        <v>-21340.578427937937</v>
      </c>
      <c r="G142" s="389">
        <f t="shared" si="17"/>
        <v>127124.00000000015</v>
      </c>
      <c r="H142" s="389">
        <f t="shared" si="17"/>
        <v>216120.47808715829</v>
      </c>
      <c r="I142" s="389">
        <f t="shared" si="17"/>
        <v>-190629.50219295686</v>
      </c>
      <c r="J142" s="389">
        <f t="shared" si="17"/>
        <v>280230.82232127787</v>
      </c>
      <c r="K142" s="389">
        <f t="shared" si="17"/>
        <v>-26057.333071832782</v>
      </c>
      <c r="L142" s="389">
        <f t="shared" si="17"/>
        <v>-375284.22683872038</v>
      </c>
      <c r="M142" s="389">
        <f t="shared" si="17"/>
        <v>95530.207901590256</v>
      </c>
      <c r="N142" s="389">
        <f t="shared" si="17"/>
        <v>396757.47155063448</v>
      </c>
      <c r="O142" s="389">
        <f t="shared" si="17"/>
        <v>-667975.50900405052</v>
      </c>
      <c r="P142" s="364">
        <f>SUMIFS('Jounal entries final'!$H:$H,'Jounal entries final'!$E:$E,$C142,'Jounal entries final'!$B:$B,P$15,'Jounal entries final'!$C:$C,$Q$15)</f>
        <v>0</v>
      </c>
    </row>
    <row r="143" spans="2:16">
      <c r="B143"/>
      <c r="C143" s="118" t="s">
        <v>32</v>
      </c>
      <c r="D143" s="389"/>
      <c r="E143" s="389">
        <f t="shared" ref="E143:O143" si="18">((E106/E117)-(D106/D117))*E117</f>
        <v>41801.050000000039</v>
      </c>
      <c r="F143" s="389">
        <f t="shared" si="18"/>
        <v>-110158.24600024096</v>
      </c>
      <c r="G143" s="389">
        <f t="shared" si="18"/>
        <v>-6064.2508171565996</v>
      </c>
      <c r="H143" s="389">
        <f t="shared" si="18"/>
        <v>191127.2</v>
      </c>
      <c r="I143" s="389">
        <f t="shared" si="18"/>
        <v>-176537.08912832369</v>
      </c>
      <c r="J143" s="389">
        <f t="shared" si="18"/>
        <v>148728.93622102533</v>
      </c>
      <c r="K143" s="389">
        <f t="shared" si="18"/>
        <v>62565.82383963692</v>
      </c>
      <c r="L143" s="389">
        <f t="shared" si="18"/>
        <v>-94636.754267203039</v>
      </c>
      <c r="M143" s="389">
        <f t="shared" si="18"/>
        <v>18334.465960750978</v>
      </c>
      <c r="N143" s="389">
        <f t="shared" si="18"/>
        <v>19010.966962568964</v>
      </c>
      <c r="O143" s="389">
        <f t="shared" si="18"/>
        <v>-77360.600000000064</v>
      </c>
      <c r="P143" s="234"/>
    </row>
    <row r="144" spans="2:16">
      <c r="B144"/>
      <c r="C144" s="118" t="s">
        <v>37</v>
      </c>
      <c r="D144" s="389"/>
      <c r="E144" s="389">
        <f t="shared" ref="E144:O144" si="19">((E107/E118)-(D107/D118))*E118</f>
        <v>196636.00000000003</v>
      </c>
      <c r="F144" s="389">
        <f t="shared" si="19"/>
        <v>129864.17518396532</v>
      </c>
      <c r="G144" s="389">
        <f t="shared" si="19"/>
        <v>-315249.55994490162</v>
      </c>
      <c r="H144" s="389">
        <f t="shared" si="19"/>
        <v>-58149.259058241551</v>
      </c>
      <c r="I144" s="389">
        <f t="shared" si="19"/>
        <v>-217013.9999999998</v>
      </c>
      <c r="J144" s="389">
        <f t="shared" si="19"/>
        <v>-25917.364605011455</v>
      </c>
      <c r="K144" s="389">
        <f t="shared" si="19"/>
        <v>381536</v>
      </c>
      <c r="L144" s="389">
        <f t="shared" si="19"/>
        <v>-349684.61751277413</v>
      </c>
      <c r="M144" s="389">
        <f t="shared" si="19"/>
        <v>138313.46892894176</v>
      </c>
      <c r="N144" s="389">
        <f t="shared" si="19"/>
        <v>-153129.40062553281</v>
      </c>
      <c r="O144" s="389">
        <f t="shared" si="19"/>
        <v>-33798.751628733909</v>
      </c>
      <c r="P144" s="234"/>
    </row>
    <row r="145" spans="2:16">
      <c r="B145"/>
      <c r="C145" s="118" t="s">
        <v>33</v>
      </c>
      <c r="D145" s="389"/>
      <c r="E145" s="389" t="e">
        <f>((#REF!/#REF!)-(#REF!/#REF!))*#REF!</f>
        <v>#REF!</v>
      </c>
      <c r="F145" s="389" t="e">
        <f>((#REF!/#REF!)-(#REF!/#REF!))*#REF!</f>
        <v>#REF!</v>
      </c>
      <c r="G145" s="389" t="e">
        <f>((#REF!/#REF!)-(#REF!/#REF!))*#REF!</f>
        <v>#REF!</v>
      </c>
      <c r="H145" s="389" t="e">
        <f>((#REF!/#REF!)-(#REF!/#REF!))*#REF!</f>
        <v>#REF!</v>
      </c>
      <c r="I145" s="389" t="e">
        <f>((#REF!/#REF!)-(#REF!/#REF!))*#REF!</f>
        <v>#REF!</v>
      </c>
      <c r="J145" s="389" t="e">
        <f>((#REF!/#REF!)-(#REF!/#REF!))*#REF!</f>
        <v>#REF!</v>
      </c>
      <c r="K145" s="389" t="e">
        <f>((#REF!/#REF!)-(#REF!/#REF!))*#REF!</f>
        <v>#REF!</v>
      </c>
      <c r="L145" s="389" t="e">
        <f>((#REF!/#REF!)-(#REF!/#REF!))*#REF!</f>
        <v>#REF!</v>
      </c>
      <c r="M145" s="389" t="e">
        <f>((#REF!/#REF!)-(#REF!/#REF!))*#REF!</f>
        <v>#REF!</v>
      </c>
      <c r="N145" s="389" t="e">
        <f>((#REF!/#REF!)-(#REF!/#REF!))*#REF!</f>
        <v>#REF!</v>
      </c>
      <c r="O145" s="389" t="e">
        <f>((#REF!/#REF!)-(#REF!/#REF!))*#REF!</f>
        <v>#REF!</v>
      </c>
      <c r="P145" s="234"/>
    </row>
    <row r="146" spans="2:16">
      <c r="B146"/>
      <c r="C146" s="118" t="s">
        <v>38</v>
      </c>
      <c r="D146" s="389"/>
      <c r="E146" s="389" t="e">
        <f>((#REF!/#REF!)-(#REF!/#REF!))*#REF!</f>
        <v>#REF!</v>
      </c>
      <c r="F146" s="389" t="e">
        <f>((#REF!/#REF!)-(#REF!/#REF!))*#REF!</f>
        <v>#REF!</v>
      </c>
      <c r="G146" s="389" t="e">
        <f>((#REF!/#REF!)-(#REF!/#REF!))*#REF!</f>
        <v>#REF!</v>
      </c>
      <c r="H146" s="389" t="e">
        <f>((#REF!/#REF!)-(#REF!/#REF!))*#REF!</f>
        <v>#REF!</v>
      </c>
      <c r="I146" s="389" t="e">
        <f>((#REF!/#REF!)-(#REF!/#REF!))*#REF!</f>
        <v>#REF!</v>
      </c>
      <c r="J146" s="389" t="e">
        <f>((#REF!/#REF!)-(#REF!/#REF!))*#REF!</f>
        <v>#REF!</v>
      </c>
      <c r="K146" s="389" t="e">
        <f>((#REF!/#REF!)-(#REF!/#REF!))*#REF!</f>
        <v>#REF!</v>
      </c>
      <c r="L146" s="389" t="e">
        <f>((#REF!/#REF!)-(#REF!/#REF!))*#REF!</f>
        <v>#REF!</v>
      </c>
      <c r="M146" s="389" t="e">
        <f>((#REF!/#REF!)-(#REF!/#REF!))*#REF!</f>
        <v>#REF!</v>
      </c>
      <c r="N146" s="389" t="e">
        <f>((#REF!/#REF!)-(#REF!/#REF!))*#REF!</f>
        <v>#REF!</v>
      </c>
      <c r="O146" s="389" t="e">
        <f>((#REF!/#REF!)-(#REF!/#REF!))*#REF!</f>
        <v>#REF!</v>
      </c>
      <c r="P146" s="234"/>
    </row>
    <row r="147" spans="2:16">
      <c r="B147"/>
      <c r="C147" s="118" t="s">
        <v>34</v>
      </c>
      <c r="D147" s="389"/>
      <c r="E147" s="389" t="e">
        <f>((#REF!/#REF!)-(#REF!/#REF!))*#REF!</f>
        <v>#REF!</v>
      </c>
      <c r="F147" s="389" t="e">
        <f>((#REF!/#REF!)-(#REF!/#REF!))*#REF!</f>
        <v>#REF!</v>
      </c>
      <c r="G147" s="389" t="e">
        <f>((#REF!/#REF!)-(#REF!/#REF!))*#REF!</f>
        <v>#REF!</v>
      </c>
      <c r="H147" s="389" t="e">
        <f>((#REF!/#REF!)-(#REF!/#REF!))*#REF!</f>
        <v>#REF!</v>
      </c>
      <c r="I147" s="389" t="e">
        <f>((#REF!/#REF!)-(#REF!/#REF!))*#REF!</f>
        <v>#REF!</v>
      </c>
      <c r="J147" s="389" t="e">
        <f>((#REF!/#REF!)-(#REF!/#REF!))*#REF!</f>
        <v>#REF!</v>
      </c>
      <c r="K147" s="389" t="e">
        <f>((#REF!/#REF!)-(#REF!/#REF!))*#REF!</f>
        <v>#REF!</v>
      </c>
      <c r="L147" s="389" t="e">
        <f>((#REF!/#REF!)-(#REF!/#REF!))*#REF!</f>
        <v>#REF!</v>
      </c>
      <c r="M147" s="389" t="e">
        <f>((#REF!/#REF!)-(#REF!/#REF!))*#REF!</f>
        <v>#REF!</v>
      </c>
      <c r="N147" s="389" t="e">
        <f>((#REF!/#REF!)-(#REF!/#REF!))*#REF!</f>
        <v>#REF!</v>
      </c>
      <c r="O147" s="389" t="e">
        <f>((#REF!/#REF!)-(#REF!/#REF!))*#REF!</f>
        <v>#REF!</v>
      </c>
      <c r="P147" s="234"/>
    </row>
    <row r="148" spans="2:16">
      <c r="B148"/>
      <c r="C148" s="118" t="s">
        <v>35</v>
      </c>
      <c r="D148" s="389"/>
      <c r="E148" s="389" t="e">
        <f>((#REF!/#REF!)-(#REF!/#REF!))*#REF!</f>
        <v>#REF!</v>
      </c>
      <c r="F148" s="389" t="e">
        <f>((#REF!/#REF!)-(#REF!/#REF!))*#REF!</f>
        <v>#REF!</v>
      </c>
      <c r="G148" s="389" t="e">
        <f>((#REF!/#REF!)-(#REF!/#REF!))*#REF!</f>
        <v>#REF!</v>
      </c>
      <c r="H148" s="389" t="e">
        <f>((#REF!/#REF!)-(#REF!/#REF!))*#REF!</f>
        <v>#REF!</v>
      </c>
      <c r="I148" s="389" t="e">
        <f>((#REF!/#REF!)-(#REF!/#REF!))*#REF!</f>
        <v>#REF!</v>
      </c>
      <c r="J148" s="389" t="e">
        <f>((#REF!/#REF!)-(#REF!/#REF!))*#REF!</f>
        <v>#REF!</v>
      </c>
      <c r="K148" s="389" t="e">
        <f>((#REF!/#REF!)-(#REF!/#REF!))*#REF!</f>
        <v>#REF!</v>
      </c>
      <c r="L148" s="389" t="e">
        <f>((#REF!/#REF!)-(#REF!/#REF!))*#REF!</f>
        <v>#REF!</v>
      </c>
      <c r="M148" s="389" t="e">
        <f>((#REF!/#REF!)-(#REF!/#REF!))*#REF!</f>
        <v>#REF!</v>
      </c>
      <c r="N148" s="389" t="e">
        <f>((#REF!/#REF!)-(#REF!/#REF!))*#REF!</f>
        <v>#REF!</v>
      </c>
      <c r="O148" s="389" t="e">
        <f>((#REF!/#REF!)-(#REF!/#REF!))*#REF!</f>
        <v>#REF!</v>
      </c>
      <c r="P148" s="234"/>
    </row>
    <row r="149" spans="2:16">
      <c r="B149"/>
      <c r="C149" s="118"/>
      <c r="D149" s="401"/>
      <c r="E149" s="114"/>
      <c r="F149" s="114"/>
      <c r="G149" s="114"/>
      <c r="H149" s="114"/>
      <c r="I149" s="114"/>
      <c r="J149" s="114"/>
      <c r="K149" s="114"/>
      <c r="L149" s="114"/>
      <c r="M149" s="114"/>
      <c r="N149" s="114"/>
      <c r="O149" s="114"/>
      <c r="P149" s="234"/>
    </row>
    <row r="151" spans="2:16" ht="18">
      <c r="B151"/>
      <c r="C151" s="380" t="s">
        <v>290</v>
      </c>
      <c r="D151" s="387">
        <v>1</v>
      </c>
      <c r="E151" s="387">
        <v>2</v>
      </c>
      <c r="F151" s="387">
        <v>3</v>
      </c>
      <c r="G151" s="387">
        <v>4</v>
      </c>
      <c r="H151" s="387">
        <v>5</v>
      </c>
      <c r="I151" s="387">
        <v>6</v>
      </c>
      <c r="J151" s="387">
        <v>7</v>
      </c>
      <c r="K151" s="387">
        <v>8</v>
      </c>
      <c r="L151" s="387">
        <v>9</v>
      </c>
      <c r="M151" s="387">
        <v>10</v>
      </c>
      <c r="N151" s="387">
        <v>11</v>
      </c>
      <c r="O151" s="387">
        <v>12</v>
      </c>
      <c r="P151" s="234"/>
    </row>
    <row r="152" spans="2:16">
      <c r="B152"/>
      <c r="C152" s="369"/>
      <c r="D152" s="370" t="s">
        <v>17</v>
      </c>
      <c r="E152" s="370" t="s">
        <v>18</v>
      </c>
      <c r="F152" s="370" t="s">
        <v>19</v>
      </c>
      <c r="G152" s="370" t="s">
        <v>20</v>
      </c>
      <c r="H152" s="370" t="s">
        <v>21</v>
      </c>
      <c r="I152" s="370" t="s">
        <v>22</v>
      </c>
      <c r="J152" s="370" t="s">
        <v>23</v>
      </c>
      <c r="K152" s="370" t="s">
        <v>24</v>
      </c>
      <c r="L152" s="370" t="s">
        <v>25</v>
      </c>
      <c r="M152" s="370" t="s">
        <v>26</v>
      </c>
      <c r="N152" s="370" t="s">
        <v>27</v>
      </c>
      <c r="O152" s="370" t="s">
        <v>28</v>
      </c>
      <c r="P152" s="362"/>
    </row>
    <row r="153" spans="2:16">
      <c r="B153"/>
      <c r="C153" s="119"/>
      <c r="D153" s="389" t="e">
        <f>SUM(D154:D163)</f>
        <v>#REF!</v>
      </c>
      <c r="E153" s="389" t="e">
        <f t="shared" ref="E153:O153" si="20">SUM(E154:E163)</f>
        <v>#REF!</v>
      </c>
      <c r="F153" s="389" t="e">
        <f t="shared" si="20"/>
        <v>#REF!</v>
      </c>
      <c r="G153" s="389" t="e">
        <f t="shared" si="20"/>
        <v>#REF!</v>
      </c>
      <c r="H153" s="389" t="e">
        <f t="shared" si="20"/>
        <v>#REF!</v>
      </c>
      <c r="I153" s="389" t="e">
        <f t="shared" si="20"/>
        <v>#REF!</v>
      </c>
      <c r="J153" s="389" t="e">
        <f t="shared" si="20"/>
        <v>#REF!</v>
      </c>
      <c r="K153" s="389" t="e">
        <f t="shared" si="20"/>
        <v>#REF!</v>
      </c>
      <c r="L153" s="389" t="e">
        <f t="shared" si="20"/>
        <v>#REF!</v>
      </c>
      <c r="M153" s="389" t="e">
        <f t="shared" si="20"/>
        <v>#REF!</v>
      </c>
      <c r="N153" s="389" t="e">
        <f t="shared" si="20"/>
        <v>#REF!</v>
      </c>
      <c r="O153" s="389" t="e">
        <f t="shared" si="20"/>
        <v>#REF!</v>
      </c>
      <c r="P153" s="114"/>
    </row>
    <row r="154" spans="2:16">
      <c r="B154"/>
      <c r="C154" s="118" t="s">
        <v>39</v>
      </c>
      <c r="D154" s="389">
        <f>D102-D113*'Sales volumes'!C41</f>
        <v>-1162683.7656</v>
      </c>
      <c r="E154" s="389">
        <f>E102-E113*'Sales volumes'!D41</f>
        <v>-1281255.9808000003</v>
      </c>
      <c r="F154" s="389">
        <f>F102-F113*'Sales volumes'!E41</f>
        <v>-617777.42240000016</v>
      </c>
      <c r="G154" s="389">
        <f>G102-G113*'Sales volumes'!F41</f>
        <v>-992052.23040000023</v>
      </c>
      <c r="H154" s="389">
        <f>H102-H113*'Sales volumes'!G41</f>
        <v>-1013959.4096000002</v>
      </c>
      <c r="I154" s="389">
        <f>I102-I113*'Sales volumes'!H41</f>
        <v>-701316.06239999994</v>
      </c>
      <c r="J154" s="389">
        <f>J102-J113*'Sales volumes'!I41</f>
        <v>-892770.20320000022</v>
      </c>
      <c r="K154" s="389">
        <f>K102-K113*'Sales volumes'!J41</f>
        <v>-1165178.1192000001</v>
      </c>
      <c r="L154" s="389">
        <f>L102-L113*'Sales volumes'!K41</f>
        <v>-922457.10800000024</v>
      </c>
      <c r="M154" s="389">
        <f>M102-M113*'Sales volumes'!L41</f>
        <v>-989315.67600000044</v>
      </c>
      <c r="N154" s="389">
        <f>N102-N113*'Sales volumes'!M41</f>
        <v>-964116.63120000041</v>
      </c>
      <c r="O154" s="389">
        <f>O102-O113*'Sales volumes'!N41</f>
        <v>-802683.2592000002</v>
      </c>
      <c r="P154" s="114"/>
    </row>
    <row r="155" spans="2:16">
      <c r="B155"/>
      <c r="C155" s="118" t="s">
        <v>31</v>
      </c>
      <c r="D155" s="389">
        <f>D103-D114*'Sales volumes'!C42</f>
        <v>-1314828.4855200001</v>
      </c>
      <c r="E155" s="389">
        <f>E103-E114*'Sales volumes'!D42</f>
        <v>-963315.51915999991</v>
      </c>
      <c r="F155" s="389">
        <f>F103-F114*'Sales volumes'!E42</f>
        <v>-827673.76004000031</v>
      </c>
      <c r="G155" s="389">
        <f>G103-G114*'Sales volumes'!F42</f>
        <v>-1200692.0579200005</v>
      </c>
      <c r="H155" s="389">
        <f>H103-H114*'Sales volumes'!G42</f>
        <v>-997269.23472000018</v>
      </c>
      <c r="I155" s="389">
        <f>I103-I114*'Sales volumes'!H42</f>
        <v>-1016939.5883200003</v>
      </c>
      <c r="J155" s="389">
        <f>J103-J114*'Sales volumes'!I42</f>
        <v>-1193151.8833600001</v>
      </c>
      <c r="K155" s="389">
        <f>K103-K114*'Sales volumes'!J42</f>
        <v>-978512.74604000011</v>
      </c>
      <c r="L155" s="389">
        <f>L103-L114*'Sales volumes'!K42</f>
        <v>-1040233.9311600002</v>
      </c>
      <c r="M155" s="389">
        <f>M103-M114*'Sales volumes'!L42</f>
        <v>-962444.27335999999</v>
      </c>
      <c r="N155" s="389">
        <f>N103-N114*'Sales volumes'!M42</f>
        <v>-997458.20504000038</v>
      </c>
      <c r="O155" s="389">
        <f>O103-O114*'Sales volumes'!N42</f>
        <v>-990647.07120000012</v>
      </c>
      <c r="P155" s="364">
        <f>SUMIFS('Jounal entries final'!$H:$H,'Jounal entries final'!$E:$E,$C155,'Jounal entries final'!$B:$B,P$15,'Jounal entries final'!$C:$C,$Q$15)</f>
        <v>0</v>
      </c>
    </row>
    <row r="156" spans="2:16">
      <c r="B156"/>
      <c r="C156" s="118" t="s">
        <v>40</v>
      </c>
      <c r="D156" s="389">
        <f>D104-D115*'Sales volumes'!C43</f>
        <v>-3375343.8111000014</v>
      </c>
      <c r="E156" s="389">
        <f>E104-E115*'Sales volumes'!D43</f>
        <v>-3127452.7584800012</v>
      </c>
      <c r="F156" s="389">
        <f>F104-F115*'Sales volumes'!E43</f>
        <v>-2890867.0585600007</v>
      </c>
      <c r="G156" s="389">
        <f>G104-G115*'Sales volumes'!F43</f>
        <v>-3095610.0036000009</v>
      </c>
      <c r="H156" s="389">
        <f>H104-H115*'Sales volumes'!G43</f>
        <v>-2951742.2700000009</v>
      </c>
      <c r="I156" s="389">
        <f>I104-I115*'Sales volumes'!H43</f>
        <v>-2494574.0715600001</v>
      </c>
      <c r="J156" s="389">
        <f>J104-J115*'Sales volumes'!I43</f>
        <v>-2976282.5257600006</v>
      </c>
      <c r="K156" s="389">
        <f>K104-K115*'Sales volumes'!J43</f>
        <v>-2847279.9065800011</v>
      </c>
      <c r="L156" s="389">
        <f>L104-L115*'Sales volumes'!K43</f>
        <v>-2320336.6651799995</v>
      </c>
      <c r="M156" s="389">
        <f>M104-M115*'Sales volumes'!L43</f>
        <v>-2545477.9696600004</v>
      </c>
      <c r="N156" s="389">
        <f>N104-N115*'Sales volumes'!M43</f>
        <v>-2572014.5528000006</v>
      </c>
      <c r="O156" s="389">
        <f>O104-O115*'Sales volumes'!N43</f>
        <v>-2466690.9220799999</v>
      </c>
      <c r="P156" s="364">
        <f>SUMIFS('Jounal entries final'!$H:$H,'Jounal entries final'!$E:$E,$C156,'Jounal entries final'!$B:$B,P$15,'Jounal entries final'!$C:$C,$Q$15)</f>
        <v>0</v>
      </c>
    </row>
    <row r="157" spans="2:16">
      <c r="B157"/>
      <c r="C157" s="118" t="s">
        <v>36</v>
      </c>
      <c r="D157" s="389">
        <f>D105-D116*'Sales volumes'!C44</f>
        <v>-2128711.284</v>
      </c>
      <c r="E157" s="389">
        <f>E105-E116*'Sales volumes'!D44</f>
        <v>-2815754.3220000006</v>
      </c>
      <c r="F157" s="389">
        <f>F105-F116*'Sales volumes'!E44</f>
        <v>-1333299.9060000004</v>
      </c>
      <c r="G157" s="389">
        <f>G105-G116*'Sales volumes'!F44</f>
        <v>-2025766.656</v>
      </c>
      <c r="H157" s="389">
        <f>H105-H116*'Sales volumes'!G44</f>
        <v>-1825902.3340000003</v>
      </c>
      <c r="I157" s="389">
        <f>I105-I116*'Sales volumes'!H44</f>
        <v>-1327545.4960000007</v>
      </c>
      <c r="J157" s="389">
        <f>J105-J116*'Sales volumes'!I44</f>
        <v>-1535333.3680000002</v>
      </c>
      <c r="K157" s="389">
        <f>K105-K116*'Sales volumes'!J44</f>
        <v>-2082522.5980000012</v>
      </c>
      <c r="L157" s="389">
        <f>L105-L116*'Sales volumes'!K44</f>
        <v>-1963133.5700000003</v>
      </c>
      <c r="M157" s="389">
        <f>M105-M116*'Sales volumes'!L44</f>
        <v>-2200395.1900000004</v>
      </c>
      <c r="N157" s="389">
        <f>N105-N116*'Sales volumes'!M44</f>
        <v>-1372614.7580000004</v>
      </c>
      <c r="O157" s="389">
        <f>O105-O116*'Sales volumes'!N44</f>
        <v>-2167235.4280000003</v>
      </c>
      <c r="P157" s="364">
        <f>SUMIFS('Jounal entries final'!$H:$H,'Jounal entries final'!$E:$E,$C157,'Jounal entries final'!$B:$B,P$15,'Jounal entries final'!$C:$C,$Q$15)</f>
        <v>0</v>
      </c>
    </row>
    <row r="158" spans="2:16">
      <c r="B158"/>
      <c r="C158" s="118" t="s">
        <v>32</v>
      </c>
      <c r="D158" s="389">
        <f>D106-D117*'Sales volumes'!C45</f>
        <v>-1412009.6447999999</v>
      </c>
      <c r="E158" s="389">
        <f>E106-E117*'Sales volumes'!D45</f>
        <v>-874558.89030000009</v>
      </c>
      <c r="F158" s="389">
        <f>F106-F117*'Sales volumes'!E45</f>
        <v>-1331280.7376999999</v>
      </c>
      <c r="G158" s="389">
        <f>G106-G117*'Sales volumes'!F45</f>
        <v>-1510749.6240000003</v>
      </c>
      <c r="H158" s="389">
        <f>H106-H117*'Sales volumes'!G45</f>
        <v>-1161672.6408000002</v>
      </c>
      <c r="I158" s="389">
        <f>I106-I117*'Sales volumes'!H45</f>
        <v>-1322069.6768000002</v>
      </c>
      <c r="J158" s="389">
        <f>J106-J117*'Sales volumes'!I45</f>
        <v>-1372227.0588000005</v>
      </c>
      <c r="K158" s="389">
        <f>K106-K117*'Sales volumes'!J45</f>
        <v>-855340.02900000021</v>
      </c>
      <c r="L158" s="389">
        <f>L106-L117*'Sales volumes'!K45</f>
        <v>-1101250.0066000004</v>
      </c>
      <c r="M158" s="389">
        <f>M106-M117*'Sales volumes'!L45</f>
        <v>-925069.67849999992</v>
      </c>
      <c r="N158" s="389">
        <f>N106-N117*'Sales volumes'!M45</f>
        <v>-956414.65660000034</v>
      </c>
      <c r="O158" s="389">
        <f>O106-O117*'Sales volumes'!N45</f>
        <v>-983248.67920000013</v>
      </c>
      <c r="P158" s="234"/>
    </row>
    <row r="159" spans="2:16">
      <c r="B159"/>
      <c r="C159" s="118" t="s">
        <v>37</v>
      </c>
      <c r="D159" s="389">
        <f>D107-D118*'Sales volumes'!C46</f>
        <v>-2784075.6320000002</v>
      </c>
      <c r="E159" s="389">
        <f>E107-E118*'Sales volumes'!D46</f>
        <v>-2111743.2560000005</v>
      </c>
      <c r="F159" s="389">
        <f>F107-F118*'Sales volumes'!E46</f>
        <v>-2873567.4760000007</v>
      </c>
      <c r="G159" s="389">
        <f>G107-G118*'Sales volumes'!F46</f>
        <v>-2626887.2800000003</v>
      </c>
      <c r="H159" s="389">
        <f>H107-H118*'Sales volumes'!G46</f>
        <v>-2920910.2420000006</v>
      </c>
      <c r="I159" s="389">
        <f>I107-I118*'Sales volumes'!H46</f>
        <v>-2325535.7600000007</v>
      </c>
      <c r="J159" s="389">
        <f>J107-J118*'Sales volumes'!I46</f>
        <v>-3079433.5200000005</v>
      </c>
      <c r="K159" s="389">
        <f>K107-K118*'Sales volumes'!J46</f>
        <v>-2387809.6840000013</v>
      </c>
      <c r="L159" s="389">
        <f>L107-L118*'Sales volumes'!K46</f>
        <v>-2343484.4080000003</v>
      </c>
      <c r="M159" s="389">
        <f>M107-M118*'Sales volumes'!L46</f>
        <v>-2138358.7980000004</v>
      </c>
      <c r="N159" s="389">
        <f>N107-N118*'Sales volumes'!M46</f>
        <v>-2181417.3740000008</v>
      </c>
      <c r="O159" s="389">
        <f>O107-O118*'Sales volumes'!N46</f>
        <v>-2024471.5320000001</v>
      </c>
      <c r="P159" s="234"/>
    </row>
    <row r="160" spans="2:16">
      <c r="B160"/>
      <c r="C160" s="118" t="s">
        <v>33</v>
      </c>
      <c r="D160" s="389" t="e">
        <f>#REF!-#REF!*'Sales volumes'!C47</f>
        <v>#REF!</v>
      </c>
      <c r="E160" s="389" t="e">
        <f>#REF!-#REF!*'Sales volumes'!D47</f>
        <v>#REF!</v>
      </c>
      <c r="F160" s="389" t="e">
        <f>#REF!-#REF!*'Sales volumes'!E47</f>
        <v>#REF!</v>
      </c>
      <c r="G160" s="389" t="e">
        <f>#REF!-#REF!*'Sales volumes'!F47</f>
        <v>#REF!</v>
      </c>
      <c r="H160" s="389" t="e">
        <f>#REF!-#REF!*'Sales volumes'!G47</f>
        <v>#REF!</v>
      </c>
      <c r="I160" s="389" t="e">
        <f>#REF!-#REF!*'Sales volumes'!H47</f>
        <v>#REF!</v>
      </c>
      <c r="J160" s="389" t="e">
        <f>#REF!-#REF!*'Sales volumes'!I47</f>
        <v>#REF!</v>
      </c>
      <c r="K160" s="389" t="e">
        <f>#REF!-#REF!*'Sales volumes'!J47</f>
        <v>#REF!</v>
      </c>
      <c r="L160" s="389" t="e">
        <f>#REF!-#REF!*'Sales volumes'!K47</f>
        <v>#REF!</v>
      </c>
      <c r="M160" s="389" t="e">
        <f>#REF!-#REF!*'Sales volumes'!L47</f>
        <v>#REF!</v>
      </c>
      <c r="N160" s="389" t="e">
        <f>#REF!-#REF!*'Sales volumes'!M47</f>
        <v>#REF!</v>
      </c>
      <c r="O160" s="389" t="e">
        <f>#REF!-#REF!*'Sales volumes'!N47</f>
        <v>#REF!</v>
      </c>
      <c r="P160" s="234"/>
    </row>
    <row r="161" spans="2:16">
      <c r="B161"/>
      <c r="C161" s="118" t="s">
        <v>38</v>
      </c>
      <c r="D161" s="389" t="e">
        <f>#REF!-#REF!*'Sales volumes'!C48</f>
        <v>#REF!</v>
      </c>
      <c r="E161" s="389" t="e">
        <f>#REF!-#REF!*'Sales volumes'!D48</f>
        <v>#REF!</v>
      </c>
      <c r="F161" s="389" t="e">
        <f>#REF!-#REF!*'Sales volumes'!E48</f>
        <v>#REF!</v>
      </c>
      <c r="G161" s="389" t="e">
        <f>#REF!-#REF!*'Sales volumes'!F48</f>
        <v>#REF!</v>
      </c>
      <c r="H161" s="389" t="e">
        <f>#REF!-#REF!*'Sales volumes'!G48</f>
        <v>#REF!</v>
      </c>
      <c r="I161" s="389" t="e">
        <f>#REF!-#REF!*'Sales volumes'!H48</f>
        <v>#REF!</v>
      </c>
      <c r="J161" s="389" t="e">
        <f>#REF!-#REF!*'Sales volumes'!I48</f>
        <v>#REF!</v>
      </c>
      <c r="K161" s="389" t="e">
        <f>#REF!-#REF!*'Sales volumes'!J48</f>
        <v>#REF!</v>
      </c>
      <c r="L161" s="389" t="e">
        <f>#REF!-#REF!*'Sales volumes'!K48</f>
        <v>#REF!</v>
      </c>
      <c r="M161" s="389" t="e">
        <f>#REF!-#REF!*'Sales volumes'!L48</f>
        <v>#REF!</v>
      </c>
      <c r="N161" s="389" t="e">
        <f>#REF!-#REF!*'Sales volumes'!M48</f>
        <v>#REF!</v>
      </c>
      <c r="O161" s="389" t="e">
        <f>#REF!-#REF!*'Sales volumes'!N48</f>
        <v>#REF!</v>
      </c>
      <c r="P161" s="234"/>
    </row>
    <row r="162" spans="2:16">
      <c r="B162"/>
      <c r="C162" s="118" t="s">
        <v>34</v>
      </c>
      <c r="D162" s="389" t="e">
        <f>#REF!-#REF!*'Sales volumes'!C49</f>
        <v>#REF!</v>
      </c>
      <c r="E162" s="389" t="e">
        <f>#REF!-#REF!*'Sales volumes'!D49</f>
        <v>#REF!</v>
      </c>
      <c r="F162" s="389" t="e">
        <f>#REF!-#REF!*'Sales volumes'!E49</f>
        <v>#REF!</v>
      </c>
      <c r="G162" s="389" t="e">
        <f>#REF!-#REF!*'Sales volumes'!F49</f>
        <v>#REF!</v>
      </c>
      <c r="H162" s="389" t="e">
        <f>#REF!-#REF!*'Sales volumes'!G49</f>
        <v>#REF!</v>
      </c>
      <c r="I162" s="389" t="e">
        <f>#REF!-#REF!*'Sales volumes'!H49</f>
        <v>#REF!</v>
      </c>
      <c r="J162" s="389" t="e">
        <f>#REF!-#REF!*'Sales volumes'!I49</f>
        <v>#REF!</v>
      </c>
      <c r="K162" s="389" t="e">
        <f>#REF!-#REF!*'Sales volumes'!J49</f>
        <v>#REF!</v>
      </c>
      <c r="L162" s="389" t="e">
        <f>#REF!-#REF!*'Sales volumes'!K49</f>
        <v>#REF!</v>
      </c>
      <c r="M162" s="389" t="e">
        <f>#REF!-#REF!*'Sales volumes'!L49</f>
        <v>#REF!</v>
      </c>
      <c r="N162" s="389" t="e">
        <f>#REF!-#REF!*'Sales volumes'!M49</f>
        <v>#REF!</v>
      </c>
      <c r="O162" s="389" t="e">
        <f>#REF!-#REF!*'Sales volumes'!N49</f>
        <v>#REF!</v>
      </c>
      <c r="P162" s="234"/>
    </row>
    <row r="163" spans="2:16">
      <c r="B163"/>
      <c r="C163" s="118" t="s">
        <v>35</v>
      </c>
      <c r="D163" s="389" t="e">
        <f>#REF!-#REF!*'Sales volumes'!C50</f>
        <v>#REF!</v>
      </c>
      <c r="E163" s="389" t="e">
        <f>#REF!-#REF!*'Sales volumes'!D50</f>
        <v>#REF!</v>
      </c>
      <c r="F163" s="389" t="e">
        <f>#REF!-#REF!*'Sales volumes'!E50</f>
        <v>#REF!</v>
      </c>
      <c r="G163" s="389" t="e">
        <f>#REF!-#REF!*'Sales volumes'!F50</f>
        <v>#REF!</v>
      </c>
      <c r="H163" s="389" t="e">
        <f>#REF!-#REF!*'Sales volumes'!G50</f>
        <v>#REF!</v>
      </c>
      <c r="I163" s="389" t="e">
        <f>#REF!-#REF!*'Sales volumes'!H50</f>
        <v>#REF!</v>
      </c>
      <c r="J163" s="389" t="e">
        <f>#REF!-#REF!*'Sales volumes'!I50</f>
        <v>#REF!</v>
      </c>
      <c r="K163" s="389" t="e">
        <f>#REF!-#REF!*'Sales volumes'!J50</f>
        <v>#REF!</v>
      </c>
      <c r="L163" s="389" t="e">
        <f>#REF!-#REF!*'Sales volumes'!K50</f>
        <v>#REF!</v>
      </c>
      <c r="M163" s="389" t="e">
        <f>#REF!-#REF!*'Sales volumes'!L50</f>
        <v>#REF!</v>
      </c>
      <c r="N163" s="389" t="e">
        <f>#REF!-#REF!*'Sales volumes'!M50</f>
        <v>#REF!</v>
      </c>
      <c r="O163" s="389" t="e">
        <f>#REF!-#REF!*'Sales volumes'!N50</f>
        <v>#REF!</v>
      </c>
      <c r="P163" s="234"/>
    </row>
    <row r="164" spans="2:16">
      <c r="B164"/>
      <c r="C164" s="118"/>
      <c r="D164" s="401"/>
      <c r="E164" s="114"/>
      <c r="F164" s="114"/>
      <c r="G164" s="114"/>
      <c r="H164" s="114"/>
      <c r="I164" s="114"/>
      <c r="J164" s="114"/>
      <c r="K164" s="114"/>
      <c r="L164" s="114"/>
      <c r="M164" s="114"/>
      <c r="N164" s="114"/>
      <c r="O164" s="114"/>
      <c r="P164" s="234"/>
    </row>
    <row r="166" spans="2:16" ht="18">
      <c r="B166"/>
      <c r="C166" s="380" t="s">
        <v>290</v>
      </c>
      <c r="D166" s="387">
        <v>1</v>
      </c>
      <c r="E166" s="387">
        <v>2</v>
      </c>
      <c r="F166" s="387">
        <v>3</v>
      </c>
      <c r="G166" s="387">
        <v>4</v>
      </c>
      <c r="H166" s="387">
        <v>5</v>
      </c>
      <c r="I166" s="387">
        <v>6</v>
      </c>
      <c r="J166" s="387">
        <v>7</v>
      </c>
      <c r="K166" s="387">
        <v>8</v>
      </c>
      <c r="L166" s="387">
        <v>9</v>
      </c>
      <c r="M166" s="387">
        <v>10</v>
      </c>
      <c r="N166" s="387">
        <v>11</v>
      </c>
      <c r="O166" s="387">
        <v>12</v>
      </c>
      <c r="P166" s="234"/>
    </row>
    <row r="167" spans="2:16">
      <c r="B167"/>
      <c r="C167" s="369"/>
      <c r="D167" s="370" t="s">
        <v>17</v>
      </c>
      <c r="E167" s="370" t="s">
        <v>18</v>
      </c>
      <c r="F167" s="370" t="s">
        <v>19</v>
      </c>
      <c r="G167" s="370" t="s">
        <v>20</v>
      </c>
      <c r="H167" s="370" t="s">
        <v>21</v>
      </c>
      <c r="I167" s="370" t="s">
        <v>22</v>
      </c>
      <c r="J167" s="370" t="s">
        <v>23</v>
      </c>
      <c r="K167" s="370" t="s">
        <v>24</v>
      </c>
      <c r="L167" s="370" t="s">
        <v>25</v>
      </c>
      <c r="M167" s="370" t="s">
        <v>26</v>
      </c>
      <c r="N167" s="370" t="s">
        <v>27</v>
      </c>
      <c r="O167" s="370" t="s">
        <v>28</v>
      </c>
      <c r="P167" s="362"/>
    </row>
    <row r="168" spans="2:16">
      <c r="B168"/>
      <c r="C168" s="119"/>
      <c r="D168" s="389"/>
      <c r="E168" s="389"/>
      <c r="F168" s="389"/>
      <c r="G168" s="389"/>
      <c r="H168" s="389"/>
      <c r="I168" s="389"/>
      <c r="J168" s="389"/>
      <c r="K168" s="389"/>
      <c r="L168" s="389"/>
      <c r="M168" s="389"/>
      <c r="N168" s="389"/>
      <c r="O168" s="389"/>
      <c r="P168" s="114"/>
    </row>
    <row r="169" spans="2:16">
      <c r="B169"/>
      <c r="C169" s="118" t="s">
        <v>39</v>
      </c>
      <c r="D169" s="414">
        <f t="shared" ref="D169:O169" si="21">D154/D102</f>
        <v>-1.3548421052631578</v>
      </c>
      <c r="E169" s="414">
        <f t="shared" si="21"/>
        <v>-1.3807905432697056</v>
      </c>
      <c r="F169" s="414">
        <f t="shared" si="21"/>
        <v>-1.5258450309181393</v>
      </c>
      <c r="G169" s="414">
        <f t="shared" si="21"/>
        <v>-1.3077195026076558</v>
      </c>
      <c r="H169" s="414">
        <f t="shared" si="21"/>
        <v>-1.5326256918253065</v>
      </c>
      <c r="I169" s="414">
        <f t="shared" si="21"/>
        <v>-1.2446669600934799</v>
      </c>
      <c r="J169" s="414">
        <f t="shared" si="21"/>
        <v>-1.2671588849992226</v>
      </c>
      <c r="K169" s="414">
        <f t="shared" si="21"/>
        <v>-1.5981502684482016</v>
      </c>
      <c r="L169" s="414">
        <f t="shared" si="21"/>
        <v>-1.289138683952503</v>
      </c>
      <c r="M169" s="414">
        <f t="shared" si="21"/>
        <v>-1.1625309235611314</v>
      </c>
      <c r="N169" s="414">
        <f t="shared" si="21"/>
        <v>-1.5150433639699652</v>
      </c>
      <c r="O169" s="414">
        <f t="shared" si="21"/>
        <v>-0.8739606969707</v>
      </c>
      <c r="P169" s="114"/>
    </row>
    <row r="170" spans="2:16">
      <c r="B170"/>
      <c r="C170" s="118" t="s">
        <v>31</v>
      </c>
      <c r="D170" s="414">
        <f t="shared" ref="D170:O170" si="22">D155/D103</f>
        <v>-1.3473333333333333</v>
      </c>
      <c r="E170" s="414">
        <f t="shared" si="22"/>
        <v>-1.0404868021133349</v>
      </c>
      <c r="F170" s="414">
        <f t="shared" si="22"/>
        <v>-0.99623863162039172</v>
      </c>
      <c r="G170" s="414">
        <f t="shared" si="22"/>
        <v>-1.2132946955177064</v>
      </c>
      <c r="H170" s="414">
        <f t="shared" si="22"/>
        <v>-1.0410476190476194</v>
      </c>
      <c r="I170" s="414">
        <f t="shared" si="22"/>
        <v>-1.2124004342773527</v>
      </c>
      <c r="J170" s="414">
        <f t="shared" si="22"/>
        <v>-1.2763482441181422</v>
      </c>
      <c r="K170" s="414">
        <f t="shared" si="22"/>
        <v>-1.1894498835436158</v>
      </c>
      <c r="L170" s="414">
        <f t="shared" si="22"/>
        <v>-1.2333456416786566</v>
      </c>
      <c r="M170" s="414">
        <f t="shared" si="22"/>
        <v>-1.1309184634956218</v>
      </c>
      <c r="N170" s="414">
        <f t="shared" si="22"/>
        <v>-1.2611643388116653</v>
      </c>
      <c r="O170" s="414">
        <f t="shared" si="22"/>
        <v>-1.1995407321355207</v>
      </c>
      <c r="P170" s="364">
        <f>SUMIFS('Jounal entries final'!$H:$H,'Jounal entries final'!$E:$E,$C170,'Jounal entries final'!$B:$B,P$15,'Jounal entries final'!$C:$C,$Q$15)</f>
        <v>0</v>
      </c>
    </row>
    <row r="171" spans="2:16">
      <c r="B171"/>
      <c r="C171" s="118" t="s">
        <v>40</v>
      </c>
      <c r="D171" s="414">
        <f t="shared" ref="D171:O171" si="23">D156/D104</f>
        <v>-1.3548421052631583</v>
      </c>
      <c r="E171" s="414">
        <f t="shared" si="23"/>
        <v>-1.5999092304350035</v>
      </c>
      <c r="F171" s="414">
        <f t="shared" si="23"/>
        <v>-1.4291098224461716</v>
      </c>
      <c r="G171" s="414">
        <f t="shared" si="23"/>
        <v>-1.3590301250250558</v>
      </c>
      <c r="H171" s="414">
        <f t="shared" si="23"/>
        <v>-1.2490375953408965</v>
      </c>
      <c r="I171" s="414">
        <f t="shared" si="23"/>
        <v>-1.3899260723700895</v>
      </c>
      <c r="J171" s="414">
        <f t="shared" si="23"/>
        <v>-1.2661839732253377</v>
      </c>
      <c r="K171" s="414">
        <f t="shared" si="23"/>
        <v>-1.4463645680555888</v>
      </c>
      <c r="L171" s="414">
        <f t="shared" si="23"/>
        <v>-1.0881873917996865</v>
      </c>
      <c r="M171" s="414">
        <f t="shared" si="23"/>
        <v>-1.2907217854040929</v>
      </c>
      <c r="N171" s="414">
        <f t="shared" si="23"/>
        <v>-1.3316565839467887</v>
      </c>
      <c r="O171" s="414">
        <f t="shared" si="23"/>
        <v>-1.3867777777777779</v>
      </c>
      <c r="P171" s="364">
        <f>SUMIFS('Jounal entries final'!$H:$H,'Jounal entries final'!$E:$E,$C171,'Jounal entries final'!$B:$B,P$15,'Jounal entries final'!$C:$C,$Q$15)</f>
        <v>0</v>
      </c>
    </row>
    <row r="172" spans="2:16">
      <c r="B172"/>
      <c r="C172" s="118" t="s">
        <v>36</v>
      </c>
      <c r="D172" s="414">
        <f t="shared" ref="D172:O172" si="24">D157/D105</f>
        <v>-0.89771428571428569</v>
      </c>
      <c r="E172" s="414">
        <f t="shared" si="24"/>
        <v>-1.3074542174649522</v>
      </c>
      <c r="F172" s="414">
        <f t="shared" si="24"/>
        <v>-1.3956666666666671</v>
      </c>
      <c r="G172" s="414">
        <f t="shared" si="24"/>
        <v>-1.0777315107322716</v>
      </c>
      <c r="H172" s="414">
        <f t="shared" si="24"/>
        <v>-0.9735144760708434</v>
      </c>
      <c r="I172" s="414">
        <f t="shared" si="24"/>
        <v>-0.88901191871327767</v>
      </c>
      <c r="J172" s="414">
        <f t="shared" si="24"/>
        <v>-0.77459035993225456</v>
      </c>
      <c r="K172" s="414">
        <f t="shared" si="24"/>
        <v>-0.9717786403272799</v>
      </c>
      <c r="L172" s="414">
        <f t="shared" si="24"/>
        <v>-1.2015649088574343</v>
      </c>
      <c r="M172" s="414">
        <f t="shared" si="24"/>
        <v>-1.1666103913593027</v>
      </c>
      <c r="N172" s="414">
        <f t="shared" si="24"/>
        <v>-0.62925791274377996</v>
      </c>
      <c r="O172" s="414">
        <f t="shared" si="24"/>
        <v>-1.3001904347095739</v>
      </c>
      <c r="P172" s="364">
        <f>SUMIFS('Jounal entries final'!$H:$H,'Jounal entries final'!$E:$E,$C172,'Jounal entries final'!$B:$B,P$15,'Jounal entries final'!$C:$C,$Q$15)</f>
        <v>0</v>
      </c>
    </row>
    <row r="173" spans="2:16">
      <c r="B173"/>
      <c r="C173" s="118" t="s">
        <v>32</v>
      </c>
      <c r="D173" s="414">
        <f t="shared" ref="D173:O173" si="25">D158/D106</f>
        <v>-1.347333333333333</v>
      </c>
      <c r="E173" s="414">
        <f t="shared" si="25"/>
        <v>-1.0983019414900048</v>
      </c>
      <c r="F173" s="414">
        <f t="shared" si="25"/>
        <v>-1.3333055621920229</v>
      </c>
      <c r="G173" s="414">
        <f t="shared" si="25"/>
        <v>-1.6065882352941179</v>
      </c>
      <c r="H173" s="414">
        <f t="shared" si="25"/>
        <v>-1.0752544413487972</v>
      </c>
      <c r="I173" s="414">
        <f t="shared" si="25"/>
        <v>-1.4786174076662166</v>
      </c>
      <c r="J173" s="414">
        <f t="shared" si="25"/>
        <v>-1.1989085261841288</v>
      </c>
      <c r="K173" s="414">
        <f t="shared" si="25"/>
        <v>-0.9319666026607476</v>
      </c>
      <c r="L173" s="414">
        <f t="shared" si="25"/>
        <v>-1.3030108057901604</v>
      </c>
      <c r="M173" s="414">
        <f t="shared" si="25"/>
        <v>-1.1709397412709219</v>
      </c>
      <c r="N173" s="414">
        <f t="shared" si="25"/>
        <v>-1.0391000000000004</v>
      </c>
      <c r="O173" s="414">
        <f t="shared" si="25"/>
        <v>-1.3363870992294411</v>
      </c>
      <c r="P173" s="234"/>
    </row>
    <row r="174" spans="2:16">
      <c r="B174"/>
      <c r="C174" s="118" t="s">
        <v>37</v>
      </c>
      <c r="D174" s="414">
        <f t="shared" ref="D174:O174" si="26">D159/D107</f>
        <v>-1.0974736842105264</v>
      </c>
      <c r="E174" s="414">
        <f t="shared" si="26"/>
        <v>-1.0221370178624674</v>
      </c>
      <c r="F174" s="414">
        <f t="shared" si="26"/>
        <v>-0.96409383380264801</v>
      </c>
      <c r="G174" s="414">
        <f t="shared" si="26"/>
        <v>-1.05924070110469</v>
      </c>
      <c r="H174" s="414">
        <f t="shared" si="26"/>
        <v>-1.2664210526315791</v>
      </c>
      <c r="I174" s="414">
        <f t="shared" si="26"/>
        <v>-1.1259188092121066</v>
      </c>
      <c r="J174" s="414">
        <f t="shared" si="26"/>
        <v>-1.3524705882352943</v>
      </c>
      <c r="K174" s="414">
        <f t="shared" si="26"/>
        <v>-1.1202222251413296</v>
      </c>
      <c r="L174" s="414">
        <f t="shared" si="26"/>
        <v>-1.2979611367855768</v>
      </c>
      <c r="M174" s="414">
        <f t="shared" si="26"/>
        <v>-1.1975998245905857</v>
      </c>
      <c r="N174" s="414">
        <f t="shared" si="26"/>
        <v>-1.1884950919259367</v>
      </c>
      <c r="O174" s="414">
        <f t="shared" si="26"/>
        <v>-1.2518823529411764</v>
      </c>
      <c r="P174" s="234"/>
    </row>
    <row r="175" spans="2:16">
      <c r="B175"/>
      <c r="C175" s="118" t="s">
        <v>33</v>
      </c>
      <c r="D175" s="414" t="e">
        <f>D160/#REF!</f>
        <v>#REF!</v>
      </c>
      <c r="E175" s="414" t="e">
        <f>E160/#REF!</f>
        <v>#REF!</v>
      </c>
      <c r="F175" s="414" t="e">
        <f>F160/#REF!</f>
        <v>#REF!</v>
      </c>
      <c r="G175" s="414" t="e">
        <f>G160/#REF!</f>
        <v>#REF!</v>
      </c>
      <c r="H175" s="414" t="e">
        <f>H160/#REF!</f>
        <v>#REF!</v>
      </c>
      <c r="I175" s="414" t="e">
        <f>I160/#REF!</f>
        <v>#REF!</v>
      </c>
      <c r="J175" s="414" t="e">
        <f>J160/#REF!</f>
        <v>#REF!</v>
      </c>
      <c r="K175" s="414" t="e">
        <f>K160/#REF!</f>
        <v>#REF!</v>
      </c>
      <c r="L175" s="414" t="e">
        <f>L160/#REF!</f>
        <v>#REF!</v>
      </c>
      <c r="M175" s="414" t="e">
        <f>M160/#REF!</f>
        <v>#REF!</v>
      </c>
      <c r="N175" s="414" t="e">
        <f>N160/#REF!</f>
        <v>#REF!</v>
      </c>
      <c r="O175" s="414" t="e">
        <f>O160/#REF!</f>
        <v>#REF!</v>
      </c>
      <c r="P175" s="234"/>
    </row>
    <row r="176" spans="2:16">
      <c r="B176"/>
      <c r="C176" s="118" t="s">
        <v>38</v>
      </c>
      <c r="D176" s="414" t="e">
        <f>D161/#REF!</f>
        <v>#REF!</v>
      </c>
      <c r="E176" s="414" t="e">
        <f>E161/#REF!</f>
        <v>#REF!</v>
      </c>
      <c r="F176" s="414" t="e">
        <f>F161/#REF!</f>
        <v>#REF!</v>
      </c>
      <c r="G176" s="414" t="e">
        <f>G161/#REF!</f>
        <v>#REF!</v>
      </c>
      <c r="H176" s="414" t="e">
        <f>H161/#REF!</f>
        <v>#REF!</v>
      </c>
      <c r="I176" s="414" t="e">
        <f>I161/#REF!</f>
        <v>#REF!</v>
      </c>
      <c r="J176" s="414" t="e">
        <f>J161/#REF!</f>
        <v>#REF!</v>
      </c>
      <c r="K176" s="414" t="e">
        <f>K161/#REF!</f>
        <v>#REF!</v>
      </c>
      <c r="L176" s="414" t="e">
        <f>L161/#REF!</f>
        <v>#REF!</v>
      </c>
      <c r="M176" s="414" t="e">
        <f>M161/#REF!</f>
        <v>#REF!</v>
      </c>
      <c r="N176" s="414" t="e">
        <f>N161/#REF!</f>
        <v>#REF!</v>
      </c>
      <c r="O176" s="414" t="e">
        <f>O161/#REF!</f>
        <v>#REF!</v>
      </c>
      <c r="P176" s="234"/>
    </row>
    <row r="177" spans="2:16">
      <c r="B177"/>
      <c r="C177" s="118" t="s">
        <v>34</v>
      </c>
      <c r="D177" s="414" t="e">
        <f>D162/#REF!</f>
        <v>#REF!</v>
      </c>
      <c r="E177" s="414" t="e">
        <f>E162/#REF!</f>
        <v>#REF!</v>
      </c>
      <c r="F177" s="414" t="e">
        <f>F162/#REF!</f>
        <v>#REF!</v>
      </c>
      <c r="G177" s="414" t="e">
        <f>G162/#REF!</f>
        <v>#REF!</v>
      </c>
      <c r="H177" s="414" t="e">
        <f>H162/#REF!</f>
        <v>#REF!</v>
      </c>
      <c r="I177" s="414" t="e">
        <f>I162/#REF!</f>
        <v>#REF!</v>
      </c>
      <c r="J177" s="414" t="e">
        <f>J162/#REF!</f>
        <v>#REF!</v>
      </c>
      <c r="K177" s="414" t="e">
        <f>K162/#REF!</f>
        <v>#REF!</v>
      </c>
      <c r="L177" s="414" t="e">
        <f>L162/#REF!</f>
        <v>#REF!</v>
      </c>
      <c r="M177" s="414" t="e">
        <f>M162/#REF!</f>
        <v>#REF!</v>
      </c>
      <c r="N177" s="414" t="e">
        <f>N162/#REF!</f>
        <v>#REF!</v>
      </c>
      <c r="O177" s="414" t="e">
        <f>O162/#REF!</f>
        <v>#REF!</v>
      </c>
      <c r="P177" s="234"/>
    </row>
    <row r="178" spans="2:16">
      <c r="B178"/>
      <c r="C178" s="118" t="s">
        <v>35</v>
      </c>
      <c r="D178" s="414" t="e">
        <f>D163/#REF!</f>
        <v>#REF!</v>
      </c>
      <c r="E178" s="414" t="e">
        <f>E163/#REF!</f>
        <v>#REF!</v>
      </c>
      <c r="F178" s="414" t="e">
        <f>F163/#REF!</f>
        <v>#REF!</v>
      </c>
      <c r="G178" s="414" t="e">
        <f>G163/#REF!</f>
        <v>#REF!</v>
      </c>
      <c r="H178" s="414" t="e">
        <f>H163/#REF!</f>
        <v>#REF!</v>
      </c>
      <c r="I178" s="414" t="e">
        <f>I163/#REF!</f>
        <v>#REF!</v>
      </c>
      <c r="J178" s="414" t="e">
        <f>J163/#REF!</f>
        <v>#REF!</v>
      </c>
      <c r="K178" s="414" t="e">
        <f>K163/#REF!</f>
        <v>#REF!</v>
      </c>
      <c r="L178" s="414" t="e">
        <f>L163/#REF!</f>
        <v>#REF!</v>
      </c>
      <c r="M178" s="414" t="e">
        <f>M163/#REF!</f>
        <v>#REF!</v>
      </c>
      <c r="N178" s="414" t="e">
        <f>N163/#REF!</f>
        <v>#REF!</v>
      </c>
      <c r="O178" s="414" t="e">
        <f>O163/#REF!</f>
        <v>#REF!</v>
      </c>
      <c r="P178" s="234"/>
    </row>
    <row r="179" spans="2:16">
      <c r="B179"/>
      <c r="C179" s="118"/>
      <c r="D179" s="401"/>
      <c r="E179" s="114"/>
      <c r="F179" s="114"/>
      <c r="G179" s="114"/>
      <c r="H179" s="114"/>
      <c r="I179" s="114"/>
      <c r="J179" s="114"/>
      <c r="K179" s="114"/>
      <c r="L179" s="114"/>
      <c r="M179" s="114"/>
      <c r="N179" s="114"/>
      <c r="O179" s="114"/>
      <c r="P179" s="234"/>
    </row>
    <row r="181" spans="2:16" ht="18">
      <c r="B181"/>
      <c r="C181" s="380" t="s">
        <v>291</v>
      </c>
      <c r="D181" s="387">
        <v>1</v>
      </c>
      <c r="E181" s="387">
        <v>2</v>
      </c>
      <c r="F181" s="387">
        <v>3</v>
      </c>
      <c r="G181" s="387">
        <v>4</v>
      </c>
      <c r="H181" s="387">
        <v>5</v>
      </c>
      <c r="I181" s="387">
        <v>6</v>
      </c>
      <c r="J181" s="387">
        <v>7</v>
      </c>
      <c r="K181" s="387">
        <v>8</v>
      </c>
      <c r="L181" s="387">
        <v>9</v>
      </c>
      <c r="M181" s="387">
        <v>10</v>
      </c>
      <c r="N181" s="387">
        <v>11</v>
      </c>
      <c r="O181" s="387">
        <v>12</v>
      </c>
      <c r="P181" s="234"/>
    </row>
    <row r="182" spans="2:16">
      <c r="B182"/>
      <c r="C182" s="369"/>
      <c r="D182" s="370" t="s">
        <v>17</v>
      </c>
      <c r="E182" s="370" t="s">
        <v>18</v>
      </c>
      <c r="F182" s="370" t="s">
        <v>19</v>
      </c>
      <c r="G182" s="370" t="s">
        <v>20</v>
      </c>
      <c r="H182" s="370" t="s">
        <v>21</v>
      </c>
      <c r="I182" s="370" t="s">
        <v>22</v>
      </c>
      <c r="J182" s="370" t="s">
        <v>23</v>
      </c>
      <c r="K182" s="370" t="s">
        <v>24</v>
      </c>
      <c r="L182" s="370" t="s">
        <v>25</v>
      </c>
      <c r="M182" s="370" t="s">
        <v>26</v>
      </c>
      <c r="N182" s="370" t="s">
        <v>27</v>
      </c>
      <c r="O182" s="370" t="s">
        <v>28</v>
      </c>
      <c r="P182" s="362"/>
    </row>
    <row r="183" spans="2:16">
      <c r="B183"/>
      <c r="C183" s="119"/>
      <c r="D183" s="389"/>
      <c r="E183" s="389"/>
      <c r="F183" s="389"/>
      <c r="G183" s="389"/>
      <c r="H183" s="389"/>
      <c r="I183" s="389"/>
      <c r="J183" s="389"/>
      <c r="K183" s="389"/>
      <c r="L183" s="389"/>
      <c r="M183" s="389"/>
      <c r="N183" s="389"/>
      <c r="O183" s="389"/>
      <c r="P183" s="114"/>
    </row>
    <row r="184" spans="2:16">
      <c r="B184"/>
      <c r="C184" s="118" t="s">
        <v>39</v>
      </c>
      <c r="D184" s="414" t="e">
        <f t="shared" ref="D184:D193" si="27">D154/D$153</f>
        <v>#REF!</v>
      </c>
      <c r="E184" s="414" t="e">
        <f t="shared" ref="E184:O184" si="28">E154/E$153</f>
        <v>#REF!</v>
      </c>
      <c r="F184" s="414" t="e">
        <f t="shared" si="28"/>
        <v>#REF!</v>
      </c>
      <c r="G184" s="414" t="e">
        <f t="shared" si="28"/>
        <v>#REF!</v>
      </c>
      <c r="H184" s="414" t="e">
        <f t="shared" si="28"/>
        <v>#REF!</v>
      </c>
      <c r="I184" s="414" t="e">
        <f t="shared" si="28"/>
        <v>#REF!</v>
      </c>
      <c r="J184" s="414" t="e">
        <f t="shared" si="28"/>
        <v>#REF!</v>
      </c>
      <c r="K184" s="414" t="e">
        <f t="shared" si="28"/>
        <v>#REF!</v>
      </c>
      <c r="L184" s="414" t="e">
        <f t="shared" si="28"/>
        <v>#REF!</v>
      </c>
      <c r="M184" s="414" t="e">
        <f t="shared" si="28"/>
        <v>#REF!</v>
      </c>
      <c r="N184" s="414" t="e">
        <f t="shared" si="28"/>
        <v>#REF!</v>
      </c>
      <c r="O184" s="414" t="e">
        <f t="shared" si="28"/>
        <v>#REF!</v>
      </c>
      <c r="P184" s="114"/>
    </row>
    <row r="185" spans="2:16">
      <c r="B185"/>
      <c r="C185" s="118" t="s">
        <v>31</v>
      </c>
      <c r="D185" s="414" t="e">
        <f t="shared" si="27"/>
        <v>#REF!</v>
      </c>
      <c r="E185" s="414" t="e">
        <f t="shared" ref="E185:O185" si="29">E155/E$153</f>
        <v>#REF!</v>
      </c>
      <c r="F185" s="414" t="e">
        <f t="shared" si="29"/>
        <v>#REF!</v>
      </c>
      <c r="G185" s="414" t="e">
        <f t="shared" si="29"/>
        <v>#REF!</v>
      </c>
      <c r="H185" s="414" t="e">
        <f t="shared" si="29"/>
        <v>#REF!</v>
      </c>
      <c r="I185" s="414" t="e">
        <f t="shared" si="29"/>
        <v>#REF!</v>
      </c>
      <c r="J185" s="414" t="e">
        <f t="shared" si="29"/>
        <v>#REF!</v>
      </c>
      <c r="K185" s="414" t="e">
        <f t="shared" si="29"/>
        <v>#REF!</v>
      </c>
      <c r="L185" s="414" t="e">
        <f t="shared" si="29"/>
        <v>#REF!</v>
      </c>
      <c r="M185" s="414" t="e">
        <f t="shared" si="29"/>
        <v>#REF!</v>
      </c>
      <c r="N185" s="414" t="e">
        <f t="shared" si="29"/>
        <v>#REF!</v>
      </c>
      <c r="O185" s="414" t="e">
        <f t="shared" si="29"/>
        <v>#REF!</v>
      </c>
      <c r="P185" s="364">
        <f>SUMIFS('Jounal entries final'!$H:$H,'Jounal entries final'!$E:$E,$C185,'Jounal entries final'!$B:$B,P$15,'Jounal entries final'!$C:$C,$Q$15)</f>
        <v>0</v>
      </c>
    </row>
    <row r="186" spans="2:16">
      <c r="B186"/>
      <c r="C186" s="118" t="s">
        <v>40</v>
      </c>
      <c r="D186" s="414" t="e">
        <f t="shared" si="27"/>
        <v>#REF!</v>
      </c>
      <c r="E186" s="414" t="e">
        <f t="shared" ref="E186:O186" si="30">E156/E$153</f>
        <v>#REF!</v>
      </c>
      <c r="F186" s="414" t="e">
        <f t="shared" si="30"/>
        <v>#REF!</v>
      </c>
      <c r="G186" s="414" t="e">
        <f t="shared" si="30"/>
        <v>#REF!</v>
      </c>
      <c r="H186" s="414" t="e">
        <f t="shared" si="30"/>
        <v>#REF!</v>
      </c>
      <c r="I186" s="414" t="e">
        <f t="shared" si="30"/>
        <v>#REF!</v>
      </c>
      <c r="J186" s="414" t="e">
        <f t="shared" si="30"/>
        <v>#REF!</v>
      </c>
      <c r="K186" s="414" t="e">
        <f t="shared" si="30"/>
        <v>#REF!</v>
      </c>
      <c r="L186" s="414" t="e">
        <f t="shared" si="30"/>
        <v>#REF!</v>
      </c>
      <c r="M186" s="414" t="e">
        <f t="shared" si="30"/>
        <v>#REF!</v>
      </c>
      <c r="N186" s="414" t="e">
        <f t="shared" si="30"/>
        <v>#REF!</v>
      </c>
      <c r="O186" s="414" t="e">
        <f t="shared" si="30"/>
        <v>#REF!</v>
      </c>
      <c r="P186" s="364">
        <f>SUMIFS('Jounal entries final'!$H:$H,'Jounal entries final'!$E:$E,$C186,'Jounal entries final'!$B:$B,P$15,'Jounal entries final'!$C:$C,$Q$15)</f>
        <v>0</v>
      </c>
    </row>
    <row r="187" spans="2:16">
      <c r="B187"/>
      <c r="C187" s="118" t="s">
        <v>36</v>
      </c>
      <c r="D187" s="414" t="e">
        <f t="shared" si="27"/>
        <v>#REF!</v>
      </c>
      <c r="E187" s="414" t="e">
        <f t="shared" ref="E187:O187" si="31">E157/E$153</f>
        <v>#REF!</v>
      </c>
      <c r="F187" s="414" t="e">
        <f t="shared" si="31"/>
        <v>#REF!</v>
      </c>
      <c r="G187" s="414" t="e">
        <f t="shared" si="31"/>
        <v>#REF!</v>
      </c>
      <c r="H187" s="414" t="e">
        <f t="shared" si="31"/>
        <v>#REF!</v>
      </c>
      <c r="I187" s="414" t="e">
        <f t="shared" si="31"/>
        <v>#REF!</v>
      </c>
      <c r="J187" s="414" t="e">
        <f t="shared" si="31"/>
        <v>#REF!</v>
      </c>
      <c r="K187" s="414" t="e">
        <f t="shared" si="31"/>
        <v>#REF!</v>
      </c>
      <c r="L187" s="414" t="e">
        <f t="shared" si="31"/>
        <v>#REF!</v>
      </c>
      <c r="M187" s="414" t="e">
        <f t="shared" si="31"/>
        <v>#REF!</v>
      </c>
      <c r="N187" s="414" t="e">
        <f t="shared" si="31"/>
        <v>#REF!</v>
      </c>
      <c r="O187" s="414" t="e">
        <f t="shared" si="31"/>
        <v>#REF!</v>
      </c>
      <c r="P187" s="364">
        <f>SUMIFS('Jounal entries final'!$H:$H,'Jounal entries final'!$E:$E,$C187,'Jounal entries final'!$B:$B,P$15,'Jounal entries final'!$C:$C,$Q$15)</f>
        <v>0</v>
      </c>
    </row>
    <row r="188" spans="2:16">
      <c r="B188"/>
      <c r="C188" s="118" t="s">
        <v>32</v>
      </c>
      <c r="D188" s="414" t="e">
        <f t="shared" si="27"/>
        <v>#REF!</v>
      </c>
      <c r="E188" s="414" t="e">
        <f t="shared" ref="E188:O188" si="32">E158/E$153</f>
        <v>#REF!</v>
      </c>
      <c r="F188" s="414" t="e">
        <f t="shared" si="32"/>
        <v>#REF!</v>
      </c>
      <c r="G188" s="414" t="e">
        <f t="shared" si="32"/>
        <v>#REF!</v>
      </c>
      <c r="H188" s="414" t="e">
        <f t="shared" si="32"/>
        <v>#REF!</v>
      </c>
      <c r="I188" s="414" t="e">
        <f t="shared" si="32"/>
        <v>#REF!</v>
      </c>
      <c r="J188" s="414" t="e">
        <f t="shared" si="32"/>
        <v>#REF!</v>
      </c>
      <c r="K188" s="414" t="e">
        <f t="shared" si="32"/>
        <v>#REF!</v>
      </c>
      <c r="L188" s="414" t="e">
        <f t="shared" si="32"/>
        <v>#REF!</v>
      </c>
      <c r="M188" s="414" t="e">
        <f t="shared" si="32"/>
        <v>#REF!</v>
      </c>
      <c r="N188" s="414" t="e">
        <f t="shared" si="32"/>
        <v>#REF!</v>
      </c>
      <c r="O188" s="414" t="e">
        <f t="shared" si="32"/>
        <v>#REF!</v>
      </c>
      <c r="P188" s="234"/>
    </row>
    <row r="189" spans="2:16">
      <c r="B189"/>
      <c r="C189" s="118" t="s">
        <v>37</v>
      </c>
      <c r="D189" s="414" t="e">
        <f t="shared" si="27"/>
        <v>#REF!</v>
      </c>
      <c r="E189" s="414" t="e">
        <f t="shared" ref="E189:O189" si="33">E159/E$153</f>
        <v>#REF!</v>
      </c>
      <c r="F189" s="414" t="e">
        <f t="shared" si="33"/>
        <v>#REF!</v>
      </c>
      <c r="G189" s="414" t="e">
        <f t="shared" si="33"/>
        <v>#REF!</v>
      </c>
      <c r="H189" s="414" t="e">
        <f t="shared" si="33"/>
        <v>#REF!</v>
      </c>
      <c r="I189" s="414" t="e">
        <f t="shared" si="33"/>
        <v>#REF!</v>
      </c>
      <c r="J189" s="414" t="e">
        <f t="shared" si="33"/>
        <v>#REF!</v>
      </c>
      <c r="K189" s="414" t="e">
        <f t="shared" si="33"/>
        <v>#REF!</v>
      </c>
      <c r="L189" s="414" t="e">
        <f t="shared" si="33"/>
        <v>#REF!</v>
      </c>
      <c r="M189" s="414" t="e">
        <f t="shared" si="33"/>
        <v>#REF!</v>
      </c>
      <c r="N189" s="414" t="e">
        <f t="shared" si="33"/>
        <v>#REF!</v>
      </c>
      <c r="O189" s="414" t="e">
        <f t="shared" si="33"/>
        <v>#REF!</v>
      </c>
      <c r="P189" s="234"/>
    </row>
    <row r="190" spans="2:16">
      <c r="B190"/>
      <c r="C190" s="118" t="s">
        <v>33</v>
      </c>
      <c r="D190" s="414" t="e">
        <f t="shared" si="27"/>
        <v>#REF!</v>
      </c>
      <c r="E190" s="414" t="e">
        <f t="shared" ref="E190:O190" si="34">E160/E$153</f>
        <v>#REF!</v>
      </c>
      <c r="F190" s="414" t="e">
        <f t="shared" si="34"/>
        <v>#REF!</v>
      </c>
      <c r="G190" s="414" t="e">
        <f t="shared" si="34"/>
        <v>#REF!</v>
      </c>
      <c r="H190" s="414" t="e">
        <f t="shared" si="34"/>
        <v>#REF!</v>
      </c>
      <c r="I190" s="414" t="e">
        <f t="shared" si="34"/>
        <v>#REF!</v>
      </c>
      <c r="J190" s="414" t="e">
        <f t="shared" si="34"/>
        <v>#REF!</v>
      </c>
      <c r="K190" s="414" t="e">
        <f t="shared" si="34"/>
        <v>#REF!</v>
      </c>
      <c r="L190" s="414" t="e">
        <f t="shared" si="34"/>
        <v>#REF!</v>
      </c>
      <c r="M190" s="414" t="e">
        <f t="shared" si="34"/>
        <v>#REF!</v>
      </c>
      <c r="N190" s="414" t="e">
        <f t="shared" si="34"/>
        <v>#REF!</v>
      </c>
      <c r="O190" s="414" t="e">
        <f t="shared" si="34"/>
        <v>#REF!</v>
      </c>
      <c r="P190" s="234"/>
    </row>
    <row r="191" spans="2:16">
      <c r="B191"/>
      <c r="C191" s="118" t="s">
        <v>38</v>
      </c>
      <c r="D191" s="414" t="e">
        <f t="shared" si="27"/>
        <v>#REF!</v>
      </c>
      <c r="E191" s="414" t="e">
        <f t="shared" ref="E191:O191" si="35">E161/E$153</f>
        <v>#REF!</v>
      </c>
      <c r="F191" s="414" t="e">
        <f t="shared" si="35"/>
        <v>#REF!</v>
      </c>
      <c r="G191" s="414" t="e">
        <f t="shared" si="35"/>
        <v>#REF!</v>
      </c>
      <c r="H191" s="414" t="e">
        <f t="shared" si="35"/>
        <v>#REF!</v>
      </c>
      <c r="I191" s="414" t="e">
        <f t="shared" si="35"/>
        <v>#REF!</v>
      </c>
      <c r="J191" s="414" t="e">
        <f t="shared" si="35"/>
        <v>#REF!</v>
      </c>
      <c r="K191" s="414" t="e">
        <f t="shared" si="35"/>
        <v>#REF!</v>
      </c>
      <c r="L191" s="414" t="e">
        <f t="shared" si="35"/>
        <v>#REF!</v>
      </c>
      <c r="M191" s="414" t="e">
        <f t="shared" si="35"/>
        <v>#REF!</v>
      </c>
      <c r="N191" s="414" t="e">
        <f t="shared" si="35"/>
        <v>#REF!</v>
      </c>
      <c r="O191" s="414" t="e">
        <f t="shared" si="35"/>
        <v>#REF!</v>
      </c>
      <c r="P191" s="234"/>
    </row>
    <row r="192" spans="2:16">
      <c r="B192"/>
      <c r="C192" s="118" t="s">
        <v>34</v>
      </c>
      <c r="D192" s="414" t="e">
        <f t="shared" si="27"/>
        <v>#REF!</v>
      </c>
      <c r="E192" s="414" t="e">
        <f t="shared" ref="E192:O192" si="36">E162/E$153</f>
        <v>#REF!</v>
      </c>
      <c r="F192" s="414" t="e">
        <f t="shared" si="36"/>
        <v>#REF!</v>
      </c>
      <c r="G192" s="414" t="e">
        <f t="shared" si="36"/>
        <v>#REF!</v>
      </c>
      <c r="H192" s="414" t="e">
        <f t="shared" si="36"/>
        <v>#REF!</v>
      </c>
      <c r="I192" s="414" t="e">
        <f t="shared" si="36"/>
        <v>#REF!</v>
      </c>
      <c r="J192" s="414" t="e">
        <f t="shared" si="36"/>
        <v>#REF!</v>
      </c>
      <c r="K192" s="414" t="e">
        <f t="shared" si="36"/>
        <v>#REF!</v>
      </c>
      <c r="L192" s="414" t="e">
        <f t="shared" si="36"/>
        <v>#REF!</v>
      </c>
      <c r="M192" s="414" t="e">
        <f t="shared" si="36"/>
        <v>#REF!</v>
      </c>
      <c r="N192" s="414" t="e">
        <f t="shared" si="36"/>
        <v>#REF!</v>
      </c>
      <c r="O192" s="414" t="e">
        <f t="shared" si="36"/>
        <v>#REF!</v>
      </c>
      <c r="P192" s="234"/>
    </row>
    <row r="193" spans="2:16">
      <c r="B193"/>
      <c r="C193" s="118" t="s">
        <v>35</v>
      </c>
      <c r="D193" s="414" t="e">
        <f t="shared" si="27"/>
        <v>#REF!</v>
      </c>
      <c r="E193" s="414" t="e">
        <f t="shared" ref="E193:O193" si="37">E163/E$153</f>
        <v>#REF!</v>
      </c>
      <c r="F193" s="414" t="e">
        <f t="shared" si="37"/>
        <v>#REF!</v>
      </c>
      <c r="G193" s="414" t="e">
        <f t="shared" si="37"/>
        <v>#REF!</v>
      </c>
      <c r="H193" s="414" t="e">
        <f t="shared" si="37"/>
        <v>#REF!</v>
      </c>
      <c r="I193" s="414" t="e">
        <f t="shared" si="37"/>
        <v>#REF!</v>
      </c>
      <c r="J193" s="414" t="e">
        <f t="shared" si="37"/>
        <v>#REF!</v>
      </c>
      <c r="K193" s="414" t="e">
        <f t="shared" si="37"/>
        <v>#REF!</v>
      </c>
      <c r="L193" s="414" t="e">
        <f t="shared" si="37"/>
        <v>#REF!</v>
      </c>
      <c r="M193" s="414" t="e">
        <f t="shared" si="37"/>
        <v>#REF!</v>
      </c>
      <c r="N193" s="414" t="e">
        <f t="shared" si="37"/>
        <v>#REF!</v>
      </c>
      <c r="O193" s="414" t="e">
        <f t="shared" si="37"/>
        <v>#REF!</v>
      </c>
      <c r="P193" s="234"/>
    </row>
    <row r="194" spans="2:16">
      <c r="B194"/>
      <c r="C194" s="118"/>
      <c r="D194" s="401"/>
      <c r="E194" s="114"/>
      <c r="F194" s="114"/>
      <c r="G194" s="114"/>
      <c r="H194" s="114"/>
      <c r="I194" s="114"/>
      <c r="J194" s="114"/>
      <c r="K194" s="114"/>
      <c r="L194" s="114"/>
      <c r="M194" s="114"/>
      <c r="N194" s="114"/>
      <c r="O194" s="114"/>
      <c r="P194" s="234"/>
    </row>
  </sheetData>
  <mergeCells count="18">
    <mergeCell ref="C83:O88"/>
    <mergeCell ref="C93:E93"/>
    <mergeCell ref="G93:I93"/>
    <mergeCell ref="K93:M93"/>
    <mergeCell ref="F24:G24"/>
    <mergeCell ref="L24:M24"/>
    <mergeCell ref="N24:O24"/>
    <mergeCell ref="G41:H41"/>
    <mergeCell ref="G53:H53"/>
    <mergeCell ref="G65:H65"/>
    <mergeCell ref="D22:E22"/>
    <mergeCell ref="F22:G22"/>
    <mergeCell ref="F23:G23"/>
    <mergeCell ref="G19:H19"/>
    <mergeCell ref="O19:P19"/>
    <mergeCell ref="K20:M20"/>
    <mergeCell ref="F21:G21"/>
    <mergeCell ref="K21:O23"/>
  </mergeCells>
  <conditionalFormatting sqref="C21 E21:F21">
    <cfRule type="iconSet" priority="28">
      <iconSet iconSet="3Arrows">
        <cfvo type="percent" val="0"/>
        <cfvo type="num" val="0"/>
        <cfvo type="num" val="9.9999999999999995E-8" gte="0"/>
      </iconSet>
    </cfRule>
  </conditionalFormatting>
  <conditionalFormatting sqref="C44">
    <cfRule type="iconSet" priority="19">
      <iconSet iconSet="3Arrows">
        <cfvo type="percent" val="0"/>
        <cfvo type="num" val="0"/>
        <cfvo type="num" val="1E-25" gte="0"/>
      </iconSet>
    </cfRule>
  </conditionalFormatting>
  <conditionalFormatting sqref="C48">
    <cfRule type="iconSet" priority="16">
      <iconSet iconSet="3Arrows">
        <cfvo type="percent" val="0"/>
        <cfvo type="num" val="0"/>
        <cfvo type="num" val="1E-25" gte="0"/>
      </iconSet>
    </cfRule>
  </conditionalFormatting>
  <conditionalFormatting sqref="C49 C45:C47">
    <cfRule type="iconSet" priority="50">
      <iconSet iconSet="3Arrows">
        <cfvo type="percent" val="0"/>
        <cfvo type="num" val="0"/>
        <cfvo type="num" val="1E-25" gte="0"/>
      </iconSet>
    </cfRule>
  </conditionalFormatting>
  <conditionalFormatting sqref="C56">
    <cfRule type="iconSet" priority="12">
      <iconSet iconSet="3Arrows">
        <cfvo type="percent" val="0"/>
        <cfvo type="num" val="0"/>
        <cfvo type="num" val="1E-25" gte="0"/>
      </iconSet>
    </cfRule>
  </conditionalFormatting>
  <conditionalFormatting sqref="C60">
    <cfRule type="iconSet" priority="9">
      <iconSet iconSet="3Arrows">
        <cfvo type="percent" val="0"/>
        <cfvo type="num" val="0"/>
        <cfvo type="num" val="1E-25" gte="0"/>
      </iconSet>
    </cfRule>
  </conditionalFormatting>
  <conditionalFormatting sqref="C61 C57:C59">
    <cfRule type="iconSet" priority="52">
      <iconSet iconSet="3Arrows">
        <cfvo type="percent" val="0"/>
        <cfvo type="num" val="0"/>
        <cfvo type="num" val="1E-25" gte="0"/>
      </iconSet>
    </cfRule>
  </conditionalFormatting>
  <conditionalFormatting sqref="C68">
    <cfRule type="iconSet" priority="5">
      <iconSet iconSet="3Arrows">
        <cfvo type="percent" val="0"/>
        <cfvo type="num" val="0"/>
        <cfvo type="num" val="1E-25" gte="0"/>
      </iconSet>
    </cfRule>
  </conditionalFormatting>
  <conditionalFormatting sqref="C72">
    <cfRule type="iconSet" priority="2">
      <iconSet iconSet="3Arrows">
        <cfvo type="percent" val="0"/>
        <cfvo type="num" val="0"/>
        <cfvo type="num" val="1E-25" gte="0"/>
      </iconSet>
    </cfRule>
  </conditionalFormatting>
  <conditionalFormatting sqref="C75">
    <cfRule type="iconSet" priority="3">
      <iconSet iconSet="3Arrows">
        <cfvo type="percent" val="0"/>
        <cfvo type="num" val="0"/>
        <cfvo type="num" val="1E-25" gte="0"/>
      </iconSet>
    </cfRule>
  </conditionalFormatting>
  <conditionalFormatting sqref="C76:C77 C73:C74 C69:C71">
    <cfRule type="iconSet" priority="4">
      <iconSet iconSet="3Arrows">
        <cfvo type="percent" val="0"/>
        <cfvo type="num" val="0"/>
        <cfvo type="num" val="1E-25" gte="0"/>
      </iconSet>
    </cfRule>
  </conditionalFormatting>
  <conditionalFormatting sqref="F44:F49">
    <cfRule type="iconSet" priority="49">
      <iconSet iconSet="3Arrows">
        <cfvo type="percent" val="0"/>
        <cfvo type="num" val="0"/>
        <cfvo type="num" val="1E-25" gte="0"/>
      </iconSet>
    </cfRule>
  </conditionalFormatting>
  <conditionalFormatting sqref="F56:F61">
    <cfRule type="iconSet" priority="51">
      <iconSet iconSet="3Arrows">
        <cfvo type="percent" val="0"/>
        <cfvo type="num" val="0"/>
        <cfvo type="num" val="1E-25" gte="0"/>
      </iconSet>
    </cfRule>
  </conditionalFormatting>
  <conditionalFormatting sqref="F68:F77">
    <cfRule type="iconSet" priority="7">
      <iconSet iconSet="3Arrows">
        <cfvo type="percent" val="0"/>
        <cfvo type="num" val="0"/>
        <cfvo type="num" val="1E-25" gte="0"/>
      </iconSet>
    </cfRule>
  </conditionalFormatting>
  <conditionalFormatting sqref="G43:H43 D43:E43">
    <cfRule type="iconSet" priority="22">
      <iconSet iconSet="3Arrows">
        <cfvo type="percent" val="0"/>
        <cfvo type="num" val="0"/>
        <cfvo type="num" val="9.9999999999999995E-8" gte="0"/>
      </iconSet>
    </cfRule>
  </conditionalFormatting>
  <conditionalFormatting sqref="G55:H55 D55:E55">
    <cfRule type="iconSet" priority="15">
      <iconSet iconSet="3Arrows">
        <cfvo type="percent" val="0"/>
        <cfvo type="num" val="0"/>
        <cfvo type="num" val="9.9999999999999995E-8" gte="0"/>
      </iconSet>
    </cfRule>
  </conditionalFormatting>
  <conditionalFormatting sqref="G67:H67 D67:E67">
    <cfRule type="iconSet" priority="8">
      <iconSet iconSet="3Arrows">
        <cfvo type="percent" val="0"/>
        <cfvo type="num" val="0"/>
        <cfvo type="num" val="9.9999999999999995E-8" gte="0"/>
      </iconSet>
    </cfRule>
  </conditionalFormatting>
  <conditionalFormatting sqref="N24:O24">
    <cfRule type="iconSet" priority="26">
      <iconSet iconSet="3Arrows">
        <cfvo type="percent" val="0"/>
        <cfvo type="num" val="0"/>
        <cfvo type="num" val="1E-25" gte="0"/>
      </iconSet>
    </cfRule>
  </conditionalFormatting>
  <conditionalFormatting sqref="X42 Z42">
    <cfRule type="iconSet" priority="20">
      <iconSet iconSet="3Arrows">
        <cfvo type="percent" val="0"/>
        <cfvo type="num" val="0"/>
        <cfvo type="num" val="9.9999999999999995E-8" gte="0"/>
      </iconSet>
    </cfRule>
  </conditionalFormatting>
  <conditionalFormatting sqref="X54 Z54">
    <cfRule type="iconSet" priority="13">
      <iconSet iconSet="3Arrows">
        <cfvo type="percent" val="0"/>
        <cfvo type="num" val="0"/>
        <cfvo type="num" val="9.9999999999999995E-8" gte="0"/>
      </iconSet>
    </cfRule>
  </conditionalFormatting>
  <conditionalFormatting sqref="X66 Z66">
    <cfRule type="iconSet" priority="6">
      <iconSet iconSet="3Arrows">
        <cfvo type="percent" val="0"/>
        <cfvo type="num" val="0"/>
        <cfvo type="num" val="9.9999999999999995E-8" gte="0"/>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 id="{E11DDC21-CCEE-4AEC-8B67-1B2CF7BBCE09}">
            <x14:iconSet iconSet="3Flags" custom="1">
              <x14:cfvo type="percent">
                <xm:f>0</xm:f>
              </x14:cfvo>
              <x14:cfvo type="num">
                <xm:f>0</xm:f>
              </x14:cfvo>
              <x14:cfvo type="num" gte="0">
                <xm:f>9.9999999999999994E-12</xm:f>
              </x14:cfvo>
              <x14:cfIcon iconSet="3Flags" iconId="2"/>
              <x14:cfIcon iconSet="3Flags" iconId="1"/>
              <x14:cfIcon iconSet="3Flags" iconId="0"/>
            </x14:iconSet>
          </x14:cfRule>
          <xm:sqref>H22:H24 F22:F24</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BB71CAF-A742-47CD-A7A4-071D640CC4BE}">
          <x14:formula1>
            <xm:f>Reference!$A$2:$A$13</xm:f>
          </x14:formula1>
          <xm:sqref>D15</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FA468-0B60-40BC-80BB-EF98B6FB1048}">
  <sheetPr codeName="Sheet50"/>
  <dimension ref="A3:U24"/>
  <sheetViews>
    <sheetView topLeftCell="A15" workbookViewId="0">
      <selection activeCell="I17" sqref="I17"/>
    </sheetView>
  </sheetViews>
  <sheetFormatPr baseColWidth="10" defaultColWidth="8.83203125" defaultRowHeight="15"/>
  <cols>
    <col min="1" max="1" width="16" bestFit="1" customWidth="1"/>
    <col min="2" max="2" width="12.1640625" bestFit="1" customWidth="1"/>
  </cols>
  <sheetData>
    <row r="3" spans="1:21">
      <c r="B3">
        <v>1</v>
      </c>
      <c r="C3">
        <v>2</v>
      </c>
      <c r="D3">
        <v>3</v>
      </c>
      <c r="E3">
        <v>4</v>
      </c>
      <c r="F3">
        <v>5</v>
      </c>
      <c r="G3">
        <v>6</v>
      </c>
      <c r="H3">
        <v>7</v>
      </c>
      <c r="I3">
        <v>8</v>
      </c>
      <c r="J3">
        <v>9</v>
      </c>
      <c r="K3">
        <v>10</v>
      </c>
      <c r="L3">
        <v>11</v>
      </c>
      <c r="M3">
        <v>12</v>
      </c>
    </row>
    <row r="4" spans="1:21">
      <c r="A4" t="s">
        <v>897</v>
      </c>
      <c r="B4" t="s">
        <v>895</v>
      </c>
      <c r="C4" t="str">
        <f>VLOOKUP(C3,'Comments database'!$A$3:$H$15,8,0)</f>
        <v>The overall revenue decline of 1,019.24 K$ in February was heavily driven by Client 1’s sharp drop, which contributed 1.8M$ to the negative variance. Although Client 10 and Client 5 provided positive gains, other clients like Client 3, Client 7, and Client 8 also underperformed, compounding the losses. The heavy reliance on Client 1 continues to pose a significant risk, and the company must diversify its client portfolio to stabilize revenue. By the end of February, the company’s year-to-date revenue deficit stands at 1.02M$, primarily driven by losses from Client 1. Although other clients like Client 4 and Client 10 have performed well, the company remains overly reliant on a few large accounts, which increases risk. Strengthening mid-tier client relationships should be a priority moving forward.</v>
      </c>
      <c r="D4" t="str">
        <f>VLOOKUP(D3,'Comments database'!$A$3:$H$15,8,0)</f>
        <v>March saw a further revenue decline of 1,929.81 K$, primarily driven by significant reductions from Client 5 and Client 10. Although Client 2 posted a slight increase, it was insufficient to counterbalance the losses. The dependency on large clients remains a considerable risk, particularly when two clients contribute over 3M$ in lost revenue. The company’s year-to-date revenue deficit increased by 1.93M$ in March, mainly due to the continued decline of Client 1 and significant reductions in Client 5 and Client 10. Despite some small recoveries from Client 2, the heavy reliance on large clients poses ongoing risks. A more balanced client base is crucial to stabilizing performance.</v>
      </c>
      <c r="E4" t="str">
        <f>VLOOKUP(E3,'Comments database'!$A$3:$H$15,8,0)</f>
        <v>April marked a welcome recovery with a 1,681.74 K$ increase in revenue, largely driven by improved performance from Client 1 and a significant recovery from Client 10. This suggests that previous issues with key clients may have been temporary, though continued engagement is needed to ensure sustained growth. With a 1.68M$ recovery in April, the company’s YTD revenue shows some improvement, thanks to positive performance from Client 1 and Client 10. This indicates the potential for stabilization, though continued efforts are required to mitigate any future volatility from these large clients.</v>
      </c>
      <c r="F4" t="str">
        <f>VLOOKUP(F3,'Comments database'!$A$3:$H$15,8,0)</f>
        <v>May saw a 4.82% revenue decline, largely driven by losses from Client 5 and Client 9. Despite a positive contribution from Client 1, it wasn’t enough to offset underperformance by other major clients. Sustaining client engagement remains a challenge across the board. The YTD deficit increased by 4.82% in May, with declines from Client 5 and Client 9 exacerbating the company’s overall performance. Despite Client 1’s continued positive contribution, the lack of sustained engagement from other clients is a concern and requires immediate focus.</v>
      </c>
      <c r="G4" t="str">
        <f>VLOOKUP(G3,'Comments database'!$A$3:$H$15,8,0)</f>
        <v>June saw a 5.90% revenue increase, driven by strong recovery from Client 3 and continued growth from Client 9. Despite a decline from Client 1, overall performance shows a positive trend as the company expands its client base and regains lost ground. The company showed a 5.90% improvement in June, with YTD performance beginning to stabilize due to the recovery of Client 3 and growth in Client 9. However, the volatility in Client 1 remains a challenge, and the company must continue focusing on diversifying its client portfolio to reduce future risks.</v>
      </c>
      <c r="H4" t="str">
        <f>VLOOKUP(H3,'Comments database'!$A$3:$H$15,8,0)</f>
        <v>July saw a 4.29% revenue increase, driven by improvements in Client 5 and Client 3. However, Client 1’s continued decline is concerning, indicating unstable demand. The company must maintain growth in mid-tier clients to balance the volatility in larger accounts. July’s 4.29% YTD growth is encouraging, driven by mid-tier client gains like Client 5 and Client 3. However, the volatility in Client 1’s demand continues to highlight the company’s reliance on a few key accounts, posing risks to long-term stability.</v>
      </c>
      <c r="I4" t="str">
        <f>VLOOKUP(I3,'Comments database'!$A$3:$H$15,8,0)</f>
        <v>August saw a sharp 15.63% decline in revenue, primarily due to a 1.5M$ reduction in orders from Client 1. Additionally, declines in Client 9 compounded the negative performance. Exposure to large clients is becoming more problematic, requiring immediate recovery action or new clients. With a 15.63% decline in August, the YTD deficit has widened, largely due to a sharp drop in Client 1 and Client 9’s underperformance. Immediate actions are required to manage the volatility in larger accounts while nurturing growth in smaller and mid-tier clients to mitigate overall risks.</v>
      </c>
      <c r="J4" t="str">
        <f>VLOOKUP(J3,'Comments database'!$A$3:$H$15,8,0)</f>
        <v>September’s 3.80% increase in revenue reflects partial recovery from August’s sharp decline, with Client 1 showing improvement. However, the recovery remains fragile, and declines in smaller clients like Client 3 and Client 10 offset some of the gains. The 3.80% increase in September YTD performance reflects a partial recovery from August’s sharp decline, but overall growth remains fragile. The company’s heavy dependence on Client 1 continues to pose risks, with smaller clients like Client 3 not providing enough momentum to balance the portfolio.</v>
      </c>
      <c r="K4" t="str">
        <f>VLOOKUP(K3,'Comments database'!$A$3:$H$15,8,0)</f>
        <v>October’s 1.17% revenue decline was driven by significant drops in Client 4’s revenue (over 450K$ loss), partially offset by Client 10’s significant recovery and further growth from Client 1. Reliance on large clients remains high, indicating continued volatility risks. The 1.17% decline in October’s YTD performance shows that the company is still struggling with client volatility, especially from Client 4. The partial recovery from Client 10 is encouraging, but overall reliance on large accounts continues to expose the company to risk.</v>
      </c>
      <c r="L4" t="str">
        <f>VLOOKUP(L3,'Comments database'!$A$3:$H$15,8,0)</f>
        <v>November saw a slight 0.64% revenue decline, with Client 1 continuing to improve performance, but losses from Client 9 and Client 7 offset growth. While Client 1's recovery is encouraging, overall stagnation suggests more attention is needed on underperforming key clients. The year-to-date revenue deficit of 2.47M$ at the end of November indicates stagnation, despite Client 1’s recovery. The company must address underperformance from other key clients like Client 9 and Client 7 to ensure stronger revenue growth heading into the next fiscal period.</v>
      </c>
      <c r="M4" t="str">
        <f>VLOOKUP(M3,'Comments database'!$A$3:$H$15,8,0)</f>
        <v>December closed with a 4.27% revenue decline, primarily driven by a significant drop from Client 1, leading to a 1.4M$ loss. However, growth from Client 9 and Client 10 offset some of the decline. The company remains highly dependent on large clients, with volatility a persistent risk. The company closed the year with a 2.95M$ YTD revenue deficit, primarily driven by the continued volatility in Client 1 and losses in Client 9 and Client 7. The recovery from Client 10 and Client 9 shows promise, but the overall performance indicates a need for a more diversified client base.</v>
      </c>
    </row>
    <row r="5" spans="1:21">
      <c r="A5" t="s">
        <v>896</v>
      </c>
      <c r="B5" t="s">
        <v>895</v>
      </c>
      <c r="C5" t="str">
        <f>HLOOKUP(C3,'Margin analysis prompts'!$A$44:$L$51,8,0)</f>
        <v>In February, margin performance reflects a -24% impact from the decline in revenue, equating to -236 K$. This revenue decline was offset by strong cost efficiencies, which contributed +76%, or +756 K$, to the margin. While the revenue drop has put pressure on margins, operational cost management has been instrumental in maintaining profitability. Sustaining this cost control focus will be key moving forward, alongside efforts to regain top-line growth. Looking at the YTD margin performance, the overall trends are positive. The strong contributions from Client 5 and Client 10 have lifted year-to-date margins, but volatility remains in the contributions from Client 3 and Client 6, posing potential risks to sustained profitability. Stabilizing these client relationships will be critical for maintaining strong YTD performance throughout the remainder of the year.</v>
      </c>
      <c r="D5" t="str">
        <f>HLOOKUP(D3,'Margin analysis prompts'!$A$44:$L$51,8,0)</f>
        <v>In March, margin performance reflects a -57% impact from the decline in revenue, equating to -561 K$. The revenue drop was partially offset by cost efficiencies, which contributed +14%, or +136 K$, to the margin. Although revenue pressures were significant, the cost management impact was less effective this month compared to February. Continuing to improve cost efficiency and restore revenue growth will be key moving forward. Looking at the YTD margin performance, the overall trends show recovery in Client 3 and continued strong performance from Client 5. However, the volatility in Client 10’s contribution poses a risk to sustained profitability. Ensuring consistent contributions from top clients like Client 7 and stabilizing Client 10 will be important for maintaining YTD margin growth.</v>
      </c>
      <c r="E5" t="str">
        <f>HLOOKUP(E3,'Margin analysis prompts'!$A$44:$L$51,8,0)</f>
        <v>In April, margin performance reflects a +37% improvement from revenue recovery, equating to +372 K$. This recovery was partially offset by weaker cost efficiencies, which contributed only +14%, or +136 K$, to the margin. While the revenue growth is encouraging, the limited impact of cost management highlights the need for renewed operational focus to sustain margin growth in the future. Looking at the YTD margin performance, the trends show positive contributions from Client 4 and Client 7 boosting overall results. However, the volatility in Client 1’s and Client 10’s contributions poses risks to sustaining profitability. Stabilizing these client relationships and encouraging consistent contributions will be critical to protecting year-to-date margins.</v>
      </c>
      <c r="F5" t="str">
        <f>HLOOKUP(F3,'Margin analysis prompts'!$A$44:$L$51,8,0)</f>
        <v>In May, margin performance reflects a -14% impact from the decline in revenue, equating to -140 K$. This was countered by significant cost efficiencies, which contributed +36%, or +361 K$, to the margin. Although the revenue decline created pressure, the strong focus on cost control helped sustain the margins. Maintaining this balance between revenue recovery and cost efficiency will be key moving forward. The YTD margin performance shows continued strength from Client 4 and Client 5, with positive overall contributions. However, the volatility in Client 3 and Client 7’s performance continues to pose a risk. Stabilizing these clients will be critical to maintaining the overall year-to-date margin growth.</v>
      </c>
      <c r="G5" t="str">
        <f>HLOOKUP(G3,'Margin analysis prompts'!$A$44:$L$51,8,0)</f>
        <v>In June, margin performance reflects a +14% improvement, contributing +141 K$ to the total margin. This positive revenue impact was significantly boosted by cost efficiencies, which contributed a substantial +218%, or +2,166 K$, to the margin. The strong operational efficiency this month helped drive profitability, signaling that cost management efforts are highly effective in offsetting revenue pressures. Looking at the YTD margin performance, the strong contributions from Client 8 and Client 6 have lifted overall year-to-date margins. However, the decline in Client 5’s contribution introduces some risk to margin stability. Stabilizing client contributions across the board will be critical for maintaining healthy YTD margins as we move into the second half of the year.</v>
      </c>
      <c r="H5" t="str">
        <f>HLOOKUP(H3,'Margin analysis prompts'!$A$44:$L$51,8,0)</f>
        <v>In July, margin performance reflects a -55% impact from a significant decline in revenue, equating to -543 K$. This decline was partially offset by cost efficiencies, which contributed +145%, or +1,434 K$, to the margin. While the revenue drop created substantial pressure, the strong focus on cost control helped reduce the overall margin decline. Continuing this cost focus will be essential as revenue recovery is pursued. Looking at the YTD margin performance, contributions from Client 7 and Client 9 have been consistent, helping to mitigate the impact of the revenue decline. However, the volatility in Client 5 and Client 8 poses risks to overall profitability. Stabilizing these clients will be crucial to maintaining positive YTD margin growth as the year progresses.</v>
      </c>
      <c r="I5" t="str">
        <f>HLOOKUP(I3,'Margin analysis prompts'!$A$44:$L$51,8,0)</f>
        <v>In August, margin performance reflects a -55% impact from a continued decline in revenue, equating to -543 K$. This decline was somewhat offset by cost efficiencies, which contributed +81%, or +1,344 K$, to the margin. Although revenue continues to be a challenge, the strong focus on cost management has played a crucial role in maintaining profitability. However, sustaining this cost control will be key as efforts are made to stabilize revenue. Looking at the YTD margin performance, the strong contributions from Client 10 and Client 7 have helped maintain year-to-date margins, but the declining performance from Client 1 and Client 5 poses a potential risk. Stabilizing underperforming clients will be critical to sustaining YTD profitability as the year progresses.</v>
      </c>
      <c r="J5" t="str">
        <f>HLOOKUP(J3,'Margin analysis prompts'!$A$44:$L$51,8,0)</f>
        <v>In September, margin performance reflects a +8% improvement from revenue recovery, equating to +81 K$. This revenue growth was bolstered by cost efficiencies, which contributed +109%, or +1,082 K$, to the margin. The positive revenue and strong operational cost savings have helped stabilize margins. However, continued focus on both revenue recovery and operational efficiency will be necessary to sustain this momentum. Looking at the YTD margin performance, the contributions from Client 6 and Client 10 have helped lift overall year-to-date margins. However, Client 5’s performance remains inconsistent, and stabilizing its contribution will be essential to protect YTD profitability.</v>
      </c>
      <c r="K5" t="str">
        <f>HLOOKUP(K3,'Margin analysis prompts'!$A$44:$L$51,8,0)</f>
        <v>In October, margin performance reflects a -4% impact from a slight decline in revenue, equating to -38 K$. This was partially mitigated by cost efficiencies, which contributed +26%, or +255 K$, to the margin. While the revenue drop is minimal, the cost savings played an important role in limiting the margin decline. Moving forward, attention to both revenue recovery and maintaining cost control will be key to sustaining profitability. Looking at the YTD margin performance, contributions from Client 9 and Client 4 have provided consistent support to year-to-date margins. However, the decline in Client 10’s performance poses a risk to overall profitability. Stabilizing underperforming clients, such as Client 1, will be necessary to maintain YTD margin growth.</v>
      </c>
      <c r="L5" t="str">
        <f>HLOOKUP(L3,'Margin analysis prompts'!$A$44:$L$51,8,0)</f>
        <v>In November, margin performance reflects a -2% impact from a slight decline in revenue, equating to -19 K$. This revenue impact was largely offset by cost efficiencies, which contributed +22%, or +220 K$, to the margin. While the revenue dip was minimal, the cost management efforts helped limit the overall impact on margins. Maintaining a balance between revenue growth and cost control will be crucial as the year-end approaches. Looking at the YTD margin performance, the strong recovery from Client 1 and consistent performance from Client 7 have helped support year-to-date margins. However, the volatility seen in Client 10 and Client 9 could pose risks to year-end profitability if not addressed.</v>
      </c>
      <c r="M5" t="str">
        <f>HLOOKUP(M3,'Margin analysis prompts'!$A$44:$L$51,8,0)</f>
        <v>In December, margin performance reflects a -12% impact from a decline in revenue, equating to -118 K$. This revenue decline was partially offset by cost efficiencies, which contributed +40%, or +393 K$, to the margin. While the revenue drop created pressure, the strong focus on operational efficiency helped protect margins. Moving forward, both revenue growth and maintaining cost controls will be essential for future profitability. Looking at the YTD margin performance, strong contributions from Client 9 and Client 8 have helped lift year-to-date margins. However, the declines from Client 10 and Client 7 may pose risks as we transition into the new year. Stabilizing these clients will be critical to maintaining margin strength.</v>
      </c>
    </row>
    <row r="6" spans="1:21">
      <c r="A6" t="s">
        <v>898</v>
      </c>
      <c r="B6" t="s">
        <v>895</v>
      </c>
      <c r="C6" t="str">
        <f>HLOOKUP(C3,'EBITDA Analysis and prompts'!$C$13:$M$14,2,0)</f>
        <v>February’s strong cost management was pivotal in delivering a positive EBITDA despite the revenue challenges. The significant savings from OPEX, particularly in personnel and facility costs, provided a buffer. However, the decline in revenue is concerning, and addressing the sales volume drop will be critical to sustaining profitability in the coming months. Immediate focus should be on stabilizing the demand and reevaluating the sales strategy.</v>
      </c>
    </row>
    <row r="7" spans="1:21">
      <c r="A7" t="s">
        <v>165</v>
      </c>
      <c r="B7" t="s">
        <v>895</v>
      </c>
      <c r="C7" t="str">
        <f>CONCATENATE("- ",HLOOKUP(C3,'DSO Comments'!$B$4:$M$9,6,0),CHAR(10),"- ",VLOOKUP(C3,'DIO Comments'!$A$5:$G$17,7,0),CHAR(10),"- ",HLOOKUP(C3,'DPO Comments'!$B$2:$M$8,7,0))</f>
        <v>- February shows a sharp increase in DSO to 63 days, doubling compared to January. Multiple clients, including Client 4, have DSOs extending beyond 60 days, straining cash flows. The finance team needs to investigate whether these delays are due to internal inefficiencies or external factors like client cash flow issues. Client 4 should remain the top priority, along with a strategy to manage growing delays from other clients.
- With YTD DIO remaining at 3, the company continues to efficiently manage inventory, keeping cash available for operations. However, if Component 2’s slow turnover persists, it could affect liquidity in the coming months. Current liquidity is strong, but it’s essential to monitor future risks with Component 2.
- The overall rise in DPO suggests tighter liquidity and a reliance on supplier credit. Focus on improving payment cycles, especially for Supplier B, to prevent strained relationships and potential cash flow problems.</v>
      </c>
      <c r="D7" t="str">
        <f>CONCATENATE("- ",HLOOKUP(D3,'DSO Comments'!$B$4:$M$9,6,0),CHAR(10),"- ",VLOOKUP(D3,'DIO Comments'!$A$5:$G$17,7,0),CHAR(10),"- ",HLOOKUP(D3,'DPO Comments'!$B$2:$M$8,7,0))</f>
        <v>- March's company DSO of 84 days marks a critical point for liquidity risks. With several clients now delaying payments, the company must implement more aggressive collection strategies. Client 4 and Client 7 are of particular concern, both representing potential threats to working capital. Rolling YTD shows that collection performance has steadily deteriorated since January, and this trend cannot continue if the company is to maintain healthy cash flow. The finance team should prioritize revising payment terms and follow-up procedures.
- YTD DIO jumps to 5. This is a key turning point, signaling that the company’s overall liquidity could be under pressure if the buildup in Component 4 continues. The company’s working capital tied up in inventory has increased sharply, leading to potential constraints on liquidity if sales don’t catch up quickly.
- The company is stretching payments to manage liquidity, but Supplier D poses a significant risk. Address Supplier D’s payment delays urgently to prevent operational disruption. Supplier B’s improvement should be maintained.</v>
      </c>
      <c r="E7" t="str">
        <f>CONCATENATE("- ",HLOOKUP(E3,'DSO Comments'!$B$4:$M$9,6,0),CHAR(10),"- ",VLOOKUP(E3,'DIO Comments'!$A$5:$G$17,7,0),CHAR(10),"- ",HLOOKUP(E3,'DPO Comments'!$B$2:$M$8,7,0))</f>
        <v>- April's performance improves, with company DSO dropping to 64 days. This reflects the effectiveness of intensified collection efforts with key clients like Client 4 and Client 7. However, the fact that several other clients remain at risk means the finance team needs to apply consistent pressure to prevent further slippage. The YTD insight shows that although collections are improving, there's still substantial work to do to ensure all clients are paying within acceptable timeframes. Introducing incentive programs for early payments might be beneficial for maintaining momentum.
- YTD DIO increases further to 6.25, indicating a growing concern in liquidity management. The company now has more capital tied up in inventory, and cash flow might be strained if these stock levels are not reduced. Immediate action should be taken to clear excess inventory to avoid liquidity crunches.
- Rising DPO reflects cash flow pressure. Immediate action is needed to stabilize Supplier B and D’s payments to avoid disruptions in supply. Focus on negotiating better terms and stabilizing liquidity.</v>
      </c>
      <c r="F7" t="str">
        <f>CONCATENATE("- ",HLOOKUP(F3,'DSO Comments'!$B$4:$M$9,6,0),CHAR(10),"- ",VLOOKUP(F3,'DIO Comments'!$A$5:$G$17,7,0),CHAR(10),"- ",HLOOKUP(F3,'DPO Comments'!$B$2:$M$8,7,0))</f>
        <v>- The rise in company DSO to 70 days in May points to inconsistent collection efforts. Client 4's reversal in payment behavior is a warning that improvements may not be sustainable. Clients 2, 7, and 9 now represent significant risks that, if left unchecked, could lead to a liquidity crisis. The YTD analysis shows that despite some short-term improvements in April, the overall collection efficiency has not stabilized. The finance team should consider reviewing payment terms and possibly implementing penalties for chronic late payers.
- YTD DIO reaches 7.2, reflecting increasing inefficiency. The company must act to manage working capital, as the rise in inventory is leading to significant liquidity risks. The longer this trend continues, the more difficult it will be to manage cash flow for operating expenses or potential investments.
- Despite the improvement with Supplier D, Supplier B is a high-risk client, and delayed payments could lead to operational issues. Address Supplier B’s overdue payments immediately to ensure stability.</v>
      </c>
      <c r="G7" t="str">
        <f>CONCATENATE("- ",HLOOKUP(G3,'DSO Comments'!$B$4:$M$9,6,0),CHAR(10),"- ",VLOOKUP(G3,'DIO Comments'!$A$5:$G$17,7,0),CHAR(10),"- ",HLOOKUP(G3,'DPO Comments'!$B$2:$M$8,7,0))</f>
        <v>- June's company DSO of 79 days reflects continued deterioration in collection processes. Client 4 remains a top risk, and several other clients have also increased delays. This could indicate either internal invoicing issues or clients experiencing financial difficulties. The YTD analysis points to a growing risk that will require more aggressive actions to ensure collection timelines are met. The CFO should consider integrating technology to automate follow-ups and possibly introducing dynamic discounting to incentivize quicker payments.
- YTD DIO is now 8.5, suggesting a liquidity squeeze is imminent. With more cash tied up in unsold inventory, the company could face difficulties in meeting short-term financial obligations. This is a critical point for the company to adjust production levels and clear excess stock to stabilize cash flow.
- The company’s overall DPO is improving, but Supplier B remains a significant risk. Focus on clearing overdue balances with Supplier B to improve overall cash flow and supplier relationships.</v>
      </c>
      <c r="H7" t="str">
        <f>CONCATENATE("- ",HLOOKUP(H3,'DSO Comments'!$B$4:$M$9,6,0),CHAR(10),"- ",VLOOKUP(H3,'DIO Comments'!$A$5:$G$17,7,0),CHAR(10),"- ",HLOOKUP(H3,'DPO Comments'!$B$2:$M$8,7,0))</f>
        <v>- While July shows a slight improvement in company DSO to 75 days, the high DSOs from Clients 7 and 9 are eroding cash flow stability. Client 4 remains a consistent challenge, and additional actions will be required to prevent further deterioration. The YTD insights highlight that collection efforts are still not yielding consistent results across all clients, and liquidity management will remain a challenge if these patterns continue. Introducing third-party collection services or re-evaluating the creditworthiness of long-delayed clients could be beneficial for managing risks.
- YTD DIO of 9.7 shows a steady deterioration in liquidity. The company’s working capital management is weakening, with excess inventory threatening cash flow. At this stage, liquidity management must be a top priority. Urgent measures are needed to either boost sales or slow production to regain balance.
- Despite improvements with Supplier B, Supplier A and D’s rising DPOs indicate cash flow pressures. Prioritize managing Supplier D’s payments to avoid significant risks, and monitor Supplier A closely to prevent further delays.</v>
      </c>
      <c r="I7" t="str">
        <f>CONCATENATE("- ",HLOOKUP(I3,'DSO Comments'!$B$4:$M$9,6,0),CHAR(10),"- ",VLOOKUP(I3,'DIO Comments'!$A$5:$G$17,7,0),CHAR(10),"- ",HLOOKUP(I3,'DPO Comments'!$B$2:$M$8,7,0))</f>
        <v>- August’s company DSO rises slightly to 78 days, highlighting inconsistent collection efforts. Client 4’s return to 90 days raises concerns about the long-term sustainability of previous improvements. Clients 7 and 9 remain problematic, with delays likely to persist into Q4. The YTD analysis shows that collections have not stabilized as hoped, and additional pressure will be necessary to ensure that high-risk clients are paying on time. The finance team may need to revisit the payment schedules or even suspend services for clients with excessive DSOs to protect liquidity.
- YTD DIO at 10.75 marks a critical turning point, with liquidity pressures likely escalating. A large proportion of cash is locked up in inventory that isn’t moving, and the company risks running into liquidity issues. A thorough review of inventory, sales forecasts, and production levels is urgently required.
- Liquidity is under pressure, with both Supplier B and Supplier D showing high DPOs. Focus on negotiating better terms and clearing overdue balances to stabilize cash flow and prevent disruptions.</v>
      </c>
      <c r="J7" t="str">
        <f>CONCATENATE("- ",HLOOKUP(J3,'DSO Comments'!$B$4:$M$9,6,0),CHAR(10),"- ",VLOOKUP(J3,'DIO Comments'!$A$5:$G$17,7,0),CHAR(10),"- ",HLOOKUP(J3,'DPO Comments'!$B$2:$M$8,7,0))</f>
        <v>- September’s company DSO of 80 days is the highest of the year, signaling an urgent need for action. The YTD rolling insight reveals that key clients like Clients 4, 7, 9, and 10 are driving the poor performance, and their extended DSOs are significantly impacting the company’s cash flow. The CFO should explore options such as revising credit terms or temporarily halting shipments or services to clients who consistently delay payments. A deep analysis of client creditworthiness should be conducted to assess whether certain clients are at risk of default.
- YTD DIO of 12.2 indicates a severe liquidity risk. Cash flow has been severely impacted by excessive inventory levels, which are not being converted into sales quickly enough. The company needs to take immediate action to cut back on production or implement aggressive sales strategies to clear out excess stock.
- The company’s DPO has improved overall, but Supplier B’s delays still pose risks. Continue focusing on Supplier B to prevent a backslide in payment performance, and maintain improved terms with Suppliers A and D.</v>
      </c>
      <c r="K7" t="str">
        <f>CONCATENATE("- ",HLOOKUP(K3,'DSO Comments'!$B$4:$M$9,6,0),CHAR(10),"- ",VLOOKUP(K3,'DIO Comments'!$A$5:$G$17,7,0),CHAR(10),"- ",HLOOKUP(K3,'DPO Comments'!$B$2:$M$8,7,0))</f>
        <v>- October’s DSO drop to 69 days reflects some progress in collection efforts, especially with Client 9. However, Clients 7 and 10 continue to drag down the overall performance. The YTD insight indicates that while there has been some recovery, collection performance remains highly volatile. The CFO should consider setting stricter internal KPIs to prevent further slippage and possibly exploring invoice factoring or securing short-term financing as a buffer against late payments. Maintaining liquidity during this period will be critical as collections remain inconsistent.
- YTD DIO at 13.9 signals that liquidity management is now in crisis territory. The company’s ability to meet its short-term obligations is becoming compromised due to the significant amount of cash tied up in inventory. Emergency measures are necessary to rebalance inventory levels and protect the company’s cash flow.
- Supplier A’s DPO is improving, but Supplier B’s payment delays are alarming and pose serious cash flow risks. Address Supplier B’s payments urgently to prevent disruption and monitor Supplier D to avoid further delays.</v>
      </c>
      <c r="L7" t="str">
        <f>CONCATENATE("- ",HLOOKUP(L3,'DSO Comments'!$B$4:$M$9,6,0),CHAR(10),"- ",VLOOKUP(L3,'DIO Comments'!$A$5:$G$17,7,0),CHAR(10),"- ",HLOOKUP(L3,'DPO Comments'!$B$2:$M$8,7,0))</f>
        <v>- November’s DSO of 74 days reflects persistent collection issues, particularly with Client 2, whose DSO spike to 137 days represents a severe liquidity risk. If not addressed immediately, Client 2 could become a long-term default risk. Action must be taken swiftly, either through renegotiation or legal steps, to recover these outstanding amounts. Clients 7 and 9 are also consistent contributors to the elevated DSO, and a more aggressive approach, such as tighter payment terms or restrictions on credit, should be considered for these clients. The YTD insight indicates that despite earlier improvements, these clients continue to push the DSO up, threatening year-end liquidity. Without tighter control, the company may face the need for external financing to bridge cash flow gaps.
- YTD DIO of 14.8 shows that while there is some stabilization, liquidity remains under pressure. The company is still facing cash flow constraints, and unless excess inventory is addressed, it will struggle to meet its financial obligations. The small improvement should be capitalized on by taking decisive action.
- Supplier A’s delayed payments raise concerns, while improvements with Supplier B are encouraging. Focus on clearing Supplier A’s overdue payments and maintaining consistency with Supplier D to avoid further delays.</v>
      </c>
      <c r="M7" t="str">
        <f>CONCATENATE("- ",HLOOKUP(M3,'DSO Comments'!$B$4:$M$9,6,0),CHAR(10),"- ",VLOOKUP(M3,'DIO Comments'!$A$5:$G$17,7,0),CHAR(10),"- ",HLOOKUP(M3,'DPO Comments'!$B$2:$M$8,7,0))</f>
        <v>- The year closes with a DSO of 69 days, showing a recovery from the mid-year peak, especially with Client 2's improved payment behavior. However, the YTD analysis reflects that the year has been marked by fluctuating collection performance, with Clients 7, 9, and 4 being consistent risks. Client 2’s recovery is encouraging but should be closely monitored to ensure it sustains through the next year. Looking forward, the CFO should assess the long-term collection strategy and possibly restructure the credit and collection policies for clients like Clients 7, 9, and 10, who consistently delay payments. Additionally, a year-end review of the company's credit risk exposure should be conducted to safeguard liquidity and reduce dependency on late-paying clients. The finance team should also forecast the potential impact on next year's working capital and cash flow based on current client payment patterns.
- YTD DIO of 15.6 indicates a major liquidity crisis. The company has failed to convert inventory into cash quickly enough, leading to significant cash flow problems. Immediate corrective actions must be taken to avoid insolvency or the need for emergency financing to cover short-term financial commitments.
- The year ends with improved liquidity management for Supplier A, though Supplier B still presents moderate risks. Focus on maintaining stable payments across all suppliers and ensuring Supplier B’s overdue balances are cleared early in the new year.</v>
      </c>
    </row>
    <row r="8" spans="1:21">
      <c r="A8" t="s">
        <v>899</v>
      </c>
      <c r="B8" t="s">
        <v>895</v>
      </c>
      <c r="C8" t="str">
        <f>VLOOKUP(C3,'Cashflow comments'!$A$3:$F$15,6,0)</f>
        <v xml:space="preserve"> Sharp drop in operating cash flows due to a decrease in payables, but collections improved. Cumulative cash inflows now balanced by a slower accrual of receivables, signaling early pressure on liquidity.</v>
      </c>
      <c r="D8" t="str">
        <f>VLOOKUP(D3,'Cashflow comments'!$A$3:$F$15,6,0)</f>
        <v xml:space="preserve"> Weak operational performance in March creates the first cash outflow of the year. Need to monitor accounts payable and manage cash reserves closely.</v>
      </c>
      <c r="E8" t="str">
        <f>VLOOKUP(E3,'Cashflow comments'!$A$3:$F$15,6,0)</f>
        <v xml:space="preserve"> April brings the largest positive monthly inflow yet, driven by strong collections. This reversal positions the company with strong liquidity to counteract the early-year pressures.</v>
      </c>
      <c r="F8" t="str">
        <f>VLOOKUP(F3,'Cashflow comments'!$A$3:$F$15,6,0)</f>
        <v xml:space="preserve"> Despite the strong start, May's outflow brings net YTD cash position lower. The business is at risk of liquidity tightening if receivable management doesn't improve swiftly.</v>
      </c>
      <c r="G8" t="str">
        <f>VLOOKUP(G3,'Cashflow comments'!$A$3:$F$15,6,0)</f>
        <v xml:space="preserve"> June's operational cash outflow limits liquidity recovery. Stronger working capital control is needed, especially in extending payables and maintaining receivable reductions.</v>
      </c>
      <c r="H8" t="str">
        <f>VLOOKUP(H3,'Cashflow comments'!$A$3:$F$15,6,0)</f>
        <v xml:space="preserve"> Collections in July provide some relief, but the company must address operational profitability issues to prevent further cash pressure in the coming months.</v>
      </c>
      <c r="I8" t="str">
        <f>VLOOKUP(I3,'Cashflow comments'!$A$3:$F$15,6,0)</f>
        <v xml:space="preserve"> The continued operational issues, with worsening receivables and negative EBITDA, are reducing overall liquidity. Focus must shift to addressing EBITDA decline and payables management.</v>
      </c>
      <c r="J8" t="str">
        <f>VLOOKUP(J3,'Cashflow comments'!$A$3:$F$15,6,0)</f>
        <v xml:space="preserve"> September's high outflow marks a steep decline in YTD cash flow, highlighting weak working capital management despite a return to profitability. Immediate actions are required.</v>
      </c>
      <c r="K8" t="str">
        <f>VLOOKUP(K3,'Cashflow comments'!$A$3:$F$15,6,0)</f>
        <v xml:space="preserve"> October's large inflows restore the company's liquidity position. Strong collections and cash control help offset EBITDA challenges.</v>
      </c>
      <c r="L8" t="str">
        <f>VLOOKUP(L3,'Cashflow comments'!$A$3:$F$15,6,0)</f>
        <v xml:space="preserve"> November's sharp outflow threatens liquidity despite previous improvements. The company must urgently tackle receivable delays and work to improve operational profitability.</v>
      </c>
      <c r="M8" t="str">
        <f>VLOOKUP(M3,'Cashflow comments'!$A$3:$F$15,6,0)</f>
        <v xml:space="preserve"> December closes the year with a stable cash position. Collections improve, and profitability returns, positioning the company for a stronger liquidity position into the next year.</v>
      </c>
    </row>
    <row r="9" spans="1:21">
      <c r="B9">
        <v>1</v>
      </c>
      <c r="C9">
        <v>2</v>
      </c>
      <c r="D9">
        <v>3</v>
      </c>
      <c r="E9">
        <v>4</v>
      </c>
      <c r="F9">
        <v>5</v>
      </c>
      <c r="G9">
        <v>6</v>
      </c>
      <c r="H9">
        <v>7</v>
      </c>
      <c r="I9">
        <v>8</v>
      </c>
      <c r="J9">
        <v>9</v>
      </c>
      <c r="K9">
        <v>10</v>
      </c>
      <c r="L9">
        <v>11</v>
      </c>
      <c r="M9">
        <v>12</v>
      </c>
    </row>
    <row r="10" spans="1:21">
      <c r="A10" t="s">
        <v>163</v>
      </c>
      <c r="B10" t="s">
        <v>895</v>
      </c>
      <c r="C10" t="str">
        <f>CONCATENATE(C4,C5,C6,C7,C8)</f>
        <v>The overall revenue decline of 1,019.24 K$ in February was heavily driven by Client 1’s sharp drop, which contributed 1.8M$ to the negative variance. Although Client 10 and Client 5 provided positive gains, other clients like Client 3, Client 7, and Client 8 also underperformed, compounding the losses. The heavy reliance on Client 1 continues to pose a significant risk, and the company must diversify its client portfolio to stabilize revenue. By the end of February, the company’s year-to-date revenue deficit stands at 1.02M$, primarily driven by losses from Client 1. Although other clients like Client 4 and Client 10 have performed well, the company remains overly reliant on a few large accounts, which increases risk. Strengthening mid-tier client relationships should be a priority moving forward.In February, margin performance reflects a -24% impact from the decline in revenue, equating to -236 K$. This revenue decline was offset by strong cost efficiencies, which contributed +76%, or +756 K$, to the margin. While the revenue drop has put pressure on margins, operational cost management has been instrumental in maintaining profitability. Sustaining this cost control focus will be key moving forward, alongside efforts to regain top-line growth. Looking at the YTD margin performance, the overall trends are positive. The strong contributions from Client 5 and Client 10 have lifted year-to-date margins, but volatility remains in the contributions from Client 3 and Client 6, posing potential risks to sustained profitability. Stabilizing these client relationships will be critical for maintaining strong YTD performance throughout the remainder of the year.February’s strong cost management was pivotal in delivering a positive EBITDA despite the revenue challenges. The significant savings from OPEX, particularly in personnel and facility costs, provided a buffer. However, the decline in revenue is concerning, and addressing the sales volume drop will be critical to sustaining profitability in the coming months. Immediate focus should be on stabilizing the demand and reevaluating the sales strategy.- February shows a sharp increase in DSO to 63 days, doubling compared to January. Multiple clients, including Client 4, have DSOs extending beyond 60 days, straining cash flows. The finance team needs to investigate whether these delays are due to internal inefficiencies or external factors like client cash flow issues. Client 4 should remain the top priority, along with a strategy to manage growing delays from other clients.
- With YTD DIO remaining at 3, the company continues to efficiently manage inventory, keeping cash available for operations. However, if Component 2’s slow turnover persists, it could affect liquidity in the coming months. Current liquidity is strong, but it’s essential to monitor future risks with Component 2.
- The overall rise in DPO suggests tighter liquidity and a reliance on supplier credit. Focus on improving payment cycles, especially for Supplier B, to prevent strained relationships and potential cash flow problems. Sharp drop in operating cash flows due to a decrease in payables, but collections improved. Cumulative cash inflows now balanced by a slower accrual of receivables, signaling early pressure on liquidity.</v>
      </c>
      <c r="D10" t="str">
        <f t="shared" ref="D10:M10" si="0">CONCATENATE(D4,D5,D6,D7,D8)</f>
        <v>March saw a further revenue decline of 1,929.81 K$, primarily driven by significant reductions from Client 5 and Client 10. Although Client 2 posted a slight increase, it was insufficient to counterbalance the losses. The dependency on large clients remains a considerable risk, particularly when two clients contribute over 3M$ in lost revenue. The company’s year-to-date revenue deficit increased by 1.93M$ in March, mainly due to the continued decline of Client 1 and significant reductions in Client 5 and Client 10. Despite some small recoveries from Client 2, the heavy reliance on large clients poses ongoing risks. A more balanced client base is crucial to stabilizing performance.In March, margin performance reflects a -57% impact from the decline in revenue, equating to -561 K$. The revenue drop was partially offset by cost efficiencies, which contributed +14%, or +136 K$, to the margin. Although revenue pressures were significant, the cost management impact was less effective this month compared to February. Continuing to improve cost efficiency and restore revenue growth will be key moving forward. Looking at the YTD margin performance, the overall trends show recovery in Client 3 and continued strong performance from Client 5. However, the volatility in Client 10’s contribution poses a risk to sustained profitability. Ensuring consistent contributions from top clients like Client 7 and stabilizing Client 10 will be important for maintaining YTD margin growth.- March's company DSO of 84 days marks a critical point for liquidity risks. With several clients now delaying payments, the company must implement more aggressive collection strategies. Client 4 and Client 7 are of particular concern, both representing potential threats to working capital. Rolling YTD shows that collection performance has steadily deteriorated since January, and this trend cannot continue if the company is to maintain healthy cash flow. The finance team should prioritize revising payment terms and follow-up procedures.
- YTD DIO jumps to 5. This is a key turning point, signaling that the company’s overall liquidity could be under pressure if the buildup in Component 4 continues. The company’s working capital tied up in inventory has increased sharply, leading to potential constraints on liquidity if sales don’t catch up quickly.
- The company is stretching payments to manage liquidity, but Supplier D poses a significant risk. Address Supplier D’s payment delays urgently to prevent operational disruption. Supplier B’s improvement should be maintained. Weak operational performance in March creates the first cash outflow of the year. Need to monitor accounts payable and manage cash reserves closely.</v>
      </c>
      <c r="E10" t="str">
        <f t="shared" si="0"/>
        <v>April marked a welcome recovery with a 1,681.74 K$ increase in revenue, largely driven by improved performance from Client 1 and a significant recovery from Client 10. This suggests that previous issues with key clients may have been temporary, though continued engagement is needed to ensure sustained growth. With a 1.68M$ recovery in April, the company’s YTD revenue shows some improvement, thanks to positive performance from Client 1 and Client 10. This indicates the potential for stabilization, though continued efforts are required to mitigate any future volatility from these large clients.In April, margin performance reflects a +37% improvement from revenue recovery, equating to +372 K$. This recovery was partially offset by weaker cost efficiencies, which contributed only +14%, or +136 K$, to the margin. While the revenue growth is encouraging, the limited impact of cost management highlights the need for renewed operational focus to sustain margin growth in the future. Looking at the YTD margin performance, the trends show positive contributions from Client 4 and Client 7 boosting overall results. However, the volatility in Client 1’s and Client 10’s contributions poses risks to sustaining profitability. Stabilizing these client relationships and encouraging consistent contributions will be critical to protecting year-to-date margins.- April's performance improves, with company DSO dropping to 64 days. This reflects the effectiveness of intensified collection efforts with key clients like Client 4 and Client 7. However, the fact that several other clients remain at risk means the finance team needs to apply consistent pressure to prevent further slippage. The YTD insight shows that although collections are improving, there's still substantial work to do to ensure all clients are paying within acceptable timeframes. Introducing incentive programs for early payments might be beneficial for maintaining momentum.
- YTD DIO increases further to 6.25, indicating a growing concern in liquidity management. The company now has more capital tied up in inventory, and cash flow might be strained if these stock levels are not reduced. Immediate action should be taken to clear excess inventory to avoid liquidity crunches.
- Rising DPO reflects cash flow pressure. Immediate action is needed to stabilize Supplier B and D’s payments to avoid disruptions in supply. Focus on negotiating better terms and stabilizing liquidity. April brings the largest positive monthly inflow yet, driven by strong collections. This reversal positions the company with strong liquidity to counteract the early-year pressures.</v>
      </c>
      <c r="F10" t="str">
        <f t="shared" si="0"/>
        <v>May saw a 4.82% revenue decline, largely driven by losses from Client 5 and Client 9. Despite a positive contribution from Client 1, it wasn’t enough to offset underperformance by other major clients. Sustaining client engagement remains a challenge across the board. The YTD deficit increased by 4.82% in May, with declines from Client 5 and Client 9 exacerbating the company’s overall performance. Despite Client 1’s continued positive contribution, the lack of sustained engagement from other clients is a concern and requires immediate focus.In May, margin performance reflects a -14% impact from the decline in revenue, equating to -140 K$. This was countered by significant cost efficiencies, which contributed +36%, or +361 K$, to the margin. Although the revenue decline created pressure, the strong focus on cost control helped sustain the margins. Maintaining this balance between revenue recovery and cost efficiency will be key moving forward. The YTD margin performance shows continued strength from Client 4 and Client 5, with positive overall contributions. However, the volatility in Client 3 and Client 7’s performance continues to pose a risk. Stabilizing these clients will be critical to maintaining the overall year-to-date margin growth.- The rise in company DSO to 70 days in May points to inconsistent collection efforts. Client 4's reversal in payment behavior is a warning that improvements may not be sustainable. Clients 2, 7, and 9 now represent significant risks that, if left unchecked, could lead to a liquidity crisis. The YTD analysis shows that despite some short-term improvements in April, the overall collection efficiency has not stabilized. The finance team should consider reviewing payment terms and possibly implementing penalties for chronic late payers.
- YTD DIO reaches 7.2, reflecting increasing inefficiency. The company must act to manage working capital, as the rise in inventory is leading to significant liquidity risks. The longer this trend continues, the more difficult it will be to manage cash flow for operating expenses or potential investments.
- Despite the improvement with Supplier D, Supplier B is a high-risk client, and delayed payments could lead to operational issues. Address Supplier B’s overdue payments immediately to ensure stability. Despite the strong start, May's outflow brings net YTD cash position lower. The business is at risk of liquidity tightening if receivable management doesn't improve swiftly.</v>
      </c>
      <c r="G10" t="str">
        <f t="shared" si="0"/>
        <v>June saw a 5.90% revenue increase, driven by strong recovery from Client 3 and continued growth from Client 9. Despite a decline from Client 1, overall performance shows a positive trend as the company expands its client base and regains lost ground. The company showed a 5.90% improvement in June, with YTD performance beginning to stabilize due to the recovery of Client 3 and growth in Client 9. However, the volatility in Client 1 remains a challenge, and the company must continue focusing on diversifying its client portfolio to reduce future risks.In June, margin performance reflects a +14% improvement, contributing +141 K$ to the total margin. This positive revenue impact was significantly boosted by cost efficiencies, which contributed a substantial +218%, or +2,166 K$, to the margin. The strong operational efficiency this month helped drive profitability, signaling that cost management efforts are highly effective in offsetting revenue pressures. Looking at the YTD margin performance, the strong contributions from Client 8 and Client 6 have lifted overall year-to-date margins. However, the decline in Client 5’s contribution introduces some risk to margin stability. Stabilizing client contributions across the board will be critical for maintaining healthy YTD margins as we move into the second half of the year.- June's company DSO of 79 days reflects continued deterioration in collection processes. Client 4 remains a top risk, and several other clients have also increased delays. This could indicate either internal invoicing issues or clients experiencing financial difficulties. The YTD analysis points to a growing risk that will require more aggressive actions to ensure collection timelines are met. The CFO should consider integrating technology to automate follow-ups and possibly introducing dynamic discounting to incentivize quicker payments.
- YTD DIO is now 8.5, suggesting a liquidity squeeze is imminent. With more cash tied up in unsold inventory, the company could face difficulties in meeting short-term financial obligations. This is a critical point for the company to adjust production levels and clear excess stock to stabilize cash flow.
- The company’s overall DPO is improving, but Supplier B remains a significant risk. Focus on clearing overdue balances with Supplier B to improve overall cash flow and supplier relationships. June's operational cash outflow limits liquidity recovery. Stronger working capital control is needed, especially in extending payables and maintaining receivable reductions.</v>
      </c>
      <c r="H10" t="str">
        <f t="shared" si="0"/>
        <v>July saw a 4.29% revenue increase, driven by improvements in Client 5 and Client 3. However, Client 1’s continued decline is concerning, indicating unstable demand. The company must maintain growth in mid-tier clients to balance the volatility in larger accounts. July’s 4.29% YTD growth is encouraging, driven by mid-tier client gains like Client 5 and Client 3. However, the volatility in Client 1’s demand continues to highlight the company’s reliance on a few key accounts, posing risks to long-term stability.In July, margin performance reflects a -55% impact from a significant decline in revenue, equating to -543 K$. This decline was partially offset by cost efficiencies, which contributed +145%, or +1,434 K$, to the margin. While the revenue drop created substantial pressure, the strong focus on cost control helped reduce the overall margin decline. Continuing this cost focus will be essential as revenue recovery is pursued. Looking at the YTD margin performance, contributions from Client 7 and Client 9 have been consistent, helping to mitigate the impact of the revenue decline. However, the volatility in Client 5 and Client 8 poses risks to overall profitability. Stabilizing these clients will be crucial to maintaining positive YTD margin growth as the year progresses.- While July shows a slight improvement in company DSO to 75 days, the high DSOs from Clients 7 and 9 are eroding cash flow stability. Client 4 remains a consistent challenge, and additional actions will be required to prevent further deterioration. The YTD insights highlight that collection efforts are still not yielding consistent results across all clients, and liquidity management will remain a challenge if these patterns continue. Introducing third-party collection services or re-evaluating the creditworthiness of long-delayed clients could be beneficial for managing risks.
- YTD DIO of 9.7 shows a steady deterioration in liquidity. The company’s working capital management is weakening, with excess inventory threatening cash flow. At this stage, liquidity management must be a top priority. Urgent measures are needed to either boost sales or slow production to regain balance.
- Despite improvements with Supplier B, Supplier A and D’s rising DPOs indicate cash flow pressures. Prioritize managing Supplier D’s payments to avoid significant risks, and monitor Supplier A closely to prevent further delays. Collections in July provide some relief, but the company must address operational profitability issues to prevent further cash pressure in the coming months.</v>
      </c>
      <c r="I10" t="str">
        <f t="shared" si="0"/>
        <v>August saw a sharp 15.63% decline in revenue, primarily due to a 1.5M$ reduction in orders from Client 1. Additionally, declines in Client 9 compounded the negative performance. Exposure to large clients is becoming more problematic, requiring immediate recovery action or new clients. With a 15.63% decline in August, the YTD deficit has widened, largely due to a sharp drop in Client 1 and Client 9’s underperformance. Immediate actions are required to manage the volatility in larger accounts while nurturing growth in smaller and mid-tier clients to mitigate overall risks.In August, margin performance reflects a -55% impact from a continued decline in revenue, equating to -543 K$. This decline was somewhat offset by cost efficiencies, which contributed +81%, or +1,344 K$, to the margin. Although revenue continues to be a challenge, the strong focus on cost management has played a crucial role in maintaining profitability. However, sustaining this cost control will be key as efforts are made to stabilize revenue. Looking at the YTD margin performance, the strong contributions from Client 10 and Client 7 have helped maintain year-to-date margins, but the declining performance from Client 1 and Client 5 poses a potential risk. Stabilizing underperforming clients will be critical to sustaining YTD profitability as the year progresses.- August’s company DSO rises slightly to 78 days, highlighting inconsistent collection efforts. Client 4’s return to 90 days raises concerns about the long-term sustainability of previous improvements. Clients 7 and 9 remain problematic, with delays likely to persist into Q4. The YTD analysis shows that collections have not stabilized as hoped, and additional pressure will be necessary to ensure that high-risk clients are paying on time. The finance team may need to revisit the payment schedules or even suspend services for clients with excessive DSOs to protect liquidity.
- YTD DIO at 10.75 marks a critical turning point, with liquidity pressures likely escalating. A large proportion of cash is locked up in inventory that isn’t moving, and the company risks running into liquidity issues. A thorough review of inventory, sales forecasts, and production levels is urgently required.
- Liquidity is under pressure, with both Supplier B and Supplier D showing high DPOs. Focus on negotiating better terms and clearing overdue balances to stabilize cash flow and prevent disruptions. The continued operational issues, with worsening receivables and negative EBITDA, are reducing overall liquidity. Focus must shift to addressing EBITDA decline and payables management.</v>
      </c>
      <c r="J10" t="str">
        <f t="shared" si="0"/>
        <v>September’s 3.80% increase in revenue reflects partial recovery from August’s sharp decline, with Client 1 showing improvement. However, the recovery remains fragile, and declines in smaller clients like Client 3 and Client 10 offset some of the gains. The 3.80% increase in September YTD performance reflects a partial recovery from August’s sharp decline, but overall growth remains fragile. The company’s heavy dependence on Client 1 continues to pose risks, with smaller clients like Client 3 not providing enough momentum to balance the portfolio.In September, margin performance reflects a +8% improvement from revenue recovery, equating to +81 K$. This revenue growth was bolstered by cost efficiencies, which contributed +109%, or +1,082 K$, to the margin. The positive revenue and strong operational cost savings have helped stabilize margins. However, continued focus on both revenue recovery and operational efficiency will be necessary to sustain this momentum. Looking at the YTD margin performance, the contributions from Client 6 and Client 10 have helped lift overall year-to-date margins. However, Client 5’s performance remains inconsistent, and stabilizing its contribution will be essential to protect YTD profitability.- September’s company DSO of 80 days is the highest of the year, signaling an urgent need for action. The YTD rolling insight reveals that key clients like Clients 4, 7, 9, and 10 are driving the poor performance, and their extended DSOs are significantly impacting the company’s cash flow. The CFO should explore options such as revising credit terms or temporarily halting shipments or services to clients who consistently delay payments. A deep analysis of client creditworthiness should be conducted to assess whether certain clients are at risk of default.
- YTD DIO of 12.2 indicates a severe liquidity risk. Cash flow has been severely impacted by excessive inventory levels, which are not being converted into sales quickly enough. The company needs to take immediate action to cut back on production or implement aggressive sales strategies to clear out excess stock.
- The company’s DPO has improved overall, but Supplier B’s delays still pose risks. Continue focusing on Supplier B to prevent a backslide in payment performance, and maintain improved terms with Suppliers A and D. September's high outflow marks a steep decline in YTD cash flow, highlighting weak working capital management despite a return to profitability. Immediate actions are required.</v>
      </c>
      <c r="K10" t="str">
        <f t="shared" si="0"/>
        <v>October’s 1.17% revenue decline was driven by significant drops in Client 4’s revenue (over 450K$ loss), partially offset by Client 10’s significant recovery and further growth from Client 1. Reliance on large clients remains high, indicating continued volatility risks. The 1.17% decline in October’s YTD performance shows that the company is still struggling with client volatility, especially from Client 4. The partial recovery from Client 10 is encouraging, but overall reliance on large accounts continues to expose the company to risk.In October, margin performance reflects a -4% impact from a slight decline in revenue, equating to -38 K$. This was partially mitigated by cost efficiencies, which contributed +26%, or +255 K$, to the margin. While the revenue drop is minimal, the cost savings played an important role in limiting the margin decline. Moving forward, attention to both revenue recovery and maintaining cost control will be key to sustaining profitability. Looking at the YTD margin performance, contributions from Client 9 and Client 4 have provided consistent support to year-to-date margins. However, the decline in Client 10’s performance poses a risk to overall profitability. Stabilizing underperforming clients, such as Client 1, will be necessary to maintain YTD margin growth.- October’s DSO drop to 69 days reflects some progress in collection efforts, especially with Client 9. However, Clients 7 and 10 continue to drag down the overall performance. The YTD insight indicates that while there has been some recovery, collection performance remains highly volatile. The CFO should consider setting stricter internal KPIs to prevent further slippage and possibly exploring invoice factoring or securing short-term financing as a buffer against late payments. Maintaining liquidity during this period will be critical as collections remain inconsistent.
- YTD DIO at 13.9 signals that liquidity management is now in crisis territory. The company’s ability to meet its short-term obligations is becoming compromised due to the significant amount of cash tied up in inventory. Emergency measures are necessary to rebalance inventory levels and protect the company’s cash flow.
- Supplier A’s DPO is improving, but Supplier B’s payment delays are alarming and pose serious cash flow risks. Address Supplier B’s payments urgently to prevent disruption and monitor Supplier D to avoid further delays. October's large inflows restore the company's liquidity position. Strong collections and cash control help offset EBITDA challenges.</v>
      </c>
      <c r="L10" t="str">
        <f t="shared" si="0"/>
        <v>November saw a slight 0.64% revenue decline, with Client 1 continuing to improve performance, but losses from Client 9 and Client 7 offset growth. While Client 1's recovery is encouraging, overall stagnation suggests more attention is needed on underperforming key clients. The year-to-date revenue deficit of 2.47M$ at the end of November indicates stagnation, despite Client 1’s recovery. The company must address underperformance from other key clients like Client 9 and Client 7 to ensure stronger revenue growth heading into the next fiscal period.In November, margin performance reflects a -2% impact from a slight decline in revenue, equating to -19 K$. This revenue impact was largely offset by cost efficiencies, which contributed +22%, or +220 K$, to the margin. While the revenue dip was minimal, the cost management efforts helped limit the overall impact on margins. Maintaining a balance between revenue growth and cost control will be crucial as the year-end approaches. Looking at the YTD margin performance, the strong recovery from Client 1 and consistent performance from Client 7 have helped support year-to-date margins. However, the volatility seen in Client 10 and Client 9 could pose risks to year-end profitability if not addressed.- November’s DSO of 74 days reflects persistent collection issues, particularly with Client 2, whose DSO spike to 137 days represents a severe liquidity risk. If not addressed immediately, Client 2 could become a long-term default risk. Action must be taken swiftly, either through renegotiation or legal steps, to recover these outstanding amounts. Clients 7 and 9 are also consistent contributors to the elevated DSO, and a more aggressive approach, such as tighter payment terms or restrictions on credit, should be considered for these clients. The YTD insight indicates that despite earlier improvements, these clients continue to push the DSO up, threatening year-end liquidity. Without tighter control, the company may face the need for external financing to bridge cash flow gaps.
- YTD DIO of 14.8 shows that while there is some stabilization, liquidity remains under pressure. The company is still facing cash flow constraints, and unless excess inventory is addressed, it will struggle to meet its financial obligations. The small improvement should be capitalized on by taking decisive action.
- Supplier A’s delayed payments raise concerns, while improvements with Supplier B are encouraging. Focus on clearing Supplier A’s overdue payments and maintaining consistency with Supplier D to avoid further delays. November's sharp outflow threatens liquidity despite previous improvements. The company must urgently tackle receivable delays and work to improve operational profitability.</v>
      </c>
      <c r="M10" t="str">
        <f t="shared" si="0"/>
        <v>December closed with a 4.27% revenue decline, primarily driven by a significant drop from Client 1, leading to a 1.4M$ loss. However, growth from Client 9 and Client 10 offset some of the decline. The company remains highly dependent on large clients, with volatility a persistent risk. The company closed the year with a 2.95M$ YTD revenue deficit, primarily driven by the continued volatility in Client 1 and losses in Client 9 and Client 7. The recovery from Client 10 and Client 9 shows promise, but the overall performance indicates a need for a more diversified client base.In December, margin performance reflects a -12% impact from a decline in revenue, equating to -118 K$. This revenue decline was partially offset by cost efficiencies, which contributed +40%, or +393 K$, to the margin. While the revenue drop created pressure, the strong focus on operational efficiency helped protect margins. Moving forward, both revenue growth and maintaining cost controls will be essential for future profitability. Looking at the YTD margin performance, strong contributions from Client 9 and Client 8 have helped lift year-to-date margins. However, the declines from Client 10 and Client 7 may pose risks as we transition into the new year. Stabilizing these clients will be critical to maintaining margin strength.- The year closes with a DSO of 69 days, showing a recovery from the mid-year peak, especially with Client 2's improved payment behavior. However, the YTD analysis reflects that the year has been marked by fluctuating collection performance, with Clients 7, 9, and 4 being consistent risks. Client 2’s recovery is encouraging but should be closely monitored to ensure it sustains through the next year. Looking forward, the CFO should assess the long-term collection strategy and possibly restructure the credit and collection policies for clients like Clients 7, 9, and 10, who consistently delay payments. Additionally, a year-end review of the company's credit risk exposure should be conducted to safeguard liquidity and reduce dependency on late-paying clients. The finance team should also forecast the potential impact on next year's working capital and cash flow based on current client payment patterns.
- YTD DIO of 15.6 indicates a major liquidity crisis. The company has failed to convert inventory into cash quickly enough, leading to significant cash flow problems. Immediate corrective actions must be taken to avoid insolvency or the need for emergency financing to cover short-term financial commitments.
- The year ends with improved liquidity management for Supplier A, though Supplier B still presents moderate risks. Focus on maintaining stable payments across all suppliers and ensuring Supplier B’s overdue balances are cleared early in the new year. December closes the year with a stable cash position. Collections improve, and profitability returns, positioning the company for a stronger liquidity position into the next year.</v>
      </c>
    </row>
    <row r="11" spans="1:21">
      <c r="A11" t="s">
        <v>900</v>
      </c>
    </row>
    <row r="12" spans="1:21" ht="32">
      <c r="B12" s="572" t="s">
        <v>17</v>
      </c>
      <c r="C12" s="572" t="s">
        <v>18</v>
      </c>
      <c r="D12" s="572" t="s">
        <v>19</v>
      </c>
      <c r="E12" s="572" t="s">
        <v>20</v>
      </c>
      <c r="F12" s="572" t="s">
        <v>21</v>
      </c>
      <c r="G12" s="572" t="s">
        <v>22</v>
      </c>
      <c r="H12" s="572" t="s">
        <v>23</v>
      </c>
      <c r="I12" s="572" t="s">
        <v>24</v>
      </c>
      <c r="J12" s="572" t="s">
        <v>25</v>
      </c>
      <c r="K12" s="572" t="s">
        <v>26</v>
      </c>
      <c r="L12" s="572" t="s">
        <v>27</v>
      </c>
      <c r="M12" s="572" t="s">
        <v>28</v>
      </c>
    </row>
    <row r="13" spans="1:21" ht="94.75" customHeight="1">
      <c r="A13" s="572"/>
      <c r="B13" s="571" t="s">
        <v>901</v>
      </c>
      <c r="C13" s="571" t="s">
        <v>903</v>
      </c>
      <c r="D13" s="571" t="s">
        <v>905</v>
      </c>
      <c r="E13" s="571" t="s">
        <v>907</v>
      </c>
      <c r="F13" s="571" t="s">
        <v>909</v>
      </c>
      <c r="G13" s="571" t="s">
        <v>911</v>
      </c>
      <c r="H13" s="571" t="s">
        <v>913</v>
      </c>
      <c r="I13" s="571" t="s">
        <v>915</v>
      </c>
      <c r="J13" s="571" t="s">
        <v>917</v>
      </c>
      <c r="K13" s="571" t="s">
        <v>919</v>
      </c>
      <c r="L13" s="571" t="s">
        <v>921</v>
      </c>
      <c r="M13" s="571" t="s">
        <v>923</v>
      </c>
    </row>
    <row r="14" spans="1:21" ht="94.75" customHeight="1">
      <c r="A14" s="572"/>
      <c r="B14" s="572" t="s">
        <v>902</v>
      </c>
      <c r="C14" s="572" t="s">
        <v>904</v>
      </c>
      <c r="D14" s="572" t="s">
        <v>906</v>
      </c>
      <c r="E14" s="572" t="s">
        <v>908</v>
      </c>
      <c r="F14" s="572" t="s">
        <v>910</v>
      </c>
      <c r="G14" s="572" t="s">
        <v>912</v>
      </c>
      <c r="H14" s="572" t="s">
        <v>914</v>
      </c>
      <c r="I14" s="572" t="s">
        <v>916</v>
      </c>
      <c r="J14" s="572" t="s">
        <v>918</v>
      </c>
      <c r="K14" s="572" t="s">
        <v>920</v>
      </c>
      <c r="L14" s="572" t="s">
        <v>922</v>
      </c>
      <c r="M14" s="572" t="s">
        <v>924</v>
      </c>
    </row>
    <row r="15" spans="1:21">
      <c r="A15" s="572"/>
      <c r="B15" s="571"/>
      <c r="C15" s="572"/>
    </row>
    <row r="16" spans="1:21">
      <c r="B16" s="571"/>
      <c r="C16" s="572"/>
      <c r="D16" s="571"/>
      <c r="G16" s="572"/>
      <c r="H16" s="572"/>
      <c r="I16" s="572"/>
      <c r="J16" s="572"/>
      <c r="O16" s="572"/>
      <c r="P16" s="572"/>
      <c r="Q16" s="572"/>
      <c r="R16" s="572"/>
      <c r="S16" s="572"/>
      <c r="T16" s="572"/>
      <c r="U16" s="572"/>
    </row>
    <row r="17" spans="1:13" ht="67.25" customHeight="1">
      <c r="A17" s="572"/>
      <c r="B17" s="571" t="s">
        <v>929</v>
      </c>
      <c r="C17" s="571" t="s">
        <v>925</v>
      </c>
      <c r="D17" s="571" t="s">
        <v>926</v>
      </c>
      <c r="E17" s="571" t="s">
        <v>927</v>
      </c>
      <c r="F17" s="571" t="s">
        <v>928</v>
      </c>
      <c r="G17" s="571" t="s">
        <v>932</v>
      </c>
      <c r="H17" s="571" t="s">
        <v>933</v>
      </c>
      <c r="I17" s="571" t="s">
        <v>934</v>
      </c>
      <c r="J17" s="571" t="s">
        <v>935</v>
      </c>
      <c r="K17" s="571" t="s">
        <v>936</v>
      </c>
      <c r="L17" s="571" t="s">
        <v>937</v>
      </c>
      <c r="M17" s="571" t="s">
        <v>938</v>
      </c>
    </row>
    <row r="18" spans="1:13" ht="67.25" customHeight="1">
      <c r="A18" s="572"/>
      <c r="B18" s="572" t="s">
        <v>930</v>
      </c>
      <c r="C18" s="572" t="s">
        <v>939</v>
      </c>
      <c r="D18" s="572" t="s">
        <v>940</v>
      </c>
      <c r="E18" s="572" t="s">
        <v>941</v>
      </c>
      <c r="F18" s="572" t="s">
        <v>942</v>
      </c>
      <c r="G18" s="572" t="s">
        <v>943</v>
      </c>
      <c r="H18" s="572" t="s">
        <v>944</v>
      </c>
      <c r="I18" s="572" t="s">
        <v>945</v>
      </c>
      <c r="J18" s="572" t="s">
        <v>946</v>
      </c>
      <c r="K18" s="572" t="s">
        <v>947</v>
      </c>
      <c r="L18" s="572" t="s">
        <v>948</v>
      </c>
      <c r="M18" s="572" t="s">
        <v>949</v>
      </c>
    </row>
    <row r="19" spans="1:13" ht="67.25" customHeight="1">
      <c r="A19" s="572"/>
      <c r="B19" s="571" t="s">
        <v>931</v>
      </c>
      <c r="C19" s="572" t="s">
        <v>950</v>
      </c>
      <c r="D19" s="572" t="s">
        <v>951</v>
      </c>
      <c r="E19" s="572" t="s">
        <v>952</v>
      </c>
      <c r="F19" s="572" t="s">
        <v>953</v>
      </c>
      <c r="G19" s="572" t="s">
        <v>954</v>
      </c>
      <c r="H19" s="572" t="s">
        <v>955</v>
      </c>
      <c r="I19" s="572" t="s">
        <v>956</v>
      </c>
      <c r="J19" s="572" t="s">
        <v>957</v>
      </c>
      <c r="K19" s="572" t="s">
        <v>958</v>
      </c>
      <c r="L19" s="572" t="s">
        <v>959</v>
      </c>
      <c r="M19" s="572" t="s">
        <v>960</v>
      </c>
    </row>
    <row r="20" spans="1:13" ht="67.25" customHeight="1">
      <c r="A20" s="572"/>
      <c r="B20" s="571"/>
      <c r="C20" s="572"/>
      <c r="D20" s="572"/>
      <c r="E20" s="572"/>
      <c r="H20" s="572"/>
      <c r="I20" s="572"/>
      <c r="J20" s="572"/>
      <c r="K20" s="571"/>
      <c r="L20" s="572"/>
      <c r="M20" s="572"/>
    </row>
    <row r="21" spans="1:13" ht="67.25" customHeight="1">
      <c r="A21" s="572"/>
      <c r="B21" s="571"/>
      <c r="C21" s="572"/>
      <c r="J21" s="572"/>
      <c r="K21" s="571"/>
      <c r="L21" s="572"/>
      <c r="M21" s="572"/>
    </row>
    <row r="22" spans="1:13" ht="67.25" customHeight="1">
      <c r="A22" s="572"/>
      <c r="B22" s="571"/>
      <c r="C22" s="572"/>
      <c r="J22" s="572"/>
      <c r="K22" s="571"/>
      <c r="L22" s="572"/>
      <c r="M22" s="572"/>
    </row>
    <row r="23" spans="1:13" ht="67.25" customHeight="1">
      <c r="A23" s="572"/>
      <c r="B23" s="571"/>
      <c r="C23" s="572"/>
      <c r="J23" s="572"/>
      <c r="K23" s="571"/>
      <c r="L23" s="572"/>
      <c r="M23" s="572"/>
    </row>
    <row r="24" spans="1:13" ht="67.25" customHeight="1">
      <c r="A24" s="572"/>
      <c r="B24" s="571"/>
      <c r="C24" s="57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A9554-EFE7-440A-BE75-2D89CE35535E}">
  <sheetPr codeName="Sheet12">
    <tabColor theme="0"/>
  </sheetPr>
  <dimension ref="A5:U31"/>
  <sheetViews>
    <sheetView topLeftCell="A22" workbookViewId="0">
      <selection activeCell="E22" sqref="E22"/>
    </sheetView>
  </sheetViews>
  <sheetFormatPr baseColWidth="10" defaultColWidth="8.83203125" defaultRowHeight="15"/>
  <cols>
    <col min="2" max="2" width="11.5" bestFit="1" customWidth="1"/>
  </cols>
  <sheetData>
    <row r="5" spans="1:21">
      <c r="B5" s="1">
        <v>1</v>
      </c>
      <c r="C5" s="1">
        <v>2</v>
      </c>
      <c r="D5" s="1">
        <v>3</v>
      </c>
      <c r="E5" s="1">
        <v>4</v>
      </c>
      <c r="F5" s="1">
        <v>5</v>
      </c>
      <c r="G5" s="1">
        <v>6</v>
      </c>
      <c r="H5" s="1">
        <v>7</v>
      </c>
      <c r="I5" s="1">
        <v>8</v>
      </c>
      <c r="J5" s="1">
        <v>9</v>
      </c>
      <c r="K5" s="1">
        <v>10</v>
      </c>
      <c r="L5" s="1">
        <v>11</v>
      </c>
      <c r="M5" s="1">
        <v>12</v>
      </c>
    </row>
    <row r="6" spans="1:21">
      <c r="A6" t="s">
        <v>160</v>
      </c>
      <c r="B6">
        <v>55</v>
      </c>
      <c r="C6">
        <v>55</v>
      </c>
      <c r="D6">
        <v>55</v>
      </c>
      <c r="E6">
        <v>53</v>
      </c>
      <c r="F6">
        <v>53</v>
      </c>
      <c r="G6">
        <v>53</v>
      </c>
      <c r="H6">
        <v>55</v>
      </c>
      <c r="I6">
        <v>55</v>
      </c>
      <c r="J6">
        <v>55</v>
      </c>
      <c r="K6">
        <v>54</v>
      </c>
      <c r="L6">
        <v>54</v>
      </c>
      <c r="M6">
        <v>54</v>
      </c>
    </row>
    <row r="7" spans="1:21">
      <c r="A7" t="s">
        <v>160</v>
      </c>
      <c r="B7" t="s">
        <v>489</v>
      </c>
      <c r="C7" t="s">
        <v>459</v>
      </c>
      <c r="D7" t="s">
        <v>460</v>
      </c>
      <c r="E7" t="s">
        <v>461</v>
      </c>
      <c r="F7" t="s">
        <v>462</v>
      </c>
      <c r="G7" t="s">
        <v>463</v>
      </c>
      <c r="H7" t="s">
        <v>464</v>
      </c>
      <c r="I7" t="s">
        <v>465</v>
      </c>
      <c r="J7" t="s">
        <v>466</v>
      </c>
      <c r="K7" t="s">
        <v>467</v>
      </c>
      <c r="L7" t="s">
        <v>468</v>
      </c>
      <c r="M7" t="s">
        <v>469</v>
      </c>
    </row>
    <row r="8" spans="1:21">
      <c r="A8" t="s">
        <v>162</v>
      </c>
      <c r="B8">
        <v>53</v>
      </c>
      <c r="C8">
        <v>53</v>
      </c>
      <c r="D8">
        <v>53</v>
      </c>
      <c r="E8">
        <v>54</v>
      </c>
      <c r="F8">
        <v>54</v>
      </c>
      <c r="G8">
        <v>54</v>
      </c>
      <c r="H8">
        <v>52</v>
      </c>
      <c r="I8">
        <v>52</v>
      </c>
      <c r="J8">
        <v>52</v>
      </c>
      <c r="K8">
        <v>55</v>
      </c>
      <c r="L8">
        <v>55</v>
      </c>
      <c r="M8">
        <v>55</v>
      </c>
      <c r="N8" s="1"/>
    </row>
    <row r="9" spans="1:21" ht="14.5" customHeight="1">
      <c r="A9" t="s">
        <v>162</v>
      </c>
      <c r="B9" s="572" t="s">
        <v>480</v>
      </c>
      <c r="C9" s="572" t="s">
        <v>481</v>
      </c>
      <c r="D9" s="572" t="s">
        <v>490</v>
      </c>
      <c r="E9" s="572" t="s">
        <v>488</v>
      </c>
      <c r="F9" s="572" t="s">
        <v>482</v>
      </c>
      <c r="G9" s="572" t="s">
        <v>483</v>
      </c>
      <c r="H9" s="572" t="s">
        <v>484</v>
      </c>
      <c r="I9" s="572" t="s">
        <v>491</v>
      </c>
      <c r="J9" s="572" t="s">
        <v>492</v>
      </c>
      <c r="K9" s="572" t="s">
        <v>485</v>
      </c>
      <c r="L9" s="572" t="s">
        <v>486</v>
      </c>
      <c r="M9" s="572" t="s">
        <v>487</v>
      </c>
    </row>
    <row r="10" spans="1:21">
      <c r="A10" t="s">
        <v>161</v>
      </c>
      <c r="B10">
        <v>23</v>
      </c>
      <c r="C10">
        <v>23</v>
      </c>
      <c r="D10">
        <v>23</v>
      </c>
      <c r="E10">
        <v>15</v>
      </c>
      <c r="F10">
        <v>15</v>
      </c>
      <c r="G10">
        <v>15</v>
      </c>
      <c r="H10">
        <v>15</v>
      </c>
      <c r="I10">
        <v>15</v>
      </c>
      <c r="J10">
        <v>15</v>
      </c>
      <c r="K10">
        <v>15</v>
      </c>
      <c r="L10">
        <v>15</v>
      </c>
      <c r="M10">
        <v>15</v>
      </c>
    </row>
    <row r="11" spans="1:21" ht="160">
      <c r="A11" t="s">
        <v>161</v>
      </c>
      <c r="B11" s="572" t="s">
        <v>493</v>
      </c>
      <c r="C11" s="572" t="s">
        <v>494</v>
      </c>
      <c r="D11" s="572" t="s">
        <v>495</v>
      </c>
      <c r="E11" s="572" t="s">
        <v>496</v>
      </c>
      <c r="F11" s="572" t="s">
        <v>497</v>
      </c>
      <c r="G11" s="572" t="s">
        <v>498</v>
      </c>
      <c r="H11" s="572" t="s">
        <v>499</v>
      </c>
      <c r="I11" s="572" t="s">
        <v>500</v>
      </c>
      <c r="J11" s="572" t="s">
        <v>501</v>
      </c>
      <c r="K11" s="572" t="s">
        <v>502</v>
      </c>
      <c r="L11" s="572" t="s">
        <v>503</v>
      </c>
      <c r="M11" s="572" t="s">
        <v>504</v>
      </c>
    </row>
    <row r="12" spans="1:21">
      <c r="A12" t="s">
        <v>241</v>
      </c>
      <c r="B12" s="467">
        <v>0.23</v>
      </c>
      <c r="C12" s="467">
        <v>0.23</v>
      </c>
      <c r="D12" s="467">
        <v>0.23</v>
      </c>
      <c r="E12" s="467">
        <v>0.23</v>
      </c>
      <c r="F12" s="467">
        <v>0.23</v>
      </c>
      <c r="G12" s="467">
        <v>0.23</v>
      </c>
      <c r="H12" s="467">
        <v>0.23</v>
      </c>
      <c r="I12" s="467">
        <v>0.23</v>
      </c>
      <c r="J12" s="467">
        <v>0.23</v>
      </c>
      <c r="K12" s="467">
        <v>0.23</v>
      </c>
      <c r="L12" s="467">
        <v>0.23</v>
      </c>
      <c r="M12" s="467">
        <v>0.23</v>
      </c>
    </row>
    <row r="13" spans="1:21">
      <c r="A13" t="s">
        <v>241</v>
      </c>
      <c r="B13" t="s">
        <v>509</v>
      </c>
      <c r="C13" t="s">
        <v>510</v>
      </c>
      <c r="D13" t="s">
        <v>511</v>
      </c>
      <c r="E13" t="s">
        <v>512</v>
      </c>
      <c r="F13" t="s">
        <v>513</v>
      </c>
      <c r="G13" t="s">
        <v>514</v>
      </c>
      <c r="H13" t="s">
        <v>515</v>
      </c>
      <c r="I13" t="s">
        <v>516</v>
      </c>
      <c r="J13" t="s">
        <v>517</v>
      </c>
      <c r="K13" t="s">
        <v>518</v>
      </c>
      <c r="L13" t="s">
        <v>519</v>
      </c>
      <c r="M13" t="s">
        <v>520</v>
      </c>
    </row>
    <row r="14" spans="1:21">
      <c r="A14" t="s">
        <v>521</v>
      </c>
      <c r="B14" s="577">
        <v>5.5E-2</v>
      </c>
      <c r="C14" s="577">
        <v>5.5E-2</v>
      </c>
      <c r="D14" s="577">
        <v>5.5E-2</v>
      </c>
      <c r="E14" s="577">
        <v>5.5E-2</v>
      </c>
      <c r="F14" s="577">
        <v>5.5E-2</v>
      </c>
      <c r="G14" s="577">
        <v>5.5E-2</v>
      </c>
      <c r="H14" s="577">
        <v>5.5E-2</v>
      </c>
      <c r="I14" s="577">
        <v>5.5E-2</v>
      </c>
      <c r="J14" s="577">
        <v>5.5E-2</v>
      </c>
      <c r="K14" s="577">
        <v>5.5E-2</v>
      </c>
      <c r="L14" s="577">
        <v>5.5E-2</v>
      </c>
      <c r="M14" s="577">
        <v>5.5E-2</v>
      </c>
    </row>
    <row r="15" spans="1:21">
      <c r="A15" t="s">
        <v>522</v>
      </c>
      <c r="B15" t="s">
        <v>523</v>
      </c>
      <c r="C15" t="s">
        <v>524</v>
      </c>
      <c r="D15" t="s">
        <v>525</v>
      </c>
      <c r="E15" t="s">
        <v>526</v>
      </c>
      <c r="F15" t="s">
        <v>527</v>
      </c>
      <c r="G15" t="s">
        <v>528</v>
      </c>
      <c r="H15" t="s">
        <v>529</v>
      </c>
      <c r="I15" t="s">
        <v>530</v>
      </c>
      <c r="J15" t="s">
        <v>531</v>
      </c>
      <c r="K15" t="s">
        <v>532</v>
      </c>
      <c r="L15" t="s">
        <v>533</v>
      </c>
      <c r="M15" t="s">
        <v>534</v>
      </c>
    </row>
    <row r="16" spans="1:21">
      <c r="B16" s="572"/>
      <c r="C16" s="571"/>
      <c r="D16" s="571"/>
      <c r="E16" s="572"/>
      <c r="N16" s="467"/>
      <c r="R16" s="40"/>
      <c r="S16" s="40"/>
      <c r="T16" s="40"/>
      <c r="U16" s="40"/>
    </row>
    <row r="17" spans="1:21">
      <c r="B17" s="572"/>
      <c r="C17" s="571"/>
      <c r="D17" s="571"/>
      <c r="E17" s="572"/>
      <c r="N17" s="467"/>
      <c r="R17" s="572"/>
      <c r="S17" s="571"/>
      <c r="T17" s="571"/>
      <c r="U17" s="572"/>
    </row>
    <row r="18" spans="1:21">
      <c r="B18" s="572"/>
      <c r="C18" s="571"/>
      <c r="D18" s="571"/>
      <c r="E18" s="572"/>
      <c r="N18" s="467"/>
      <c r="R18" s="572"/>
      <c r="S18" s="571"/>
      <c r="T18" s="571"/>
      <c r="U18" s="572"/>
    </row>
    <row r="19" spans="1:21">
      <c r="B19" s="572"/>
      <c r="C19" s="571"/>
      <c r="D19" s="571"/>
      <c r="E19" s="572"/>
      <c r="N19" s="467"/>
      <c r="R19" s="572"/>
      <c r="S19" s="571"/>
      <c r="T19" s="571"/>
      <c r="U19" s="572"/>
    </row>
    <row r="20" spans="1:21">
      <c r="E20" s="572"/>
      <c r="N20" s="467"/>
      <c r="R20" s="572"/>
      <c r="S20" s="571"/>
      <c r="T20" s="571"/>
      <c r="U20" s="572"/>
    </row>
    <row r="21" spans="1:21" ht="16">
      <c r="A21" t="s">
        <v>962</v>
      </c>
      <c r="B21" s="572" t="s">
        <v>963</v>
      </c>
      <c r="C21" s="571"/>
      <c r="D21" s="571"/>
      <c r="E21" s="572"/>
      <c r="N21" s="467"/>
      <c r="R21" s="572"/>
      <c r="S21" s="571"/>
      <c r="T21" s="571"/>
      <c r="U21" s="572"/>
    </row>
    <row r="22" spans="1:21" ht="409.6">
      <c r="B22" s="572" t="s">
        <v>964</v>
      </c>
      <c r="C22" s="571"/>
      <c r="D22" s="571"/>
      <c r="E22" s="572"/>
      <c r="N22" s="467"/>
      <c r="R22" s="572"/>
      <c r="S22" s="571"/>
      <c r="T22" s="571"/>
      <c r="U22" s="572"/>
    </row>
    <row r="23" spans="1:21">
      <c r="B23" s="572"/>
      <c r="C23" s="571"/>
      <c r="D23" s="571"/>
      <c r="E23" s="572"/>
      <c r="N23" s="467"/>
      <c r="R23" s="572"/>
      <c r="S23" s="571"/>
      <c r="T23" s="571"/>
      <c r="U23" s="572"/>
    </row>
    <row r="24" spans="1:21">
      <c r="B24" s="572"/>
      <c r="C24" s="571"/>
      <c r="D24" s="571"/>
      <c r="E24" s="572"/>
      <c r="N24" s="467"/>
      <c r="R24" s="572"/>
      <c r="S24" s="571"/>
      <c r="T24" s="571"/>
      <c r="U24" s="572"/>
    </row>
    <row r="25" spans="1:21">
      <c r="B25" s="572"/>
      <c r="C25" s="571"/>
      <c r="D25" s="571"/>
      <c r="E25" s="572"/>
      <c r="N25" s="467"/>
      <c r="R25" s="572"/>
      <c r="S25" s="571"/>
      <c r="T25" s="571"/>
      <c r="U25" s="572"/>
    </row>
    <row r="26" spans="1:21">
      <c r="B26" s="572"/>
      <c r="C26" s="571"/>
      <c r="D26" s="571"/>
      <c r="E26" s="572"/>
      <c r="N26" s="467"/>
      <c r="R26" s="572"/>
      <c r="S26" s="571"/>
      <c r="T26" s="571"/>
      <c r="U26" s="572"/>
    </row>
    <row r="27" spans="1:21">
      <c r="B27" s="572"/>
      <c r="C27" s="571"/>
      <c r="D27" s="571"/>
      <c r="E27" s="572"/>
      <c r="N27" s="467"/>
      <c r="R27" s="572"/>
      <c r="S27" s="571"/>
      <c r="T27" s="571"/>
      <c r="U27" s="572"/>
    </row>
    <row r="28" spans="1:21">
      <c r="B28" s="572"/>
      <c r="C28" s="571"/>
      <c r="D28" s="571"/>
      <c r="E28" s="572"/>
      <c r="R28" s="572"/>
      <c r="S28" s="571"/>
      <c r="T28" s="571"/>
      <c r="U28" s="572"/>
    </row>
    <row r="29" spans="1:21">
      <c r="B29" s="572"/>
      <c r="C29" s="571"/>
      <c r="D29" s="571"/>
      <c r="E29" s="572"/>
    </row>
    <row r="30" spans="1:21">
      <c r="B30" s="572"/>
      <c r="C30" s="571"/>
      <c r="D30" s="571"/>
      <c r="E30" s="572"/>
    </row>
    <row r="31" spans="1:21">
      <c r="B31" s="572"/>
      <c r="C31" s="571"/>
      <c r="D31" s="571"/>
      <c r="E31" s="57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90109-4210-4F09-BFC1-B5B0DA9B0BBC}">
  <sheetPr codeName="Sheet10">
    <tabColor rgb="FFFFC000"/>
  </sheetPr>
  <dimension ref="A3:H15"/>
  <sheetViews>
    <sheetView workbookViewId="0">
      <selection activeCell="C5" sqref="C5"/>
    </sheetView>
  </sheetViews>
  <sheetFormatPr baseColWidth="10" defaultColWidth="25.83203125" defaultRowHeight="15"/>
  <cols>
    <col min="1" max="2" width="25.83203125" style="2"/>
  </cols>
  <sheetData>
    <row r="3" spans="1:8" ht="16">
      <c r="A3" s="2" t="s">
        <v>615</v>
      </c>
      <c r="B3" s="40" t="s">
        <v>174</v>
      </c>
      <c r="C3" s="40" t="s">
        <v>561</v>
      </c>
      <c r="D3" s="40" t="s">
        <v>562</v>
      </c>
      <c r="E3" s="40" t="s">
        <v>563</v>
      </c>
      <c r="F3" s="40" t="s">
        <v>564</v>
      </c>
      <c r="G3" s="40" t="s">
        <v>621</v>
      </c>
      <c r="H3" s="40" t="s">
        <v>633</v>
      </c>
    </row>
    <row r="4" spans="1:8">
      <c r="B4" s="40"/>
      <c r="C4" s="40"/>
      <c r="D4" s="40"/>
      <c r="E4" s="40"/>
      <c r="F4" s="40"/>
      <c r="G4" s="40"/>
    </row>
    <row r="5" spans="1:8" ht="409.6">
      <c r="A5" s="2">
        <v>2</v>
      </c>
      <c r="B5" s="40" t="s">
        <v>565</v>
      </c>
      <c r="C5" s="571" t="s">
        <v>566</v>
      </c>
      <c r="D5" s="571" t="s">
        <v>567</v>
      </c>
      <c r="E5" s="571" t="s">
        <v>568</v>
      </c>
      <c r="F5" s="571" t="s">
        <v>569</v>
      </c>
      <c r="G5" s="571" t="s">
        <v>622</v>
      </c>
      <c r="H5" s="578" t="str">
        <f>CONCATENATE(C5," ",G5)</f>
        <v>The overall revenue decline of 1,019.24 K$ in February was heavily driven by Client 1’s sharp drop, which contributed 1.8M$ to the negative variance. Although Client 10 and Client 5 provided positive gains, other clients like Client 3, Client 7, and Client 8 also underperformed, compounding the losses. The heavy reliance on Client 1 continues to pose a significant risk, and the company must diversify its client portfolio to stabilize revenue. By the end of February, the company’s year-to-date revenue deficit stands at 1.02M$, primarily driven by losses from Client 1. Although other clients like Client 4 and Client 10 have performed well, the company remains overly reliant on a few large accounts, which increases risk. Strengthening mid-tier client relationships should be a priority moving forward.</v>
      </c>
    </row>
    <row r="6" spans="1:8" ht="350">
      <c r="A6" s="2">
        <v>3</v>
      </c>
      <c r="B6" s="40" t="s">
        <v>570</v>
      </c>
      <c r="C6" s="571" t="s">
        <v>571</v>
      </c>
      <c r="D6" s="571" t="s">
        <v>572</v>
      </c>
      <c r="E6" s="571" t="s">
        <v>573</v>
      </c>
      <c r="F6" s="571" t="s">
        <v>574</v>
      </c>
      <c r="G6" s="571" t="s">
        <v>623</v>
      </c>
      <c r="H6" s="578" t="str">
        <f t="shared" ref="H6:H15" si="0">CONCATENATE(C6," ",G6)</f>
        <v>March saw a further revenue decline of 1,929.81 K$, primarily driven by significant reductions from Client 5 and Client 10. Although Client 2 posted a slight increase, it was insufficient to counterbalance the losses. The dependency on large clients remains a considerable risk, particularly when two clients contribute over 3M$ in lost revenue. The company’s year-to-date revenue deficit increased by 1.93M$ in March, mainly due to the continued decline of Client 1 and significant reductions in Client 5 and Client 10. Despite some small recoveries from Client 2, the heavy reliance on large clients poses ongoing risks. A more balanced client base is crucial to stabilizing performance.</v>
      </c>
    </row>
    <row r="7" spans="1:8" ht="320">
      <c r="A7" s="2">
        <v>4</v>
      </c>
      <c r="B7" s="40" t="s">
        <v>575</v>
      </c>
      <c r="C7" s="571" t="s">
        <v>576</v>
      </c>
      <c r="D7" s="571" t="s">
        <v>577</v>
      </c>
      <c r="E7" s="571" t="s">
        <v>578</v>
      </c>
      <c r="F7" s="571" t="s">
        <v>579</v>
      </c>
      <c r="G7" s="571" t="s">
        <v>624</v>
      </c>
      <c r="H7" s="578" t="str">
        <f t="shared" si="0"/>
        <v>April marked a welcome recovery with a 1,681.74 K$ increase in revenue, largely driven by improved performance from Client 1 and a significant recovery from Client 10. This suggests that previous issues with key clients may have been temporary, though continued engagement is needed to ensure sustained growth. With a 1.68M$ recovery in April, the company’s YTD revenue shows some improvement, thanks to positive performance from Client 1 and Client 10. This indicates the potential for stabilization, though continued efforts are required to mitigate any future volatility from these large clients.</v>
      </c>
    </row>
    <row r="8" spans="1:8" ht="288">
      <c r="A8" s="2">
        <v>5</v>
      </c>
      <c r="B8" s="40" t="s">
        <v>580</v>
      </c>
      <c r="C8" s="571" t="s">
        <v>581</v>
      </c>
      <c r="D8" s="571" t="s">
        <v>582</v>
      </c>
      <c r="E8" s="571" t="s">
        <v>583</v>
      </c>
      <c r="F8" s="571" t="s">
        <v>584</v>
      </c>
      <c r="G8" s="571" t="s">
        <v>625</v>
      </c>
      <c r="H8" s="578" t="str">
        <f t="shared" si="0"/>
        <v>May saw a 4.82% revenue decline, largely driven by losses from Client 5 and Client 9. Despite a positive contribution from Client 1, it wasn’t enough to offset underperformance by other major clients. Sustaining client engagement remains a challenge across the board. The YTD deficit increased by 4.82% in May, with declines from Client 5 and Client 9 exacerbating the company’s overall performance. Despite Client 1’s continued positive contribution, the lack of sustained engagement from other clients is a concern and requires immediate focus.</v>
      </c>
    </row>
    <row r="9" spans="1:8" ht="304">
      <c r="A9" s="2">
        <v>6</v>
      </c>
      <c r="B9" s="40" t="s">
        <v>585</v>
      </c>
      <c r="C9" s="571" t="s">
        <v>586</v>
      </c>
      <c r="D9" s="571" t="s">
        <v>587</v>
      </c>
      <c r="E9" s="571" t="s">
        <v>588</v>
      </c>
      <c r="F9" s="571" t="s">
        <v>589</v>
      </c>
      <c r="G9" s="571" t="s">
        <v>626</v>
      </c>
      <c r="H9" s="578" t="str">
        <f t="shared" si="0"/>
        <v>June saw a 5.90% revenue increase, driven by strong recovery from Client 3 and continued growth from Client 9. Despite a decline from Client 1, overall performance shows a positive trend as the company expands its client base and regains lost ground. The company showed a 5.90% improvement in June, with YTD performance beginning to stabilize due to the recovery of Client 3 and growth in Client 9. However, the volatility in Client 1 remains a challenge, and the company must continue focusing on diversifying its client portfolio to reduce future risks.</v>
      </c>
    </row>
    <row r="10" spans="1:8" ht="272">
      <c r="A10" s="2">
        <v>7</v>
      </c>
      <c r="B10" s="40" t="s">
        <v>590</v>
      </c>
      <c r="C10" s="571" t="s">
        <v>591</v>
      </c>
      <c r="D10" s="571" t="s">
        <v>592</v>
      </c>
      <c r="E10" s="571" t="s">
        <v>593</v>
      </c>
      <c r="F10" s="571" t="s">
        <v>594</v>
      </c>
      <c r="G10" s="571" t="s">
        <v>627</v>
      </c>
      <c r="H10" s="578" t="str">
        <f t="shared" si="0"/>
        <v>July saw a 4.29% revenue increase, driven by improvements in Client 5 and Client 3. However, Client 1’s continued decline is concerning, indicating unstable demand. The company must maintain growth in mid-tier clients to balance the volatility in larger accounts. July’s 4.29% YTD growth is encouraging, driven by mid-tier client gains like Client 5 and Client 3. However, the volatility in Client 1’s demand continues to highlight the company’s reliance on a few key accounts, posing risks to long-term stability.</v>
      </c>
    </row>
    <row r="11" spans="1:8" ht="320">
      <c r="A11" s="2">
        <v>8</v>
      </c>
      <c r="B11" s="40" t="s">
        <v>595</v>
      </c>
      <c r="C11" s="571" t="s">
        <v>596</v>
      </c>
      <c r="D11" s="571" t="s">
        <v>597</v>
      </c>
      <c r="E11" s="571" t="s">
        <v>598</v>
      </c>
      <c r="F11" s="571" t="s">
        <v>599</v>
      </c>
      <c r="G11" s="571" t="s">
        <v>628</v>
      </c>
      <c r="H11" s="578" t="str">
        <f t="shared" si="0"/>
        <v>August saw a sharp 15.63% decline in revenue, primarily due to a 1.5M$ reduction in orders from Client 1. Additionally, declines in Client 9 compounded the negative performance. Exposure to large clients is becoming more problematic, requiring immediate recovery action or new clients. With a 15.63% decline in August, the YTD deficit has widened, largely due to a sharp drop in Client 1 and Client 9’s underperformance. Immediate actions are required to manage the volatility in larger accounts while nurturing growth in smaller and mid-tier clients to mitigate overall risks.</v>
      </c>
    </row>
    <row r="12" spans="1:8" ht="288">
      <c r="A12" s="2">
        <v>9</v>
      </c>
      <c r="B12" s="40" t="s">
        <v>600</v>
      </c>
      <c r="C12" s="571" t="s">
        <v>601</v>
      </c>
      <c r="D12" s="571" t="s">
        <v>602</v>
      </c>
      <c r="E12" s="571" t="s">
        <v>603</v>
      </c>
      <c r="F12" s="571" t="s">
        <v>604</v>
      </c>
      <c r="G12" s="571" t="s">
        <v>629</v>
      </c>
      <c r="H12" s="578" t="str">
        <f t="shared" si="0"/>
        <v>September’s 3.80% increase in revenue reflects partial recovery from August’s sharp decline, with Client 1 showing improvement. However, the recovery remains fragile, and declines in smaller clients like Client 3 and Client 10 offset some of the gains. The 3.80% increase in September YTD performance reflects a partial recovery from August’s sharp decline, but overall growth remains fragile. The company’s heavy dependence on Client 1 continues to pose risks, with smaller clients like Client 3 not providing enough momentum to balance the portfolio.</v>
      </c>
    </row>
    <row r="13" spans="1:8" ht="272">
      <c r="A13" s="2">
        <v>10</v>
      </c>
      <c r="B13" s="40" t="s">
        <v>605</v>
      </c>
      <c r="C13" s="571" t="s">
        <v>606</v>
      </c>
      <c r="D13" s="571" t="s">
        <v>607</v>
      </c>
      <c r="E13" s="571" t="s">
        <v>608</v>
      </c>
      <c r="F13" s="571" t="s">
        <v>609</v>
      </c>
      <c r="G13" s="571" t="s">
        <v>630</v>
      </c>
      <c r="H13" s="578" t="str">
        <f t="shared" si="0"/>
        <v>October’s 1.17% revenue decline was driven by significant drops in Client 4’s revenue (over 450K$ loss), partially offset by Client 10’s significant recovery and further growth from Client 1. Reliance on large clients remains high, indicating continued volatility risks. The 1.17% decline in October’s YTD performance shows that the company is still struggling with client volatility, especially from Client 4. The partial recovery from Client 10 is encouraging, but overall reliance on large accounts continues to expose the company to risk.</v>
      </c>
    </row>
    <row r="14" spans="1:8" ht="304">
      <c r="A14" s="2">
        <v>11</v>
      </c>
      <c r="B14" s="40" t="s">
        <v>610</v>
      </c>
      <c r="C14" s="571" t="s">
        <v>611</v>
      </c>
      <c r="D14" s="571" t="s">
        <v>612</v>
      </c>
      <c r="E14" s="571" t="s">
        <v>613</v>
      </c>
      <c r="F14" s="571" t="s">
        <v>614</v>
      </c>
      <c r="G14" s="571" t="s">
        <v>631</v>
      </c>
      <c r="H14" s="578" t="str">
        <f t="shared" si="0"/>
        <v>November saw a slight 0.64% revenue decline, with Client 1 continuing to improve performance, but losses from Client 9 and Client 7 offset growth. While Client 1's recovery is encouraging, overall stagnation suggests more attention is needed on underperforming key clients. The year-to-date revenue deficit of 2.47M$ at the end of November indicates stagnation, despite Client 1’s recovery. The company must address underperformance from other key clients like Client 9 and Client 7 to ensure stronger revenue growth heading into the next fiscal period.</v>
      </c>
    </row>
    <row r="15" spans="1:8" ht="304">
      <c r="A15" s="2">
        <v>12</v>
      </c>
      <c r="B15" s="40" t="s">
        <v>616</v>
      </c>
      <c r="C15" s="571" t="s">
        <v>617</v>
      </c>
      <c r="D15" s="571" t="s">
        <v>618</v>
      </c>
      <c r="E15" s="571" t="s">
        <v>619</v>
      </c>
      <c r="F15" s="571" t="s">
        <v>620</v>
      </c>
      <c r="G15" s="571" t="s">
        <v>632</v>
      </c>
      <c r="H15" s="578" t="str">
        <f t="shared" si="0"/>
        <v>December closed with a 4.27% revenue decline, primarily driven by a significant drop from Client 1, leading to a 1.4M$ loss. However, growth from Client 9 and Client 10 offset some of the decline. The company remains highly dependent on large clients, with volatility a persistent risk. The company closed the year with a 2.95M$ YTD revenue deficit, primarily driven by the continued volatility in Client 1 and losses in Client 9 and Client 7. The recovery from Client 10 and Client 9 shows promise, but the overall performance indicates a need for a more diversified client base.</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36909-EBBE-454E-8A58-4440FDAA4103}">
  <sheetPr codeName="Sheet44">
    <tabColor rgb="FFFFFF00"/>
  </sheetPr>
  <dimension ref="A2:M25"/>
  <sheetViews>
    <sheetView workbookViewId="0">
      <selection activeCell="A22" sqref="A22"/>
    </sheetView>
  </sheetViews>
  <sheetFormatPr baseColWidth="10" defaultColWidth="8.83203125" defaultRowHeight="15"/>
  <cols>
    <col min="1" max="1" width="15" customWidth="1"/>
    <col min="2" max="13" width="14.5" customWidth="1"/>
  </cols>
  <sheetData>
    <row r="2" spans="1:13">
      <c r="B2">
        <v>1</v>
      </c>
      <c r="C2">
        <v>2</v>
      </c>
      <c r="D2">
        <v>3</v>
      </c>
      <c r="E2">
        <v>4</v>
      </c>
      <c r="F2">
        <v>5</v>
      </c>
      <c r="G2">
        <v>6</v>
      </c>
      <c r="H2">
        <v>7</v>
      </c>
      <c r="I2">
        <v>8</v>
      </c>
      <c r="J2">
        <v>9</v>
      </c>
      <c r="K2">
        <v>10</v>
      </c>
      <c r="L2">
        <v>11</v>
      </c>
      <c r="M2">
        <v>12</v>
      </c>
    </row>
    <row r="3" spans="1:13">
      <c r="B3" t="s">
        <v>17</v>
      </c>
      <c r="C3" t="s">
        <v>18</v>
      </c>
      <c r="D3" t="s">
        <v>19</v>
      </c>
      <c r="E3" t="s">
        <v>20</v>
      </c>
      <c r="F3" t="s">
        <v>21</v>
      </c>
      <c r="G3" t="s">
        <v>22</v>
      </c>
      <c r="H3" t="s">
        <v>23</v>
      </c>
      <c r="I3" t="s">
        <v>24</v>
      </c>
      <c r="J3" t="s">
        <v>25</v>
      </c>
      <c r="K3" t="s">
        <v>26</v>
      </c>
      <c r="L3" t="s">
        <v>27</v>
      </c>
      <c r="M3" t="s">
        <v>28</v>
      </c>
    </row>
    <row r="5" spans="1:13">
      <c r="A5" t="s">
        <v>702</v>
      </c>
      <c r="B5" t="s">
        <v>640</v>
      </c>
      <c r="C5" t="str">
        <f>'Revenue analysis prompts'!C3</f>
        <v>Revenue fell by 7.42% from January to February, signaling a significant decline that requires immediate attention. Although there was a positive price impact, the overall loss was driven by reduced sales volumes. A price increase provided a buffer, adding 710.68 K$ to revenue. This reflects well on the pricing strategy, but it wasn't enough to counter the volume losses. The main driver of the decline was a reduction in sales volume, accounting for a negative impact of 1,729.92 K$. This points to either decreased market demand, delayed orders, or challenges in sales execution. Addressing this issue will be critical moving forward.</v>
      </c>
      <c r="D5" t="str">
        <f>'Revenue analysis prompts'!D4</f>
        <v>By the end of March, the year-to-date revenue loss stands at nearly 3M$, marking a serious challenge. The primary driver is the continuous fall in sales volume, while price actions have failed to stabilize revenue.</v>
      </c>
      <c r="E5" t="str">
        <f>'Revenue analysis prompts'!E4</f>
        <v>Despite the April recovery, the year-to-date revenue remains 1.27M$ below the January baseline. We must capitalize on the volume growth while correcting our pricing strategy to fully recover.</v>
      </c>
      <c r="F5" t="str">
        <f>'Revenue analysis prompts'!F4</f>
        <v>We are still down nearly 1.9M$ year-to-date. May’s drop highlights that we have yet to find the right balance between volume growth and price recovery.</v>
      </c>
      <c r="G5" t="str">
        <f>'Revenue analysis prompts'!G4</f>
        <v>With a 1.17M$ YTD deficit, June's positive movement shows we're on the right path with pricing. However, we must focus on regaining volumes to fully recover.</v>
      </c>
      <c r="H5" t="str">
        <f>'Revenue analysis prompts'!H4</f>
        <v>Our year-to-date deficit has narrowed to just 627.81 K$. July’s strong volume recovery is promising, but we must address the pricing strategy to prevent further margin erosion.</v>
      </c>
      <c r="I5" t="str">
        <f>'Revenue analysis prompts'!I4</f>
        <v>With a YTD deficit of nearly 2.68M$, August marks a critical turning point. The significant volume decline must be investigated, and pricing actions should be reassessed.</v>
      </c>
      <c r="J5" t="str">
        <f>'Revenue analysis prompts'!J4</f>
        <v>With a 2.26M$ YTD deficit, September's partial recovery is encouraging, especially in terms of pricing. However, the ongoing volume fluctuation suggests that demand remains unstable.</v>
      </c>
      <c r="K5" t="str">
        <f>'Revenue analysis prompts'!K4</f>
        <v>By the end of October, the year-to-date revenue loss is 2.39M$. Although October’s decline was small, it highlights the need for a better balance between price recovery and maintaining volume.</v>
      </c>
      <c r="L5" t="str">
        <f>'Revenue analysis prompts'!L4</f>
        <v>By November, the YTD deficit has reached 2.47M$. The positive volume trend is a good sign, but price recovery is essential to improving the company’s financial health.</v>
      </c>
      <c r="M5" t="str">
        <f>'Revenue analysis prompts'!M4</f>
        <v>The year closed with a YTD revenue deficit of nearly 2.95M$, marking a challenging year. The primary drivers were pricing pressures and inconsistent volume growth. As we move into the next fiscal year, addressing both price and volume dynamics will be critical to returning to growth.</v>
      </c>
    </row>
    <row r="6" spans="1:13">
      <c r="A6" t="s">
        <v>703</v>
      </c>
      <c r="B6" t="s">
        <v>640</v>
      </c>
      <c r="C6" t="str">
        <f>'Margin analysis prompts'!B51</f>
        <v>In February, margin performance reflects a -24% impact from the decline in revenue, equating to -236 K$. This revenue decline was offset by strong cost efficiencies, which contributed +76%, or +756 K$, to the margin. While the revenue drop has put pressure on margins, operational cost management has been instrumental in maintaining profitability. Sustaining this cost control focus will be key moving forward, alongside efforts to regain top-line growth. Looking at the YTD margin performance, the overall trends are positive. The strong contributions from Client 5 and Client 10 have lifted year-to-date margins, but volatility remains in the contributions from Client 3 and Client 6, posing potential risks to sustained profitability. Stabilizing these client relationships will be critical for maintaining strong YTD performance throughout the remainder of the year.</v>
      </c>
      <c r="D6" t="str">
        <f>'Margin analysis prompts'!C51</f>
        <v>In March, margin performance reflects a -57% impact from the decline in revenue, equating to -561 K$. The revenue drop was partially offset by cost efficiencies, which contributed +14%, or +136 K$, to the margin. Although revenue pressures were significant, the cost management impact was less effective this month compared to February. Continuing to improve cost efficiency and restore revenue growth will be key moving forward. Looking at the YTD margin performance, the overall trends show recovery in Client 3 and continued strong performance from Client 5. However, the volatility in Client 10’s contribution poses a risk to sustained profitability. Ensuring consistent contributions from top clients like Client 7 and stabilizing Client 10 will be important for maintaining YTD margin growth.</v>
      </c>
      <c r="E6" t="str">
        <f>'Margin analysis prompts'!D51</f>
        <v>In April, margin performance reflects a +37% improvement from revenue recovery, equating to +372 K$. This recovery was partially offset by weaker cost efficiencies, which contributed only +14%, or +136 K$, to the margin. While the revenue growth is encouraging, the limited impact of cost management highlights the need for renewed operational focus to sustain margin growth in the future. Looking at the YTD margin performance, the trends show positive contributions from Client 4 and Client 7 boosting overall results. However, the volatility in Client 1’s and Client 10’s contributions poses risks to sustaining profitability. Stabilizing these client relationships and encouraging consistent contributions will be critical to protecting year-to-date margins.</v>
      </c>
      <c r="F6" t="str">
        <f>'Margin analysis prompts'!E51</f>
        <v>In May, margin performance reflects a -14% impact from the decline in revenue, equating to -140 K$. This was countered by significant cost efficiencies, which contributed +36%, or +361 K$, to the margin. Although the revenue decline created pressure, the strong focus on cost control helped sustain the margins. Maintaining this balance between revenue recovery and cost efficiency will be key moving forward. The YTD margin performance shows continued strength from Client 4 and Client 5, with positive overall contributions. However, the volatility in Client 3 and Client 7’s performance continues to pose a risk. Stabilizing these clients will be critical to maintaining the overall year-to-date margin growth.</v>
      </c>
      <c r="G6" t="str">
        <f>'Margin analysis prompts'!F51</f>
        <v>In June, margin performance reflects a +14% improvement, contributing +141 K$ to the total margin. This positive revenue impact was significantly boosted by cost efficiencies, which contributed a substantial +218%, or +2,166 K$, to the margin. The strong operational efficiency this month helped drive profitability, signaling that cost management efforts are highly effective in offsetting revenue pressures. Looking at the YTD margin performance, the strong contributions from Client 8 and Client 6 have lifted overall year-to-date margins. However, the decline in Client 5’s contribution introduces some risk to margin stability. Stabilizing client contributions across the board will be critical for maintaining healthy YTD margins as we move into the second half of the year.</v>
      </c>
      <c r="H6" t="str">
        <f>'Margin analysis prompts'!G51</f>
        <v>In July, margin performance reflects a -55% impact from a significant decline in revenue, equating to -543 K$. This decline was partially offset by cost efficiencies, which contributed +145%, or +1,434 K$, to the margin. While the revenue drop created substantial pressure, the strong focus on cost control helped reduce the overall margin decline. Continuing this cost focus will be essential as revenue recovery is pursued. Looking at the YTD margin performance, contributions from Client 7 and Client 9 have been consistent, helping to mitigate the impact of the revenue decline. However, the volatility in Client 5 and Client 8 poses risks to overall profitability. Stabilizing these clients will be crucial to maintaining positive YTD margin growth as the year progresses.</v>
      </c>
      <c r="I6" t="str">
        <f>'Margin analysis prompts'!H51</f>
        <v>In August, margin performance reflects a -55% impact from a continued decline in revenue, equating to -543 K$. This decline was somewhat offset by cost efficiencies, which contributed +81%, or +1,344 K$, to the margin. Although revenue continues to be a challenge, the strong focus on cost management has played a crucial role in maintaining profitability. However, sustaining this cost control will be key as efforts are made to stabilize revenue. Looking at the YTD margin performance, the strong contributions from Client 10 and Client 7 have helped maintain year-to-date margins, but the declining performance from Client 1 and Client 5 poses a potential risk. Stabilizing underperforming clients will be critical to sustaining YTD profitability as the year progresses.</v>
      </c>
      <c r="J6" t="str">
        <f>'Margin analysis prompts'!I51</f>
        <v>In September, margin performance reflects a +8% improvement from revenue recovery, equating to +81 K$. This revenue growth was bolstered by cost efficiencies, which contributed +109%, or +1,082 K$, to the margin. The positive revenue and strong operational cost savings have helped stabilize margins. However, continued focus on both revenue recovery and operational efficiency will be necessary to sustain this momentum. Looking at the YTD margin performance, the contributions from Client 6 and Client 10 have helped lift overall year-to-date margins. However, Client 5’s performance remains inconsistent, and stabilizing its contribution will be essential to protect YTD profitability.</v>
      </c>
      <c r="K6" t="str">
        <f>'Margin analysis prompts'!J51</f>
        <v>In October, margin performance reflects a -4% impact from a slight decline in revenue, equating to -38 K$. This was partially mitigated by cost efficiencies, which contributed +26%, or +255 K$, to the margin. While the revenue drop is minimal, the cost savings played an important role in limiting the margin decline. Moving forward, attention to both revenue recovery and maintaining cost control will be key to sustaining profitability. Looking at the YTD margin performance, contributions from Client 9 and Client 4 have provided consistent support to year-to-date margins. However, the decline in Client 10’s performance poses a risk to overall profitability. Stabilizing underperforming clients, such as Client 1, will be necessary to maintain YTD margin growth.</v>
      </c>
      <c r="L6" t="str">
        <f>'Margin analysis prompts'!K51</f>
        <v>In November, margin performance reflects a -2% impact from a slight decline in revenue, equating to -19 K$. This revenue impact was largely offset by cost efficiencies, which contributed +22%, or +220 K$, to the margin. While the revenue dip was minimal, the cost management efforts helped limit the overall impact on margins. Maintaining a balance between revenue growth and cost control will be crucial as the year-end approaches. Looking at the YTD margin performance, the strong recovery from Client 1 and consistent performance from Client 7 have helped support year-to-date margins. However, the volatility seen in Client 10 and Client 9 could pose risks to year-end profitability if not addressed.</v>
      </c>
      <c r="M6" t="str">
        <f>'Margin analysis prompts'!L51</f>
        <v>In December, margin performance reflects a -12% impact from a decline in revenue, equating to -118 K$. This revenue decline was partially offset by cost efficiencies, which contributed +40%, or +393 K$, to the margin. While the revenue drop created pressure, the strong focus on operational efficiency helped protect margins. Moving forward, both revenue growth and maintaining cost controls will be essential for future profitability. Looking at the YTD margin performance, strong contributions from Client 9 and Client 8 have helped lift year-to-date margins. However, the declines from Client 10 and Client 7 may pose risks as we transition into the new year. Stabilizing these clients will be critical to maintaining margin strength.</v>
      </c>
    </row>
    <row r="7" spans="1:13">
      <c r="A7" t="s">
        <v>704</v>
      </c>
      <c r="B7" s="584">
        <v>991135</v>
      </c>
      <c r="C7" s="584">
        <v>938597</v>
      </c>
      <c r="D7" s="584">
        <v>1007206</v>
      </c>
      <c r="E7" s="584">
        <v>1048028</v>
      </c>
      <c r="F7" s="584">
        <v>900412</v>
      </c>
      <c r="G7" s="584">
        <v>926816</v>
      </c>
      <c r="H7" s="584">
        <v>1130206</v>
      </c>
      <c r="I7" s="584">
        <v>1034305</v>
      </c>
      <c r="J7" s="584">
        <v>926975</v>
      </c>
      <c r="K7" s="584">
        <v>1071231</v>
      </c>
      <c r="L7" s="584">
        <v>1065789</v>
      </c>
      <c r="M7" s="584">
        <v>1033220</v>
      </c>
    </row>
    <row r="8" spans="1:13">
      <c r="A8" t="s">
        <v>705</v>
      </c>
      <c r="B8" s="584">
        <v>778137</v>
      </c>
      <c r="C8" s="584">
        <v>783888</v>
      </c>
      <c r="D8" s="584">
        <v>804347</v>
      </c>
      <c r="E8" s="584">
        <v>797542</v>
      </c>
      <c r="F8" s="584">
        <v>791922</v>
      </c>
      <c r="G8" s="584">
        <v>781895</v>
      </c>
      <c r="H8" s="584">
        <v>784848</v>
      </c>
      <c r="I8" s="584">
        <v>804178</v>
      </c>
      <c r="J8" s="584">
        <v>776615</v>
      </c>
      <c r="K8" s="584">
        <v>789096</v>
      </c>
      <c r="L8" s="584">
        <v>797691</v>
      </c>
      <c r="M8" s="584">
        <v>804188</v>
      </c>
    </row>
    <row r="9" spans="1:13">
      <c r="A9" t="s">
        <v>706</v>
      </c>
      <c r="B9" s="584">
        <v>795212</v>
      </c>
      <c r="C9" s="584">
        <v>790258</v>
      </c>
      <c r="D9" s="584">
        <v>802157</v>
      </c>
      <c r="E9" s="584">
        <v>794483</v>
      </c>
      <c r="F9" s="584">
        <v>784197</v>
      </c>
      <c r="G9" s="584">
        <v>794583</v>
      </c>
      <c r="H9" s="584">
        <v>796511</v>
      </c>
      <c r="I9" s="584">
        <v>803857</v>
      </c>
      <c r="J9" s="584">
        <v>789374</v>
      </c>
      <c r="K9" s="584">
        <v>796762</v>
      </c>
      <c r="L9" s="584">
        <v>793038</v>
      </c>
      <c r="M9" s="584">
        <v>796575</v>
      </c>
    </row>
    <row r="10" spans="1:13">
      <c r="B10" s="584"/>
      <c r="C10" s="584"/>
      <c r="D10" s="584"/>
      <c r="E10" s="584"/>
      <c r="F10" s="584"/>
      <c r="G10" s="584"/>
      <c r="H10" s="584"/>
      <c r="I10" s="584"/>
      <c r="J10" s="584"/>
      <c r="K10" s="584"/>
      <c r="L10" s="584"/>
      <c r="M10" s="584"/>
    </row>
    <row r="11" spans="1:13">
      <c r="A11" t="s">
        <v>182</v>
      </c>
      <c r="B11" s="584">
        <v>618369.96999999695</v>
      </c>
      <c r="C11" s="584">
        <v>1190105.9219999984</v>
      </c>
      <c r="D11" s="584">
        <v>-225598.23199999891</v>
      </c>
      <c r="E11" s="584">
        <v>255752.71399999969</v>
      </c>
      <c r="F11" s="584">
        <v>-81353.686000000685</v>
      </c>
      <c r="G11" s="584">
        <v>2199346.574000001</v>
      </c>
      <c r="H11" s="584">
        <v>759393.00200000219</v>
      </c>
      <c r="I11" s="584">
        <v>-515730.86199999973</v>
      </c>
      <c r="J11" s="584">
        <v>796945.28200000059</v>
      </c>
      <c r="K11" s="584">
        <v>338850.67200000025</v>
      </c>
      <c r="L11" s="584">
        <v>99690.847999997437</v>
      </c>
      <c r="M11" s="584">
        <v>397801.73000000603</v>
      </c>
    </row>
    <row r="13" spans="1:13">
      <c r="A13" t="s">
        <v>707</v>
      </c>
      <c r="C13">
        <v>2</v>
      </c>
      <c r="D13">
        <v>3</v>
      </c>
      <c r="E13">
        <v>4</v>
      </c>
      <c r="F13">
        <v>5</v>
      </c>
      <c r="G13">
        <v>6</v>
      </c>
      <c r="H13">
        <v>7</v>
      </c>
      <c r="I13">
        <v>8</v>
      </c>
      <c r="J13">
        <v>9</v>
      </c>
      <c r="K13">
        <v>10</v>
      </c>
      <c r="L13">
        <v>11</v>
      </c>
      <c r="M13">
        <v>12</v>
      </c>
    </row>
    <row r="14" spans="1:13" ht="409.6">
      <c r="C14" s="571" t="s">
        <v>708</v>
      </c>
      <c r="D14" s="571" t="s">
        <v>709</v>
      </c>
      <c r="E14" s="571" t="s">
        <v>710</v>
      </c>
      <c r="F14" s="571" t="s">
        <v>711</v>
      </c>
      <c r="G14" s="571" t="s">
        <v>712</v>
      </c>
      <c r="H14" s="571" t="s">
        <v>713</v>
      </c>
      <c r="I14" s="571" t="s">
        <v>714</v>
      </c>
      <c r="J14" s="571" t="s">
        <v>715</v>
      </c>
      <c r="K14" s="571" t="s">
        <v>716</v>
      </c>
      <c r="L14" s="571" t="s">
        <v>717</v>
      </c>
      <c r="M14" s="571" t="s">
        <v>718</v>
      </c>
    </row>
    <row r="15" spans="1:13">
      <c r="A15" s="572"/>
      <c r="B15" s="571"/>
    </row>
    <row r="16" spans="1:13">
      <c r="A16" s="572"/>
      <c r="B16" s="571"/>
    </row>
    <row r="17" spans="1:2" ht="16">
      <c r="A17" s="572" t="s">
        <v>719</v>
      </c>
      <c r="B17" s="571"/>
    </row>
    <row r="18" spans="1:2">
      <c r="A18" t="s">
        <v>720</v>
      </c>
      <c r="B18" s="571"/>
    </row>
    <row r="19" spans="1:2">
      <c r="A19" s="595"/>
      <c r="B19" s="571"/>
    </row>
    <row r="20" spans="1:2">
      <c r="A20" s="573" t="s">
        <v>721</v>
      </c>
      <c r="B20" s="571"/>
    </row>
    <row r="21" spans="1:2">
      <c r="A21" s="573" t="s">
        <v>722</v>
      </c>
      <c r="B21" s="571"/>
    </row>
    <row r="22" spans="1:2">
      <c r="A22" s="573" t="s">
        <v>723</v>
      </c>
      <c r="B22" s="571"/>
    </row>
    <row r="23" spans="1:2">
      <c r="A23" s="573" t="s">
        <v>724</v>
      </c>
      <c r="B23" s="571"/>
    </row>
    <row r="24" spans="1:2">
      <c r="A24" s="573" t="s">
        <v>725</v>
      </c>
      <c r="B24" s="571"/>
    </row>
    <row r="25" spans="1:2">
      <c r="A25" s="572"/>
      <c r="B25" s="57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E2A53-0884-4ABE-AC52-AF41C7820441}">
  <sheetPr codeName="Sheet45">
    <tabColor rgb="FFFFFF00"/>
  </sheetPr>
  <dimension ref="A3:M53"/>
  <sheetViews>
    <sheetView topLeftCell="A49" workbookViewId="0">
      <selection activeCell="H11" sqref="H11:H12"/>
    </sheetView>
  </sheetViews>
  <sheetFormatPr baseColWidth="10" defaultColWidth="33.83203125" defaultRowHeight="14"/>
  <cols>
    <col min="1" max="1" width="23.5" style="591" bestFit="1" customWidth="1"/>
    <col min="2" max="16384" width="33.83203125" style="591"/>
  </cols>
  <sheetData>
    <row r="3" spans="1:13">
      <c r="A3" s="588"/>
      <c r="B3" s="585" t="s">
        <v>17</v>
      </c>
      <c r="C3" s="585" t="s">
        <v>18</v>
      </c>
      <c r="D3" s="585" t="s">
        <v>19</v>
      </c>
      <c r="E3" s="585" t="s">
        <v>20</v>
      </c>
      <c r="F3" s="585" t="s">
        <v>21</v>
      </c>
      <c r="G3" s="585" t="s">
        <v>22</v>
      </c>
      <c r="H3" s="585" t="s">
        <v>23</v>
      </c>
      <c r="I3" s="585" t="s">
        <v>24</v>
      </c>
      <c r="J3" s="585" t="s">
        <v>25</v>
      </c>
      <c r="K3" s="585" t="s">
        <v>26</v>
      </c>
      <c r="L3" s="585" t="s">
        <v>27</v>
      </c>
      <c r="M3" s="585" t="s">
        <v>28</v>
      </c>
    </row>
    <row r="4" spans="1:13">
      <c r="A4" s="588" t="s">
        <v>634</v>
      </c>
      <c r="B4" s="586" t="s">
        <v>640</v>
      </c>
      <c r="C4" s="587">
        <f>('LTM P&amp;L'!E24-'LTM P&amp;L'!D24)*'LTM P&amp;L'!D28</f>
        <v>-236007.65536343798</v>
      </c>
      <c r="D4" s="587">
        <f>('LTM P&amp;L'!F24-'LTM P&amp;L'!E24)*'LTM P&amp;L'!E28</f>
        <v>-561489.9853681348</v>
      </c>
      <c r="E4" s="587">
        <f>('LTM P&amp;L'!G24-'LTM P&amp;L'!F24)*'LTM P&amp;L'!F28</f>
        <v>371983.40120859467</v>
      </c>
      <c r="F4" s="587">
        <f>('LTM P&amp;L'!H24-'LTM P&amp;L'!G24)*'LTM P&amp;L'!G28</f>
        <v>-139542.84374275545</v>
      </c>
      <c r="G4" s="587">
        <f>('LTM P&amp;L'!I24-'LTM P&amp;L'!H24)*'LTM P&amp;L'!H28</f>
        <v>141310.96240998118</v>
      </c>
      <c r="H4" s="587">
        <f>('LTM P&amp;L'!J24-'LTM P&amp;L'!I24)*'LTM P&amp;L'!I28</f>
        <v>201925.24743588638</v>
      </c>
      <c r="I4" s="587">
        <f>('LTM P&amp;L'!K24-'LTM P&amp;L'!J24)*'LTM P&amp;L'!J28</f>
        <v>-542731.04910113395</v>
      </c>
      <c r="J4" s="587">
        <f>('LTM P&amp;L'!L24-'LTM P&amp;L'!K24)*'LTM P&amp;L'!K28</f>
        <v>80872.290226586498</v>
      </c>
      <c r="K4" s="587">
        <f>('LTM P&amp;L'!M24-'LTM P&amp;L'!L24)*'LTM P&amp;L'!L28</f>
        <v>-38489.144538668967</v>
      </c>
      <c r="L4" s="587">
        <f>('LTM P&amp;L'!N24-'LTM P&amp;L'!M24)*'LTM P&amp;L'!M28</f>
        <v>-19383.163440782071</v>
      </c>
      <c r="M4" s="587">
        <f>('LTM P&amp;L'!O24-'LTM P&amp;L'!N24)*'LTM P&amp;L'!N28</f>
        <v>-117818.44757743122</v>
      </c>
    </row>
    <row r="5" spans="1:13">
      <c r="A5" s="588" t="s">
        <v>635</v>
      </c>
      <c r="B5" s="586" t="s">
        <v>640</v>
      </c>
      <c r="C5" s="587">
        <f>('LTM P&amp;L'!E28-'LTM P&amp;L'!D28)*'LTM P&amp;L'!E24</f>
        <v>756002.60736343905</v>
      </c>
      <c r="D5" s="587">
        <f>('LTM P&amp;L'!F28-'LTM P&amp;L'!E28)*'LTM P&amp;L'!F24</f>
        <v>-753247.16863186203</v>
      </c>
      <c r="E5" s="587">
        <f>('LTM P&amp;L'!G28-'LTM P&amp;L'!F28)*'LTM P&amp;L'!G24</f>
        <v>135710.5447914039</v>
      </c>
      <c r="F5" s="587">
        <f>('LTM P&amp;L'!H28-'LTM P&amp;L'!G28)*'LTM P&amp;L'!H24</f>
        <v>-361085.55625724507</v>
      </c>
      <c r="G5" s="587">
        <f>('LTM P&amp;L'!I28-'LTM P&amp;L'!H28)*'LTM P&amp;L'!I24</f>
        <v>2166152.2975900206</v>
      </c>
      <c r="H5" s="587">
        <f>('LTM P&amp;L'!J28-'LTM P&amp;L'!I28)*'LTM P&amp;L'!J24</f>
        <v>-1433607.8194358849</v>
      </c>
      <c r="I5" s="587">
        <f>('LTM P&amp;L'!K28-'LTM P&amp;L'!J28)*'LTM P&amp;L'!K24</f>
        <v>-801617.81489886832</v>
      </c>
      <c r="J5" s="587">
        <f>('LTM P&amp;L'!L28-'LTM P&amp;L'!K28)*'LTM P&amp;L'!L24</f>
        <v>1082427.8537734139</v>
      </c>
      <c r="K5" s="587">
        <f>('LTM P&amp;L'!M28-'LTM P&amp;L'!L28)*'LTM P&amp;L'!M24</f>
        <v>-255480.46546133119</v>
      </c>
      <c r="L5" s="587">
        <f>('LTM P&amp;L'!N28-'LTM P&amp;L'!M28)*'LTM P&amp;L'!N24</f>
        <v>-220347.66055922088</v>
      </c>
      <c r="M5" s="587">
        <f>('LTM P&amp;L'!O28-'LTM P&amp;L'!N28)*'LTM P&amp;L'!O24</f>
        <v>393394.32957743987</v>
      </c>
    </row>
    <row r="6" spans="1:13">
      <c r="A6" s="588" t="s">
        <v>636</v>
      </c>
      <c r="B6" s="588" t="s">
        <v>640</v>
      </c>
      <c r="C6" s="589">
        <f>C4+C5</f>
        <v>519994.9520000011</v>
      </c>
      <c r="D6" s="589">
        <f t="shared" ref="D6:M6" si="0">D4+D5</f>
        <v>-1314737.1539999968</v>
      </c>
      <c r="E6" s="589">
        <f t="shared" si="0"/>
        <v>507693.9459999986</v>
      </c>
      <c r="F6" s="589">
        <f t="shared" si="0"/>
        <v>-500628.40000000049</v>
      </c>
      <c r="G6" s="589">
        <f t="shared" si="0"/>
        <v>2307463.2600000016</v>
      </c>
      <c r="H6" s="589">
        <f t="shared" si="0"/>
        <v>-1231682.5719999985</v>
      </c>
      <c r="I6" s="589">
        <f t="shared" si="0"/>
        <v>-1344348.8640000024</v>
      </c>
      <c r="J6" s="589">
        <f t="shared" si="0"/>
        <v>1163300.1440000003</v>
      </c>
      <c r="K6" s="589">
        <f t="shared" si="0"/>
        <v>-293969.61000000016</v>
      </c>
      <c r="L6" s="589">
        <f t="shared" si="0"/>
        <v>-239730.82400000296</v>
      </c>
      <c r="M6" s="589">
        <f t="shared" si="0"/>
        <v>275575.88200000866</v>
      </c>
    </row>
    <row r="7" spans="1:13">
      <c r="A7" s="588" t="s">
        <v>638</v>
      </c>
      <c r="B7" s="588" t="s">
        <v>640</v>
      </c>
      <c r="C7" s="589">
        <f>ABS(C4)+ABS(C5)</f>
        <v>992010.262726877</v>
      </c>
      <c r="D7" s="589">
        <f>ABS(D4)+ABS(D5)</f>
        <v>1314737.1539999968</v>
      </c>
      <c r="E7" s="589">
        <f t="shared" ref="E7:M7" si="1">ABS(E4)+ABS(E5)</f>
        <v>507693.9459999986</v>
      </c>
      <c r="F7" s="589">
        <f t="shared" si="1"/>
        <v>500628.40000000049</v>
      </c>
      <c r="G7" s="589">
        <f t="shared" si="1"/>
        <v>2307463.2600000016</v>
      </c>
      <c r="H7" s="589">
        <f t="shared" si="1"/>
        <v>1635533.0668717714</v>
      </c>
      <c r="I7" s="589">
        <f t="shared" si="1"/>
        <v>1344348.8640000024</v>
      </c>
      <c r="J7" s="589">
        <f t="shared" si="1"/>
        <v>1163300.1440000003</v>
      </c>
      <c r="K7" s="589">
        <f t="shared" si="1"/>
        <v>293969.61000000016</v>
      </c>
      <c r="L7" s="589">
        <f t="shared" si="1"/>
        <v>239730.82400000296</v>
      </c>
      <c r="M7" s="589">
        <f t="shared" si="1"/>
        <v>511212.77715487109</v>
      </c>
    </row>
    <row r="8" spans="1:13">
      <c r="A8" s="588" t="s">
        <v>637</v>
      </c>
      <c r="B8" s="588" t="s">
        <v>640</v>
      </c>
      <c r="C8" s="590">
        <f>C4/$C$7</f>
        <v>-0.23790848162668279</v>
      </c>
      <c r="D8" s="590">
        <f t="shared" ref="D8:M8" si="2">D4/$C$7</f>
        <v>-0.56601227473664328</v>
      </c>
      <c r="E8" s="590">
        <f t="shared" si="2"/>
        <v>0.37497938800156361</v>
      </c>
      <c r="F8" s="590">
        <f t="shared" si="2"/>
        <v>-0.14066673399040708</v>
      </c>
      <c r="G8" s="590">
        <f t="shared" si="2"/>
        <v>0.14244909323976146</v>
      </c>
      <c r="H8" s="590">
        <f t="shared" si="2"/>
        <v>0.20355157100978602</v>
      </c>
      <c r="I8" s="590">
        <f t="shared" si="2"/>
        <v>-0.54710225235901633</v>
      </c>
      <c r="J8" s="590">
        <f t="shared" si="2"/>
        <v>8.1523642713414626E-2</v>
      </c>
      <c r="K8" s="590">
        <f t="shared" si="2"/>
        <v>-3.8799139469453153E-2</v>
      </c>
      <c r="L8" s="590">
        <f t="shared" si="2"/>
        <v>-1.9539277131570058E-2</v>
      </c>
      <c r="M8" s="590">
        <f t="shared" si="2"/>
        <v>-0.11876736764150726</v>
      </c>
    </row>
    <row r="9" spans="1:13">
      <c r="A9" s="588" t="s">
        <v>294</v>
      </c>
      <c r="B9" s="588" t="s">
        <v>640</v>
      </c>
      <c r="C9" s="590">
        <f>ABS(C5)/$C$7</f>
        <v>0.76209151837331723</v>
      </c>
      <c r="D9" s="590">
        <f t="shared" ref="D9:M9" si="3">ABS(D5)/$C$7</f>
        <v>0.75931388709760572</v>
      </c>
      <c r="E9" s="590">
        <f t="shared" si="3"/>
        <v>0.13680356936868515</v>
      </c>
      <c r="F9" s="590">
        <f t="shared" si="3"/>
        <v>0.36399377085543333</v>
      </c>
      <c r="G9" s="590">
        <f t="shared" si="3"/>
        <v>2.1835986773318408</v>
      </c>
      <c r="H9" s="590">
        <f t="shared" si="3"/>
        <v>1.4451542219887192</v>
      </c>
      <c r="I9" s="590">
        <f t="shared" si="3"/>
        <v>0.80807411477311697</v>
      </c>
      <c r="J9" s="590">
        <f t="shared" si="3"/>
        <v>1.0911458222196144</v>
      </c>
      <c r="K9" s="590">
        <f t="shared" si="3"/>
        <v>0.25753812743736781</v>
      </c>
      <c r="L9" s="590">
        <f t="shared" si="3"/>
        <v>0.2221223598569641</v>
      </c>
      <c r="M9" s="590">
        <f t="shared" si="3"/>
        <v>0.39656276185698119</v>
      </c>
    </row>
    <row r="11" spans="1:13" s="588" customFormat="1">
      <c r="C11" s="589"/>
      <c r="D11" s="589"/>
      <c r="E11" s="589"/>
      <c r="F11" s="589"/>
      <c r="G11" s="589"/>
      <c r="H11" s="589"/>
      <c r="I11" s="589"/>
      <c r="J11" s="589"/>
      <c r="K11" s="589"/>
      <c r="L11" s="589"/>
      <c r="M11" s="589"/>
    </row>
    <row r="13" spans="1:13">
      <c r="A13" s="588" t="s">
        <v>639</v>
      </c>
      <c r="B13" s="588"/>
      <c r="C13" s="592"/>
      <c r="D13" s="592"/>
      <c r="E13" s="592"/>
      <c r="F13" s="592"/>
      <c r="G13" s="592"/>
      <c r="H13" s="592"/>
      <c r="I13" s="592"/>
      <c r="J13" s="592"/>
      <c r="K13" s="592"/>
      <c r="L13" s="592"/>
      <c r="M13" s="592"/>
    </row>
    <row r="14" spans="1:13">
      <c r="A14" s="593"/>
      <c r="B14" s="593" t="s">
        <v>17</v>
      </c>
      <c r="C14" s="593" t="s">
        <v>18</v>
      </c>
      <c r="D14" s="593" t="s">
        <v>19</v>
      </c>
      <c r="E14" s="593" t="s">
        <v>20</v>
      </c>
      <c r="F14" s="593" t="s">
        <v>21</v>
      </c>
      <c r="G14" s="593" t="s">
        <v>22</v>
      </c>
      <c r="H14" s="593" t="s">
        <v>23</v>
      </c>
      <c r="I14" s="593" t="s">
        <v>24</v>
      </c>
      <c r="J14" s="593" t="s">
        <v>25</v>
      </c>
      <c r="K14" s="593" t="s">
        <v>26</v>
      </c>
      <c r="L14" s="593" t="s">
        <v>27</v>
      </c>
      <c r="M14" s="593" t="s">
        <v>28</v>
      </c>
    </row>
    <row r="15" spans="1:13">
      <c r="A15" s="593"/>
      <c r="B15" s="593"/>
      <c r="C15" s="593"/>
      <c r="D15" s="593"/>
      <c r="E15" s="593"/>
      <c r="F15" s="593"/>
      <c r="G15" s="593"/>
      <c r="H15" s="593"/>
      <c r="I15" s="593"/>
      <c r="J15" s="593"/>
      <c r="K15" s="593"/>
      <c r="L15" s="593"/>
      <c r="M15" s="593"/>
    </row>
    <row r="16" spans="1:13">
      <c r="A16" s="593" t="s">
        <v>39</v>
      </c>
      <c r="B16" s="593">
        <v>0.10515999999999989</v>
      </c>
      <c r="C16" s="593">
        <v>0.10958490566037722</v>
      </c>
      <c r="D16" s="593">
        <v>0.1835254237288135</v>
      </c>
      <c r="E16" s="593">
        <v>6.3499999999999945E-2</v>
      </c>
      <c r="F16" s="593">
        <v>8.0528301886792331E-2</v>
      </c>
      <c r="G16" s="593">
        <v>0.37921212121212117</v>
      </c>
      <c r="H16" s="593">
        <v>0.17450909090909078</v>
      </c>
      <c r="I16" s="593">
        <v>1.5959999999999846E-2</v>
      </c>
      <c r="J16" s="593">
        <v>7.3836734693877415E-2</v>
      </c>
      <c r="K16" s="593">
        <v>0.22463333333333321</v>
      </c>
      <c r="L16" s="593">
        <v>0.31029032258064498</v>
      </c>
      <c r="M16" s="593">
        <v>4.5288888888888795E-2</v>
      </c>
    </row>
    <row r="17" spans="1:13">
      <c r="A17" s="593" t="s">
        <v>31</v>
      </c>
      <c r="B17" s="593">
        <v>0.37864705882352945</v>
      </c>
      <c r="C17" s="593">
        <v>0.32437288135593223</v>
      </c>
      <c r="D17" s="593">
        <v>0.40414925373134319</v>
      </c>
      <c r="E17" s="593">
        <v>0.35779710144927529</v>
      </c>
      <c r="F17" s="593">
        <v>0.34058461538461537</v>
      </c>
      <c r="G17" s="593">
        <v>0.34227692307692298</v>
      </c>
      <c r="H17" s="593">
        <v>0.14525490196078422</v>
      </c>
      <c r="I17" s="593">
        <v>0.14370833333333327</v>
      </c>
      <c r="J17" s="593">
        <v>0.31153124999999993</v>
      </c>
      <c r="K17" s="593">
        <v>0.19769811320754713</v>
      </c>
      <c r="L17" s="593">
        <v>0.18435999999999986</v>
      </c>
      <c r="M17" s="593">
        <v>0.29529999999999995</v>
      </c>
    </row>
    <row r="18" spans="1:13">
      <c r="A18" s="593" t="s">
        <v>40</v>
      </c>
      <c r="B18" s="593">
        <v>0.15581132075471693</v>
      </c>
      <c r="C18" s="593">
        <v>5.6159999999999898E-2</v>
      </c>
      <c r="D18" s="593">
        <v>0.32152112676056332</v>
      </c>
      <c r="E18" s="593">
        <v>0.11858823529411758</v>
      </c>
      <c r="F18" s="593">
        <v>-5.9391304347826163E-2</v>
      </c>
      <c r="G18" s="593">
        <v>0.41468571428571427</v>
      </c>
      <c r="H18" s="593">
        <v>0.33232352941176457</v>
      </c>
      <c r="I18" s="593">
        <v>0.31663888888888875</v>
      </c>
      <c r="J18" s="593">
        <v>5.454166666666653E-2</v>
      </c>
      <c r="K18" s="593">
        <v>0.30564179104477601</v>
      </c>
      <c r="L18" s="593">
        <v>9.0170212765957353E-2</v>
      </c>
      <c r="M18" s="593">
        <v>0.32871874999999995</v>
      </c>
    </row>
    <row r="19" spans="1:13">
      <c r="A19" s="593" t="s">
        <v>36</v>
      </c>
      <c r="B19" s="593">
        <v>0.21858823529411761</v>
      </c>
      <c r="C19" s="593">
        <v>0.13342857142857134</v>
      </c>
      <c r="D19" s="593">
        <v>0.13755999999999985</v>
      </c>
      <c r="E19" s="593">
        <v>0.32013559322033902</v>
      </c>
      <c r="F19" s="593">
        <v>0.37591304347826082</v>
      </c>
      <c r="G19" s="593">
        <v>0.31033962264150933</v>
      </c>
      <c r="H19" s="593">
        <v>0.42040579710144921</v>
      </c>
      <c r="I19" s="593">
        <v>0.20178181818181806</v>
      </c>
      <c r="J19" s="593">
        <v>0.31272413793103443</v>
      </c>
      <c r="K19" s="593">
        <v>0.40968571428571432</v>
      </c>
      <c r="L19" s="593">
        <v>0.4065312499999999</v>
      </c>
      <c r="M19" s="593">
        <v>0.37242622950819665</v>
      </c>
    </row>
    <row r="20" spans="1:13">
      <c r="A20" s="593" t="s">
        <v>32</v>
      </c>
      <c r="B20" s="593">
        <v>0.10102127659574461</v>
      </c>
      <c r="C20" s="593">
        <v>0.39603030303030295</v>
      </c>
      <c r="D20" s="593">
        <v>0.29961403508771928</v>
      </c>
      <c r="E20" s="593">
        <v>0.1943272727272726</v>
      </c>
      <c r="F20" s="593">
        <v>0.10704166666666662</v>
      </c>
      <c r="G20" s="593">
        <v>0.26289655172413789</v>
      </c>
      <c r="H20" s="593">
        <v>0.12815999999999994</v>
      </c>
      <c r="I20" s="593">
        <v>0.10647826086956512</v>
      </c>
      <c r="J20" s="593">
        <v>0.3794084507042253</v>
      </c>
      <c r="K20" s="593">
        <v>0.37467647058823533</v>
      </c>
      <c r="L20" s="593">
        <v>0.21573076923076917</v>
      </c>
      <c r="M20" s="593">
        <v>0.33934374999999994</v>
      </c>
    </row>
    <row r="21" spans="1:13">
      <c r="A21" s="593" t="s">
        <v>37</v>
      </c>
      <c r="B21" s="593">
        <v>0.24807547169811311</v>
      </c>
      <c r="C21" s="593">
        <v>9.6553191489361617E-2</v>
      </c>
      <c r="D21" s="593">
        <v>0.22996428571428562</v>
      </c>
      <c r="E21" s="593">
        <v>0.27069090909090904</v>
      </c>
      <c r="F21" s="593">
        <v>0.36673529411764699</v>
      </c>
      <c r="G21" s="593">
        <v>0.4288749999999999</v>
      </c>
      <c r="H21" s="593">
        <v>0.34439344262295069</v>
      </c>
      <c r="I21" s="593">
        <v>0.34474626865671631</v>
      </c>
      <c r="J21" s="593">
        <v>0.39603030303030301</v>
      </c>
      <c r="K21" s="593">
        <v>8.1733333333333283E-2</v>
      </c>
      <c r="L21" s="593">
        <v>0.43310447761194021</v>
      </c>
      <c r="M21" s="593">
        <v>0.27769811320754711</v>
      </c>
    </row>
    <row r="22" spans="1:13">
      <c r="A22" s="593" t="s">
        <v>33</v>
      </c>
      <c r="B22" s="593">
        <v>0.37864705882352945</v>
      </c>
      <c r="C22" s="593">
        <v>0.43856338028169006</v>
      </c>
      <c r="D22" s="593">
        <v>0.18526530612244885</v>
      </c>
      <c r="E22" s="593">
        <v>1.5288888888888744E-2</v>
      </c>
      <c r="F22" s="593">
        <v>0.17573076923076916</v>
      </c>
      <c r="G22" s="593">
        <v>0.28746666666666659</v>
      </c>
      <c r="H22" s="593">
        <v>0.33951515151515138</v>
      </c>
      <c r="I22" s="593">
        <v>0.36766153846153837</v>
      </c>
      <c r="J22" s="593">
        <v>0.35202941176470587</v>
      </c>
      <c r="K22" s="593">
        <v>0.254</v>
      </c>
      <c r="L22" s="593">
        <v>0.16771428571428562</v>
      </c>
      <c r="M22" s="593">
        <v>0.15435999999999997</v>
      </c>
    </row>
    <row r="23" spans="1:13">
      <c r="A23" s="593" t="s">
        <v>38</v>
      </c>
      <c r="B23" s="593">
        <v>0.43870422535211262</v>
      </c>
      <c r="C23" s="593">
        <v>0.2678965517241379</v>
      </c>
      <c r="D23" s="593">
        <v>0.17073076923076902</v>
      </c>
      <c r="E23" s="593">
        <v>0.33146666666666663</v>
      </c>
      <c r="F23" s="593">
        <v>0.27013559322033887</v>
      </c>
      <c r="G23" s="593">
        <v>0.48518309859154918</v>
      </c>
      <c r="H23" s="593">
        <v>0.16683333333333322</v>
      </c>
      <c r="I23" s="593">
        <v>0.28029508196721292</v>
      </c>
      <c r="J23" s="593">
        <v>0.28817857142857145</v>
      </c>
      <c r="K23" s="593">
        <v>0.29962711864406777</v>
      </c>
      <c r="L23" s="593">
        <v>0.29662962962962958</v>
      </c>
      <c r="M23" s="593">
        <v>0.41996969696969688</v>
      </c>
    </row>
    <row r="24" spans="1:13">
      <c r="A24" s="593" t="s">
        <v>34</v>
      </c>
      <c r="B24" s="593">
        <v>0.33981249999999996</v>
      </c>
      <c r="C24" s="593">
        <v>0.31272413793103448</v>
      </c>
      <c r="D24" s="593">
        <v>0.16829166666666664</v>
      </c>
      <c r="E24" s="593">
        <v>0.38455555555555548</v>
      </c>
      <c r="F24" s="593">
        <v>0.17573076923076925</v>
      </c>
      <c r="G24" s="593">
        <v>0.36191044776119402</v>
      </c>
      <c r="H24" s="593">
        <v>0.17750943396226401</v>
      </c>
      <c r="I24" s="593">
        <v>0.23885185185185176</v>
      </c>
      <c r="J24" s="593">
        <v>0.31153124999999993</v>
      </c>
      <c r="K24" s="593">
        <v>0.19769811320754724</v>
      </c>
      <c r="L24" s="593">
        <v>0.16771428571428568</v>
      </c>
      <c r="M24" s="593">
        <v>0.30685245901639335</v>
      </c>
    </row>
    <row r="25" spans="1:13">
      <c r="A25" s="593" t="s">
        <v>35</v>
      </c>
      <c r="B25" s="593">
        <v>0.17152941176470582</v>
      </c>
      <c r="C25" s="593">
        <v>0.4463611111111111</v>
      </c>
      <c r="D25" s="593">
        <v>0.24675471698113197</v>
      </c>
      <c r="E25" s="593">
        <v>0.14784615384615379</v>
      </c>
      <c r="F25" s="593">
        <v>0.40469444444444441</v>
      </c>
      <c r="G25" s="593">
        <v>0.17784615384615379</v>
      </c>
      <c r="H25" s="593">
        <v>0.31887499999999985</v>
      </c>
      <c r="I25" s="593">
        <v>0.34758730158730156</v>
      </c>
      <c r="J25" s="593">
        <v>0.15265384615384606</v>
      </c>
      <c r="K25" s="593">
        <v>0.22687272727272731</v>
      </c>
      <c r="L25" s="593">
        <v>0.40026470588235291</v>
      </c>
      <c r="M25" s="593">
        <v>0.24496428571428566</v>
      </c>
    </row>
    <row r="26" spans="1:13">
      <c r="A26" s="593"/>
      <c r="B26" s="593"/>
      <c r="C26" s="593"/>
      <c r="D26" s="593"/>
      <c r="E26" s="593"/>
      <c r="F26" s="593"/>
      <c r="G26" s="593"/>
      <c r="H26" s="593"/>
      <c r="I26" s="593"/>
      <c r="J26" s="593"/>
      <c r="K26" s="593"/>
      <c r="L26" s="593"/>
      <c r="M26" s="593"/>
    </row>
    <row r="27" spans="1:13">
      <c r="A27" s="588"/>
      <c r="B27" s="588"/>
      <c r="C27" s="588"/>
      <c r="D27" s="588"/>
      <c r="E27" s="588"/>
      <c r="F27" s="588"/>
      <c r="G27" s="588"/>
      <c r="H27" s="588"/>
      <c r="I27" s="588"/>
      <c r="J27" s="588"/>
      <c r="K27" s="588"/>
      <c r="L27" s="588"/>
      <c r="M27" s="588"/>
    </row>
    <row r="28" spans="1:13">
      <c r="A28" s="588" t="s">
        <v>291</v>
      </c>
      <c r="B28" s="588"/>
      <c r="C28" s="588"/>
      <c r="D28" s="588"/>
      <c r="E28" s="588"/>
      <c r="F28" s="588"/>
      <c r="G28" s="588"/>
      <c r="H28" s="588"/>
      <c r="I28" s="588"/>
      <c r="J28" s="588"/>
      <c r="K28" s="588"/>
      <c r="L28" s="588"/>
      <c r="M28" s="588"/>
    </row>
    <row r="29" spans="1:13">
      <c r="A29" s="588"/>
      <c r="B29" s="588"/>
      <c r="C29" s="588"/>
      <c r="D29" s="588"/>
      <c r="E29" s="588"/>
      <c r="F29" s="588"/>
      <c r="G29" s="588"/>
      <c r="H29" s="588"/>
      <c r="I29" s="588"/>
      <c r="J29" s="588"/>
      <c r="K29" s="588"/>
      <c r="L29" s="588"/>
      <c r="M29" s="588"/>
    </row>
    <row r="30" spans="1:13">
      <c r="A30" s="593"/>
      <c r="B30" s="593" t="s">
        <v>17</v>
      </c>
      <c r="C30" s="593" t="s">
        <v>18</v>
      </c>
      <c r="D30" s="593" t="s">
        <v>19</v>
      </c>
      <c r="E30" s="593" t="s">
        <v>20</v>
      </c>
      <c r="F30" s="593" t="s">
        <v>21</v>
      </c>
      <c r="G30" s="593" t="s">
        <v>22</v>
      </c>
      <c r="H30" s="593" t="s">
        <v>23</v>
      </c>
      <c r="I30" s="593" t="s">
        <v>24</v>
      </c>
      <c r="J30" s="593" t="s">
        <v>25</v>
      </c>
      <c r="K30" s="593" t="s">
        <v>26</v>
      </c>
      <c r="L30" s="593" t="s">
        <v>27</v>
      </c>
      <c r="M30" s="593" t="s">
        <v>28</v>
      </c>
    </row>
    <row r="31" spans="1:13">
      <c r="A31" s="593"/>
      <c r="B31" s="593"/>
      <c r="C31" s="593"/>
      <c r="D31" s="593"/>
      <c r="E31" s="593"/>
      <c r="F31" s="593"/>
      <c r="G31" s="593"/>
      <c r="H31" s="593"/>
      <c r="I31" s="593"/>
      <c r="J31" s="593"/>
      <c r="K31" s="593"/>
      <c r="L31" s="593"/>
      <c r="M31" s="593"/>
    </row>
    <row r="32" spans="1:13">
      <c r="A32" s="593" t="s">
        <v>39</v>
      </c>
      <c r="B32" s="593">
        <v>0.14038168148364558</v>
      </c>
      <c r="C32" s="593">
        <v>7.2956331171917341E-2</v>
      </c>
      <c r="D32" s="593">
        <v>0.28678773620303094</v>
      </c>
      <c r="E32" s="593">
        <v>6.8330348189832898E-2</v>
      </c>
      <c r="F32" s="593">
        <v>0.1197433107385123</v>
      </c>
      <c r="G32" s="593">
        <v>0.29187198398551528</v>
      </c>
      <c r="H32" s="593">
        <v>0.15864196905385014</v>
      </c>
      <c r="I32" s="593">
        <v>1.1078516814560273E-2</v>
      </c>
      <c r="J32" s="593">
        <v>5.0277231038318354E-2</v>
      </c>
      <c r="K32" s="593">
        <v>0.20093413281557176</v>
      </c>
      <c r="L32" s="593">
        <v>0.3507694504297254</v>
      </c>
      <c r="M32" s="593">
        <v>3.5271895794642696E-2</v>
      </c>
    </row>
    <row r="33" spans="1:13">
      <c r="A33" s="593" t="s">
        <v>31</v>
      </c>
      <c r="B33" s="593">
        <v>0.10385423823674821</v>
      </c>
      <c r="C33" s="593">
        <v>9.1369651538791882E-2</v>
      </c>
      <c r="D33" s="593">
        <v>0.17593607831168614</v>
      </c>
      <c r="E33" s="593">
        <v>0.19434284498083904</v>
      </c>
      <c r="F33" s="593">
        <v>0.12095786435629002</v>
      </c>
      <c r="G33" s="593">
        <v>3.8765844429548661E-2</v>
      </c>
      <c r="H33" s="593">
        <v>4.2568085273442816E-2</v>
      </c>
      <c r="I33" s="593">
        <v>8.1729428543489649E-2</v>
      </c>
      <c r="J33" s="593">
        <v>0.1412793864988543</v>
      </c>
      <c r="K33" s="593">
        <v>2.8262611987929932E-2</v>
      </c>
      <c r="L33" s="593">
        <v>4.5415284872810921E-2</v>
      </c>
      <c r="M33" s="593">
        <v>5.0426288775955293E-2</v>
      </c>
    </row>
    <row r="34" spans="1:13">
      <c r="A34" s="593" t="s">
        <v>40</v>
      </c>
      <c r="B34" s="593">
        <v>2.9427127723859747E-2</v>
      </c>
      <c r="C34" s="593">
        <v>4.2165410496886003E-3</v>
      </c>
      <c r="D34" s="593">
        <v>0.162174819551091</v>
      </c>
      <c r="E34" s="593">
        <v>6.6070308993647117E-2</v>
      </c>
      <c r="F34" s="593">
        <v>-4.0636050616336301E-3</v>
      </c>
      <c r="G34" s="593">
        <v>0.14431093628513944</v>
      </c>
      <c r="H34" s="593">
        <v>0.16733866270484946</v>
      </c>
      <c r="I34" s="593">
        <v>5.899185274019321E-2</v>
      </c>
      <c r="J34" s="593">
        <v>6.7807908051049819E-3</v>
      </c>
      <c r="K34" s="593">
        <v>1.7814041906305558E-2</v>
      </c>
      <c r="L34" s="593">
        <v>2.4679863572947252E-2</v>
      </c>
      <c r="M34" s="593">
        <v>4.5307116878385789E-2</v>
      </c>
    </row>
    <row r="35" spans="1:13">
      <c r="A35" s="593" t="s">
        <v>36</v>
      </c>
      <c r="B35" s="593">
        <v>4.4271821090210127E-2</v>
      </c>
      <c r="C35" s="593">
        <v>4.9407457520631207E-2</v>
      </c>
      <c r="D35" s="593">
        <v>4.9067856402074513E-2</v>
      </c>
      <c r="E35" s="593">
        <v>0.13057517385321915</v>
      </c>
      <c r="F35" s="593">
        <v>0.12520775319342989</v>
      </c>
      <c r="G35" s="593">
        <v>6.2380780566046568E-2</v>
      </c>
      <c r="H35" s="593">
        <v>0.24064916755322405</v>
      </c>
      <c r="I35" s="593">
        <v>0.12381817434512027</v>
      </c>
      <c r="J35" s="593">
        <v>0.14207158243287285</v>
      </c>
      <c r="K35" s="593">
        <v>0.13021304382118826</v>
      </c>
      <c r="L35" s="593">
        <v>0.10908947388606398</v>
      </c>
      <c r="M35" s="593">
        <v>0.13582962719542396</v>
      </c>
    </row>
    <row r="36" spans="1:13">
      <c r="A36" s="593" t="s">
        <v>32</v>
      </c>
      <c r="B36" s="593">
        <v>3.5415475002744404E-2</v>
      </c>
      <c r="C36" s="593">
        <v>0.19878018143848186</v>
      </c>
      <c r="D36" s="593">
        <v>5.2354440891125398E-2</v>
      </c>
      <c r="E36" s="593">
        <v>9.2333007401996764E-2</v>
      </c>
      <c r="F36" s="593">
        <v>2.3899932254088752E-2</v>
      </c>
      <c r="G36" s="593">
        <v>4.6445916246984416E-2</v>
      </c>
      <c r="H36" s="593">
        <v>2.7815877890312975E-2</v>
      </c>
      <c r="I36" s="593">
        <v>3.3815172884604838E-2</v>
      </c>
      <c r="J36" s="593">
        <v>0.24334697422897286</v>
      </c>
      <c r="K36" s="593">
        <v>0.17584660212738967</v>
      </c>
      <c r="L36" s="593">
        <v>7.759998030804946E-2</v>
      </c>
      <c r="M36" s="593">
        <v>8.5853300941266711E-2</v>
      </c>
    </row>
    <row r="37" spans="1:13">
      <c r="A37" s="593" t="s">
        <v>37</v>
      </c>
      <c r="B37" s="593">
        <v>4.2944674860817426E-2</v>
      </c>
      <c r="C37" s="593">
        <v>1.2827357173212038E-2</v>
      </c>
      <c r="D37" s="593">
        <v>5.5807073515185858E-2</v>
      </c>
      <c r="E37" s="593">
        <v>5.7399827945379615E-2</v>
      </c>
      <c r="F37" s="593">
        <v>0.10300240179683832</v>
      </c>
      <c r="G37" s="593">
        <v>6.3615992329007401E-2</v>
      </c>
      <c r="H37" s="593">
        <v>6.6396979576028595E-2</v>
      </c>
      <c r="I37" s="593">
        <v>0.10245965043998718</v>
      </c>
      <c r="J37" s="593">
        <v>8.7729857364506877E-2</v>
      </c>
      <c r="K37" s="593">
        <v>1.3377061756539787E-2</v>
      </c>
      <c r="L37" s="593">
        <v>0.10072669678966308</v>
      </c>
      <c r="M37" s="593">
        <v>5.888527403369255E-2</v>
      </c>
    </row>
    <row r="38" spans="1:13">
      <c r="A38" s="593" t="s">
        <v>33</v>
      </c>
      <c r="B38" s="593">
        <v>0.20893809512219447</v>
      </c>
      <c r="C38" s="593">
        <v>0.15443267127141586</v>
      </c>
      <c r="D38" s="593">
        <v>3.4300966620060921E-2</v>
      </c>
      <c r="E38" s="593">
        <v>2.5584547763911041E-3</v>
      </c>
      <c r="F38" s="593">
        <v>6.4585174499044593E-2</v>
      </c>
      <c r="G38" s="593">
        <v>7.3226613187774861E-2</v>
      </c>
      <c r="H38" s="593">
        <v>0.17227280164241704</v>
      </c>
      <c r="I38" s="593">
        <v>0.1792676098491445</v>
      </c>
      <c r="J38" s="593">
        <v>5.5865346601917568E-2</v>
      </c>
      <c r="K38" s="593">
        <v>9.7967520503455002E-2</v>
      </c>
      <c r="L38" s="593">
        <v>4.1044063770923352E-2</v>
      </c>
      <c r="M38" s="593">
        <v>6.9149039541519949E-2</v>
      </c>
    </row>
    <row r="39" spans="1:13">
      <c r="A39" s="593" t="s">
        <v>38</v>
      </c>
      <c r="B39" s="593">
        <v>0.13857241064257544</v>
      </c>
      <c r="C39" s="593">
        <v>3.9973550315017044E-2</v>
      </c>
      <c r="D39" s="593">
        <v>9.921633915835544E-2</v>
      </c>
      <c r="E39" s="593">
        <v>8.4602374512522643E-2</v>
      </c>
      <c r="F39" s="593">
        <v>0.14807995261628754</v>
      </c>
      <c r="G39" s="593">
        <v>0.12547232098592137</v>
      </c>
      <c r="H39" s="593">
        <v>2.5044897148837796E-2</v>
      </c>
      <c r="I39" s="593">
        <v>0.19029983705977174</v>
      </c>
      <c r="J39" s="593">
        <v>9.8346575998736183E-2</v>
      </c>
      <c r="K39" s="593">
        <v>0.13989972605891665</v>
      </c>
      <c r="L39" s="593">
        <v>3.9865516212795819E-2</v>
      </c>
      <c r="M39" s="593">
        <v>0.16876800517900167</v>
      </c>
    </row>
    <row r="40" spans="1:13">
      <c r="A40" s="593" t="s">
        <v>34</v>
      </c>
      <c r="B40" s="593">
        <v>0.19634913486957101</v>
      </c>
      <c r="C40" s="593">
        <v>0.12904881153629277</v>
      </c>
      <c r="D40" s="593">
        <v>4.6315761223330289E-2</v>
      </c>
      <c r="E40" s="593">
        <v>0.24221374525812486</v>
      </c>
      <c r="F40" s="593">
        <v>8.5350862289178625E-2</v>
      </c>
      <c r="G40" s="593">
        <v>0.13044839026916985</v>
      </c>
      <c r="H40" s="593">
        <v>4.6338772884911721E-2</v>
      </c>
      <c r="I40" s="593">
        <v>0.13027885316101062</v>
      </c>
      <c r="J40" s="593">
        <v>0.1468555234568219</v>
      </c>
      <c r="K40" s="593">
        <v>7.4670685946460674E-2</v>
      </c>
      <c r="L40" s="593">
        <v>6.6903950582033633E-2</v>
      </c>
      <c r="M40" s="593">
        <v>0.20040745704767382</v>
      </c>
    </row>
    <row r="41" spans="1:13">
      <c r="A41" s="593" t="s">
        <v>35</v>
      </c>
      <c r="B41" s="593">
        <v>5.9845340967633415E-2</v>
      </c>
      <c r="C41" s="593">
        <v>0.2469874469845513</v>
      </c>
      <c r="D41" s="593">
        <v>3.8038928124059498E-2</v>
      </c>
      <c r="E41" s="593">
        <v>6.157391408804689E-2</v>
      </c>
      <c r="F41" s="593">
        <v>0.21323635331796356</v>
      </c>
      <c r="G41" s="593">
        <v>2.3461221714892056E-2</v>
      </c>
      <c r="H41" s="593">
        <v>5.2932786272125491E-2</v>
      </c>
      <c r="I41" s="593">
        <v>8.8260904162117668E-2</v>
      </c>
      <c r="J41" s="593">
        <v>2.7446731573894143E-2</v>
      </c>
      <c r="K41" s="593">
        <v>0.12101457307624276</v>
      </c>
      <c r="L41" s="593">
        <v>0.14390571957498705</v>
      </c>
      <c r="M41" s="593">
        <v>0.15010199461243751</v>
      </c>
    </row>
    <row r="44" spans="1:13" ht="16">
      <c r="A44" s="40" t="s">
        <v>641</v>
      </c>
      <c r="B44" s="40">
        <v>2</v>
      </c>
      <c r="C44" s="40">
        <v>3</v>
      </c>
      <c r="D44" s="40">
        <v>4</v>
      </c>
      <c r="E44" s="40">
        <v>5</v>
      </c>
      <c r="F44" s="40">
        <v>6</v>
      </c>
      <c r="G44" s="40">
        <v>7</v>
      </c>
      <c r="H44" s="40">
        <v>8</v>
      </c>
      <c r="I44" s="40">
        <v>9</v>
      </c>
      <c r="J44" s="40">
        <v>10</v>
      </c>
      <c r="K44" s="40">
        <v>11</v>
      </c>
      <c r="L44" s="40">
        <v>12</v>
      </c>
    </row>
    <row r="45" spans="1:13" ht="176">
      <c r="A45" s="572" t="s">
        <v>637</v>
      </c>
      <c r="B45" s="571" t="s">
        <v>642</v>
      </c>
      <c r="C45" s="571" t="s">
        <v>650</v>
      </c>
      <c r="D45" s="571" t="s">
        <v>655</v>
      </c>
      <c r="E45" s="571" t="s">
        <v>660</v>
      </c>
      <c r="F45" s="571" t="s">
        <v>665</v>
      </c>
      <c r="G45" s="571" t="s">
        <v>670</v>
      </c>
      <c r="H45" s="571" t="s">
        <v>675</v>
      </c>
      <c r="I45" s="571" t="s">
        <v>680</v>
      </c>
      <c r="J45" s="571" t="s">
        <v>685</v>
      </c>
      <c r="K45" s="571" t="s">
        <v>690</v>
      </c>
      <c r="L45" s="571" t="s">
        <v>695</v>
      </c>
    </row>
    <row r="46" spans="1:13" ht="224">
      <c r="A46" s="572" t="s">
        <v>643</v>
      </c>
      <c r="B46" s="571" t="s">
        <v>644</v>
      </c>
      <c r="C46" s="571" t="s">
        <v>651</v>
      </c>
      <c r="D46" s="571" t="s">
        <v>656</v>
      </c>
      <c r="E46" s="571" t="s">
        <v>661</v>
      </c>
      <c r="F46" s="571" t="s">
        <v>666</v>
      </c>
      <c r="G46" s="571" t="s">
        <v>671</v>
      </c>
      <c r="H46" s="571" t="s">
        <v>676</v>
      </c>
      <c r="I46" s="571" t="s">
        <v>681</v>
      </c>
      <c r="J46" s="571" t="s">
        <v>686</v>
      </c>
      <c r="K46" s="571" t="s">
        <v>691</v>
      </c>
      <c r="L46" s="571" t="s">
        <v>696</v>
      </c>
    </row>
    <row r="47" spans="1:13" ht="192">
      <c r="A47" s="572" t="s">
        <v>645</v>
      </c>
      <c r="B47" s="571" t="s">
        <v>646</v>
      </c>
      <c r="C47" s="572" t="s">
        <v>652</v>
      </c>
      <c r="D47" s="572" t="s">
        <v>657</v>
      </c>
      <c r="E47" s="572" t="s">
        <v>662</v>
      </c>
      <c r="F47" s="572" t="s">
        <v>667</v>
      </c>
      <c r="G47" s="572" t="s">
        <v>672</v>
      </c>
      <c r="H47" s="572" t="s">
        <v>677</v>
      </c>
      <c r="I47" s="572" t="s">
        <v>682</v>
      </c>
      <c r="J47" s="572" t="s">
        <v>687</v>
      </c>
      <c r="K47" s="572" t="s">
        <v>692</v>
      </c>
      <c r="L47" s="572" t="s">
        <v>697</v>
      </c>
    </row>
    <row r="48" spans="1:13" ht="160">
      <c r="A48" s="572" t="s">
        <v>647</v>
      </c>
      <c r="B48" s="571" t="s">
        <v>648</v>
      </c>
      <c r="C48" s="571" t="s">
        <v>653</v>
      </c>
      <c r="D48" s="571" t="s">
        <v>658</v>
      </c>
      <c r="E48" s="571" t="s">
        <v>663</v>
      </c>
      <c r="F48" s="571" t="s">
        <v>668</v>
      </c>
      <c r="G48" s="571" t="s">
        <v>673</v>
      </c>
      <c r="H48" s="571" t="s">
        <v>678</v>
      </c>
      <c r="I48" s="571" t="s">
        <v>683</v>
      </c>
      <c r="J48" s="571" t="s">
        <v>688</v>
      </c>
      <c r="K48" s="571" t="s">
        <v>693</v>
      </c>
      <c r="L48" s="571" t="s">
        <v>698</v>
      </c>
    </row>
    <row r="49" spans="1:12" ht="192">
      <c r="A49" s="572" t="s">
        <v>171</v>
      </c>
      <c r="B49" s="571" t="s">
        <v>649</v>
      </c>
      <c r="C49" s="571" t="s">
        <v>654</v>
      </c>
      <c r="D49" s="571" t="s">
        <v>659</v>
      </c>
      <c r="E49" s="571" t="s">
        <v>664</v>
      </c>
      <c r="F49" s="571" t="s">
        <v>669</v>
      </c>
      <c r="G49" s="571" t="s">
        <v>674</v>
      </c>
      <c r="H49" s="571" t="s">
        <v>679</v>
      </c>
      <c r="I49" s="571" t="s">
        <v>684</v>
      </c>
      <c r="J49" s="571" t="s">
        <v>689</v>
      </c>
      <c r="K49" s="571" t="s">
        <v>694</v>
      </c>
      <c r="L49" s="571" t="s">
        <v>699</v>
      </c>
    </row>
    <row r="51" spans="1:12">
      <c r="A51" s="591" t="s">
        <v>700</v>
      </c>
      <c r="B51" s="591" t="str">
        <f>CONCATENATE(B45," ",B48)</f>
        <v>In February, margin performance reflects a -24% impact from the decline in revenue, equating to -236 K$. This revenue decline was offset by strong cost efficiencies, which contributed +76%, or +756 K$, to the margin. While the revenue drop has put pressure on margins, operational cost management has been instrumental in maintaining profitability. Sustaining this cost control focus will be key moving forward, alongside efforts to regain top-line growth. Looking at the YTD margin performance, the overall trends are positive. The strong contributions from Client 5 and Client 10 have lifted year-to-date margins, but volatility remains in the contributions from Client 3 and Client 6, posing potential risks to sustained profitability. Stabilizing these client relationships will be critical for maintaining strong YTD performance throughout the remainder of the year.</v>
      </c>
      <c r="C51" s="591" t="str">
        <f t="shared" ref="C51:L51" si="4">CONCATENATE(C45," ",C48)</f>
        <v>In March, margin performance reflects a -57% impact from the decline in revenue, equating to -561 K$. The revenue drop was partially offset by cost efficiencies, which contributed +14%, or +136 K$, to the margin. Although revenue pressures were significant, the cost management impact was less effective this month compared to February. Continuing to improve cost efficiency and restore revenue growth will be key moving forward. Looking at the YTD margin performance, the overall trends show recovery in Client 3 and continued strong performance from Client 5. However, the volatility in Client 10’s contribution poses a risk to sustained profitability. Ensuring consistent contributions from top clients like Client 7 and stabilizing Client 10 will be important for maintaining YTD margin growth.</v>
      </c>
      <c r="D51" s="591" t="str">
        <f t="shared" si="4"/>
        <v>In April, margin performance reflects a +37% improvement from revenue recovery, equating to +372 K$. This recovery was partially offset by weaker cost efficiencies, which contributed only +14%, or +136 K$, to the margin. While the revenue growth is encouraging, the limited impact of cost management highlights the need for renewed operational focus to sustain margin growth in the future. Looking at the YTD margin performance, the trends show positive contributions from Client 4 and Client 7 boosting overall results. However, the volatility in Client 1’s and Client 10’s contributions poses risks to sustaining profitability. Stabilizing these client relationships and encouraging consistent contributions will be critical to protecting year-to-date margins.</v>
      </c>
      <c r="E51" s="591" t="str">
        <f t="shared" si="4"/>
        <v>In May, margin performance reflects a -14% impact from the decline in revenue, equating to -140 K$. This was countered by significant cost efficiencies, which contributed +36%, or +361 K$, to the margin. Although the revenue decline created pressure, the strong focus on cost control helped sustain the margins. Maintaining this balance between revenue recovery and cost efficiency will be key moving forward. The YTD margin performance shows continued strength from Client 4 and Client 5, with positive overall contributions. However, the volatility in Client 3 and Client 7’s performance continues to pose a risk. Stabilizing these clients will be critical to maintaining the overall year-to-date margin growth.</v>
      </c>
      <c r="F51" s="591" t="str">
        <f t="shared" si="4"/>
        <v>In June, margin performance reflects a +14% improvement, contributing +141 K$ to the total margin. This positive revenue impact was significantly boosted by cost efficiencies, which contributed a substantial +218%, or +2,166 K$, to the margin. The strong operational efficiency this month helped drive profitability, signaling that cost management efforts are highly effective in offsetting revenue pressures. Looking at the YTD margin performance, the strong contributions from Client 8 and Client 6 have lifted overall year-to-date margins. However, the decline in Client 5’s contribution introduces some risk to margin stability. Stabilizing client contributions across the board will be critical for maintaining healthy YTD margins as we move into the second half of the year.</v>
      </c>
      <c r="G51" s="591" t="str">
        <f t="shared" si="4"/>
        <v>In July, margin performance reflects a -55% impact from a significant decline in revenue, equating to -543 K$. This decline was partially offset by cost efficiencies, which contributed +145%, or +1,434 K$, to the margin. While the revenue drop created substantial pressure, the strong focus on cost control helped reduce the overall margin decline. Continuing this cost focus will be essential as revenue recovery is pursued. Looking at the YTD margin performance, contributions from Client 7 and Client 9 have been consistent, helping to mitigate the impact of the revenue decline. However, the volatility in Client 5 and Client 8 poses risks to overall profitability. Stabilizing these clients will be crucial to maintaining positive YTD margin growth as the year progresses.</v>
      </c>
      <c r="H51" s="591" t="str">
        <f t="shared" si="4"/>
        <v>In August, margin performance reflects a -55% impact from a continued decline in revenue, equating to -543 K$. This decline was somewhat offset by cost efficiencies, which contributed +81%, or +1,344 K$, to the margin. Although revenue continues to be a challenge, the strong focus on cost management has played a crucial role in maintaining profitability. However, sustaining this cost control will be key as efforts are made to stabilize revenue. Looking at the YTD margin performance, the strong contributions from Client 10 and Client 7 have helped maintain year-to-date margins, but the declining performance from Client 1 and Client 5 poses a potential risk. Stabilizing underperforming clients will be critical to sustaining YTD profitability as the year progresses.</v>
      </c>
      <c r="I51" s="591" t="str">
        <f t="shared" si="4"/>
        <v>In September, margin performance reflects a +8% improvement from revenue recovery, equating to +81 K$. This revenue growth was bolstered by cost efficiencies, which contributed +109%, or +1,082 K$, to the margin. The positive revenue and strong operational cost savings have helped stabilize margins. However, continued focus on both revenue recovery and operational efficiency will be necessary to sustain this momentum. Looking at the YTD margin performance, the contributions from Client 6 and Client 10 have helped lift overall year-to-date margins. However, Client 5’s performance remains inconsistent, and stabilizing its contribution will be essential to protect YTD profitability.</v>
      </c>
      <c r="J51" s="591" t="str">
        <f t="shared" si="4"/>
        <v>In October, margin performance reflects a -4% impact from a slight decline in revenue, equating to -38 K$. This was partially mitigated by cost efficiencies, which contributed +26%, or +255 K$, to the margin. While the revenue drop is minimal, the cost savings played an important role in limiting the margin decline. Moving forward, attention to both revenue recovery and maintaining cost control will be key to sustaining profitability. Looking at the YTD margin performance, contributions from Client 9 and Client 4 have provided consistent support to year-to-date margins. However, the decline in Client 10’s performance poses a risk to overall profitability. Stabilizing underperforming clients, such as Client 1, will be necessary to maintain YTD margin growth.</v>
      </c>
      <c r="K51" s="591" t="str">
        <f t="shared" si="4"/>
        <v>In November, margin performance reflects a -2% impact from a slight decline in revenue, equating to -19 K$. This revenue impact was largely offset by cost efficiencies, which contributed +22%, or +220 K$, to the margin. While the revenue dip was minimal, the cost management efforts helped limit the overall impact on margins. Maintaining a balance between revenue growth and cost control will be crucial as the year-end approaches. Looking at the YTD margin performance, the strong recovery from Client 1 and consistent performance from Client 7 have helped support year-to-date margins. However, the volatility seen in Client 10 and Client 9 could pose risks to year-end profitability if not addressed.</v>
      </c>
      <c r="L51" s="591" t="str">
        <f t="shared" si="4"/>
        <v>In December, margin performance reflects a -12% impact from a decline in revenue, equating to -118 K$. This revenue decline was partially offset by cost efficiencies, which contributed +40%, or +393 K$, to the margin. While the revenue drop created pressure, the strong focus on operational efficiency helped protect margins. Moving forward, both revenue growth and maintaining cost controls will be essential for future profitability. Looking at the YTD margin performance, strong contributions from Client 9 and Client 8 have helped lift year-to-date margins. However, the declines from Client 10 and Client 7 may pose risks as we transition into the new year. Stabilizing these clients will be critical to maintaining margin strength.</v>
      </c>
    </row>
    <row r="53" spans="1:12" ht="14.5" customHeight="1">
      <c r="A53" s="591" t="s">
        <v>558</v>
      </c>
      <c r="B53" s="594" t="s">
        <v>701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671DD-39EA-4FC7-AD15-0352736775B0}">
  <sheetPr codeName="Sheet15">
    <tabColor rgb="FFFFFF00"/>
  </sheetPr>
  <dimension ref="A1:Y7"/>
  <sheetViews>
    <sheetView topLeftCell="A4" workbookViewId="0">
      <selection activeCell="A7" sqref="A7"/>
    </sheetView>
  </sheetViews>
  <sheetFormatPr baseColWidth="10" defaultColWidth="33.6640625" defaultRowHeight="15"/>
  <cols>
    <col min="1" max="1" width="77.1640625" customWidth="1"/>
  </cols>
  <sheetData>
    <row r="1" spans="1:25">
      <c r="B1" t="s">
        <v>535</v>
      </c>
    </row>
    <row r="2" spans="1:25">
      <c r="B2">
        <v>1</v>
      </c>
      <c r="C2">
        <v>2</v>
      </c>
      <c r="D2">
        <v>3</v>
      </c>
      <c r="E2">
        <v>4</v>
      </c>
      <c r="F2">
        <v>5</v>
      </c>
      <c r="G2">
        <v>6</v>
      </c>
      <c r="H2">
        <v>7</v>
      </c>
      <c r="I2">
        <v>8</v>
      </c>
      <c r="J2">
        <v>9</v>
      </c>
      <c r="K2">
        <v>10</v>
      </c>
      <c r="L2">
        <v>11</v>
      </c>
      <c r="M2">
        <v>12</v>
      </c>
      <c r="O2">
        <v>14</v>
      </c>
      <c r="P2">
        <v>15</v>
      </c>
      <c r="Q2">
        <v>16</v>
      </c>
      <c r="R2">
        <v>17</v>
      </c>
      <c r="S2">
        <v>18</v>
      </c>
      <c r="T2">
        <v>19</v>
      </c>
      <c r="U2">
        <v>20</v>
      </c>
      <c r="V2">
        <v>21</v>
      </c>
      <c r="W2">
        <v>22</v>
      </c>
      <c r="X2">
        <v>23</v>
      </c>
      <c r="Y2">
        <v>24</v>
      </c>
    </row>
    <row r="3" spans="1:25" s="428" customFormat="1" ht="321.5" customHeight="1">
      <c r="A3" s="428" t="s">
        <v>537</v>
      </c>
      <c r="C3" s="428" t="s">
        <v>536</v>
      </c>
      <c r="D3" s="428" t="s">
        <v>539</v>
      </c>
      <c r="E3" s="428" t="s">
        <v>540</v>
      </c>
      <c r="F3" s="428" t="s">
        <v>542</v>
      </c>
      <c r="G3" s="428" t="s">
        <v>544</v>
      </c>
      <c r="H3" s="428" t="s">
        <v>546</v>
      </c>
      <c r="I3" s="428" t="s">
        <v>548</v>
      </c>
      <c r="J3" s="428" t="s">
        <v>550</v>
      </c>
      <c r="K3" s="428" t="s">
        <v>552</v>
      </c>
      <c r="L3" s="428" t="s">
        <v>554</v>
      </c>
      <c r="M3" s="428" t="s">
        <v>556</v>
      </c>
    </row>
    <row r="4" spans="1:25">
      <c r="A4" t="s">
        <v>297</v>
      </c>
      <c r="D4" t="s">
        <v>538</v>
      </c>
      <c r="E4" t="s">
        <v>541</v>
      </c>
      <c r="F4" t="s">
        <v>543</v>
      </c>
      <c r="G4" t="s">
        <v>545</v>
      </c>
      <c r="H4" t="s">
        <v>547</v>
      </c>
      <c r="I4" t="s">
        <v>549</v>
      </c>
      <c r="J4" t="s">
        <v>551</v>
      </c>
      <c r="K4" t="s">
        <v>553</v>
      </c>
      <c r="L4" t="s">
        <v>555</v>
      </c>
      <c r="M4" t="s">
        <v>557</v>
      </c>
    </row>
    <row r="6" spans="1:25">
      <c r="A6" t="s">
        <v>560</v>
      </c>
    </row>
    <row r="7" spans="1:25" ht="409.6">
      <c r="A7" s="578" t="s">
        <v>559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33C32-992F-471D-A2E6-69AA7D4F4F41}">
  <sheetPr codeName="Sheet49">
    <tabColor rgb="FFFFFF00"/>
  </sheetPr>
  <dimension ref="A1:M15"/>
  <sheetViews>
    <sheetView topLeftCell="A15" workbookViewId="0">
      <selection activeCell="F4" sqref="F4"/>
    </sheetView>
  </sheetViews>
  <sheetFormatPr baseColWidth="10" defaultColWidth="8.83203125" defaultRowHeight="138" customHeight="1"/>
  <cols>
    <col min="1" max="4" width="8.83203125" style="2"/>
    <col min="5" max="5" width="39.5" style="2" customWidth="1"/>
    <col min="6" max="6" width="39.5" style="581" customWidth="1"/>
    <col min="7" max="13" width="8.83203125" style="50"/>
    <col min="14" max="16384" width="8.83203125" style="2"/>
  </cols>
  <sheetData>
    <row r="1" spans="1:6" ht="18.5" customHeight="1"/>
    <row r="2" spans="1:6" ht="18.5" customHeight="1"/>
    <row r="3" spans="1:6" ht="138" customHeight="1">
      <c r="B3" s="40" t="s">
        <v>174</v>
      </c>
      <c r="C3" s="40" t="s">
        <v>310</v>
      </c>
      <c r="D3" s="40" t="s">
        <v>855</v>
      </c>
      <c r="E3" s="40" t="s">
        <v>856</v>
      </c>
      <c r="F3" s="40" t="s">
        <v>857</v>
      </c>
    </row>
    <row r="4" spans="1:6" ht="138" customHeight="1">
      <c r="A4" s="2">
        <v>1</v>
      </c>
      <c r="B4" s="40" t="s">
        <v>17</v>
      </c>
      <c r="C4" s="581" t="s">
        <v>858</v>
      </c>
      <c r="D4" s="581" t="s">
        <v>859</v>
      </c>
      <c r="E4" s="40" t="s">
        <v>860</v>
      </c>
      <c r="F4" s="40" t="s">
        <v>883</v>
      </c>
    </row>
    <row r="5" spans="1:6" ht="138" customHeight="1">
      <c r="A5" s="2">
        <v>2</v>
      </c>
      <c r="B5" s="40" t="s">
        <v>18</v>
      </c>
      <c r="C5" s="581" t="s">
        <v>859</v>
      </c>
      <c r="D5" s="581" t="s">
        <v>861</v>
      </c>
      <c r="E5" s="40" t="s">
        <v>862</v>
      </c>
      <c r="F5" s="581" t="s">
        <v>884</v>
      </c>
    </row>
    <row r="6" spans="1:6" ht="138" customHeight="1">
      <c r="A6" s="2">
        <v>3</v>
      </c>
      <c r="B6" s="40" t="s">
        <v>19</v>
      </c>
      <c r="C6" s="581" t="s">
        <v>861</v>
      </c>
      <c r="D6" s="581" t="s">
        <v>863</v>
      </c>
      <c r="E6" s="40" t="s">
        <v>864</v>
      </c>
      <c r="F6" s="581" t="s">
        <v>885</v>
      </c>
    </row>
    <row r="7" spans="1:6" ht="138" customHeight="1">
      <c r="A7" s="2">
        <v>4</v>
      </c>
      <c r="B7" s="40" t="s">
        <v>20</v>
      </c>
      <c r="C7" s="581" t="s">
        <v>863</v>
      </c>
      <c r="D7" s="581" t="s">
        <v>865</v>
      </c>
      <c r="E7" s="40" t="s">
        <v>866</v>
      </c>
      <c r="F7" s="581" t="s">
        <v>886</v>
      </c>
    </row>
    <row r="8" spans="1:6" ht="138" customHeight="1">
      <c r="A8" s="2">
        <v>5</v>
      </c>
      <c r="B8" s="40" t="s">
        <v>21</v>
      </c>
      <c r="C8" s="581" t="s">
        <v>865</v>
      </c>
      <c r="D8" s="581" t="s">
        <v>867</v>
      </c>
      <c r="E8" s="40" t="s">
        <v>868</v>
      </c>
      <c r="F8" s="581" t="s">
        <v>887</v>
      </c>
    </row>
    <row r="9" spans="1:6" ht="138" customHeight="1">
      <c r="A9" s="2">
        <v>6</v>
      </c>
      <c r="B9" s="40" t="s">
        <v>22</v>
      </c>
      <c r="C9" s="581" t="s">
        <v>867</v>
      </c>
      <c r="D9" s="581" t="s">
        <v>869</v>
      </c>
      <c r="E9" s="40" t="s">
        <v>870</v>
      </c>
      <c r="F9" s="581" t="s">
        <v>888</v>
      </c>
    </row>
    <row r="10" spans="1:6" ht="138" customHeight="1">
      <c r="A10" s="2">
        <v>7</v>
      </c>
      <c r="B10" s="40" t="s">
        <v>23</v>
      </c>
      <c r="C10" s="581" t="s">
        <v>869</v>
      </c>
      <c r="D10" s="581" t="s">
        <v>871</v>
      </c>
      <c r="E10" s="40" t="s">
        <v>872</v>
      </c>
      <c r="F10" s="581" t="s">
        <v>889</v>
      </c>
    </row>
    <row r="11" spans="1:6" ht="138" customHeight="1">
      <c r="A11" s="2">
        <v>8</v>
      </c>
      <c r="B11" s="40" t="s">
        <v>24</v>
      </c>
      <c r="C11" s="581" t="s">
        <v>871</v>
      </c>
      <c r="D11" s="581" t="s">
        <v>873</v>
      </c>
      <c r="E11" s="40" t="s">
        <v>874</v>
      </c>
      <c r="F11" s="581" t="s">
        <v>890</v>
      </c>
    </row>
    <row r="12" spans="1:6" ht="138" customHeight="1">
      <c r="A12" s="2">
        <v>9</v>
      </c>
      <c r="B12" s="40" t="s">
        <v>25</v>
      </c>
      <c r="C12" s="581" t="s">
        <v>873</v>
      </c>
      <c r="D12" s="581" t="s">
        <v>875</v>
      </c>
      <c r="E12" s="40" t="s">
        <v>876</v>
      </c>
      <c r="F12" s="581" t="s">
        <v>891</v>
      </c>
    </row>
    <row r="13" spans="1:6" ht="138" customHeight="1">
      <c r="A13" s="2">
        <v>10</v>
      </c>
      <c r="B13" s="40" t="s">
        <v>26</v>
      </c>
      <c r="C13" s="581" t="s">
        <v>875</v>
      </c>
      <c r="D13" s="581" t="s">
        <v>877</v>
      </c>
      <c r="E13" s="40" t="s">
        <v>878</v>
      </c>
      <c r="F13" s="581" t="s">
        <v>892</v>
      </c>
    </row>
    <row r="14" spans="1:6" ht="138" customHeight="1">
      <c r="A14" s="2">
        <v>11</v>
      </c>
      <c r="B14" s="40" t="s">
        <v>27</v>
      </c>
      <c r="C14" s="581" t="s">
        <v>877</v>
      </c>
      <c r="D14" s="581" t="s">
        <v>879</v>
      </c>
      <c r="E14" s="40" t="s">
        <v>880</v>
      </c>
      <c r="F14" s="581" t="s">
        <v>893</v>
      </c>
    </row>
    <row r="15" spans="1:6" ht="138" customHeight="1">
      <c r="A15" s="2">
        <v>12</v>
      </c>
      <c r="B15" s="40" t="s">
        <v>28</v>
      </c>
      <c r="C15" s="581" t="s">
        <v>879</v>
      </c>
      <c r="D15" s="581" t="s">
        <v>881</v>
      </c>
      <c r="E15" s="40" t="s">
        <v>882</v>
      </c>
      <c r="F15" s="581" t="s">
        <v>894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0046F-5671-4562-9259-357731A5EC09}">
  <sheetPr codeName="Sheet21">
    <tabColor theme="4" tint="0.79998168889431442"/>
  </sheetPr>
  <dimension ref="A1:AH41"/>
  <sheetViews>
    <sheetView showGridLines="0" zoomScale="80" zoomScaleNormal="80" workbookViewId="0">
      <selection activeCell="A9" sqref="A9:XFD9"/>
    </sheetView>
  </sheetViews>
  <sheetFormatPr baseColWidth="10" defaultColWidth="8.83203125" defaultRowHeight="15"/>
  <cols>
    <col min="1" max="1" width="2.1640625" style="7" customWidth="1"/>
    <col min="2" max="2" width="33.1640625" style="7" customWidth="1"/>
    <col min="3" max="3" width="2.83203125" style="7" customWidth="1"/>
    <col min="4" max="4" width="2.83203125" style="236" customWidth="1"/>
    <col min="5" max="5" width="2.1640625" style="236" customWidth="1"/>
    <col min="6" max="6" width="44.83203125" style="243" bestFit="1" customWidth="1"/>
    <col min="7" max="7" width="10.83203125" style="344" bestFit="1" customWidth="1"/>
    <col min="8" max="14" width="12.1640625" style="344" bestFit="1" customWidth="1"/>
    <col min="15" max="18" width="13.83203125" style="344" bestFit="1" customWidth="1"/>
    <col min="19" max="19" width="1.5" style="236" customWidth="1"/>
    <col min="20" max="20" width="8.83203125" style="236"/>
    <col min="21" max="21" width="9.83203125" style="114" bestFit="1" customWidth="1"/>
    <col min="22" max="16384" width="8.83203125" style="114"/>
  </cols>
  <sheetData>
    <row r="1" spans="1:34" ht="19">
      <c r="D1" s="114"/>
      <c r="E1" s="114"/>
      <c r="F1" s="118"/>
      <c r="G1" s="121"/>
      <c r="H1" s="121"/>
      <c r="I1" s="121"/>
      <c r="J1" s="205"/>
      <c r="K1" s="205"/>
      <c r="L1" s="205"/>
      <c r="M1" s="205"/>
      <c r="N1" s="205"/>
      <c r="O1" s="342" t="s">
        <v>258</v>
      </c>
      <c r="P1" s="342" t="s">
        <v>256</v>
      </c>
      <c r="Q1" s="342" t="s">
        <v>259</v>
      </c>
      <c r="R1" s="342" t="s">
        <v>257</v>
      </c>
      <c r="S1" s="114"/>
      <c r="T1" s="114"/>
    </row>
    <row r="2" spans="1:34" ht="16" thickBot="1">
      <c r="D2" s="114"/>
      <c r="E2" s="114"/>
      <c r="F2" s="114"/>
      <c r="G2" s="205"/>
      <c r="H2" s="205"/>
      <c r="I2" s="205"/>
      <c r="J2" s="205"/>
      <c r="K2" s="205"/>
      <c r="L2" s="205"/>
      <c r="M2" s="343"/>
      <c r="N2" s="205"/>
      <c r="O2" s="205"/>
      <c r="P2" s="205"/>
      <c r="Q2" s="205"/>
      <c r="R2" s="205"/>
      <c r="S2" s="114"/>
      <c r="T2" s="114"/>
    </row>
    <row r="3" spans="1:34" s="287" customFormat="1" ht="26.5" customHeight="1" thickBot="1">
      <c r="A3" s="286"/>
      <c r="B3" s="286"/>
      <c r="C3" s="286"/>
      <c r="F3" s="281" t="s">
        <v>174</v>
      </c>
      <c r="G3" s="285">
        <v>1</v>
      </c>
      <c r="H3" s="285">
        <v>2</v>
      </c>
      <c r="I3" s="285">
        <v>3</v>
      </c>
      <c r="J3" s="285">
        <v>4</v>
      </c>
      <c r="K3" s="285">
        <v>5</v>
      </c>
      <c r="L3" s="285">
        <v>6</v>
      </c>
      <c r="M3" s="285">
        <v>7</v>
      </c>
      <c r="N3" s="285">
        <v>8</v>
      </c>
      <c r="O3" s="285">
        <v>9</v>
      </c>
      <c r="P3" s="285">
        <v>10</v>
      </c>
      <c r="Q3" s="285">
        <v>11</v>
      </c>
      <c r="R3" s="285">
        <v>12</v>
      </c>
      <c r="T3" s="285">
        <v>2022</v>
      </c>
    </row>
    <row r="4" spans="1:34">
      <c r="D4" s="114"/>
      <c r="E4" s="114"/>
      <c r="F4" s="118"/>
      <c r="G4" s="205"/>
      <c r="H4" s="205"/>
      <c r="I4" s="205"/>
      <c r="J4" s="205"/>
      <c r="K4" s="205"/>
      <c r="L4" s="205"/>
      <c r="M4" s="205"/>
      <c r="N4" s="205"/>
      <c r="O4" s="205"/>
      <c r="P4" s="205"/>
      <c r="Q4" s="205"/>
      <c r="R4" s="205"/>
      <c r="S4" s="114"/>
      <c r="T4" s="114"/>
    </row>
    <row r="6" spans="1:34" ht="19">
      <c r="B6" s="240"/>
    </row>
    <row r="7" spans="1:34" ht="19">
      <c r="B7" s="240"/>
      <c r="E7" s="234"/>
      <c r="F7" s="251"/>
      <c r="G7" s="205"/>
      <c r="H7" s="205"/>
      <c r="I7" s="205"/>
      <c r="J7" s="205"/>
      <c r="K7" s="205"/>
      <c r="L7" s="205"/>
      <c r="M7" s="205"/>
      <c r="N7" s="205"/>
      <c r="O7" s="205"/>
      <c r="P7" s="205"/>
      <c r="Q7" s="205"/>
      <c r="R7" s="762"/>
      <c r="S7" s="762"/>
    </row>
    <row r="8" spans="1:34" s="204" customFormat="1" ht="25">
      <c r="A8" s="241"/>
      <c r="B8" s="241"/>
      <c r="C8" s="241"/>
      <c r="D8" s="244"/>
      <c r="E8" s="252"/>
      <c r="F8" s="366" t="s">
        <v>176</v>
      </c>
      <c r="G8" s="367"/>
      <c r="H8" s="367"/>
      <c r="I8" s="367"/>
      <c r="J8" s="367"/>
      <c r="K8" s="367"/>
      <c r="L8" s="367"/>
      <c r="M8" s="367"/>
      <c r="N8" s="367"/>
      <c r="O8" s="367"/>
      <c r="P8" s="367"/>
      <c r="Q8" s="367"/>
      <c r="R8" s="368"/>
      <c r="S8" s="234"/>
      <c r="T8" s="244"/>
    </row>
    <row r="9" spans="1:34" ht="33.5" customHeight="1">
      <c r="B9" s="242"/>
      <c r="E9" s="234"/>
      <c r="F9" s="369"/>
      <c r="G9" s="370" t="s">
        <v>17</v>
      </c>
      <c r="H9" s="370" t="s">
        <v>18</v>
      </c>
      <c r="I9" s="370" t="s">
        <v>19</v>
      </c>
      <c r="J9" s="370" t="s">
        <v>20</v>
      </c>
      <c r="K9" s="370" t="s">
        <v>21</v>
      </c>
      <c r="L9" s="370" t="s">
        <v>22</v>
      </c>
      <c r="M9" s="370" t="s">
        <v>23</v>
      </c>
      <c r="N9" s="370" t="s">
        <v>24</v>
      </c>
      <c r="O9" s="370" t="s">
        <v>25</v>
      </c>
      <c r="P9" s="370" t="s">
        <v>26</v>
      </c>
      <c r="Q9" s="370" t="s">
        <v>27</v>
      </c>
      <c r="R9" s="370" t="s">
        <v>28</v>
      </c>
      <c r="S9" s="362"/>
    </row>
    <row r="10" spans="1:34" ht="19">
      <c r="B10" s="240"/>
      <c r="E10" s="234"/>
      <c r="F10" s="207" t="s">
        <v>98</v>
      </c>
      <c r="G10" s="364">
        <f>-SUMIFS('Jounal entries final'!$H:$H,'Jounal entries final'!$E:$E,$F10,'Jounal entries final'!$B:$B,G$3,'Jounal entries final'!$C:$C,$T$3)</f>
        <v>13745707</v>
      </c>
      <c r="H10" s="364">
        <f>'LTM P&amp;L'!D24+'LTM P&amp;L'!E24</f>
        <v>26472174</v>
      </c>
      <c r="I10" s="364">
        <f>H10+'LTM P&amp;L'!F24</f>
        <v>37268834</v>
      </c>
      <c r="J10" s="364">
        <f>I10+'LTM P&amp;L'!G24</f>
        <v>49747232</v>
      </c>
      <c r="K10" s="364">
        <f>J10+'LTM P&amp;L'!H24</f>
        <v>61624322</v>
      </c>
      <c r="L10" s="364">
        <f>K10+'LTM P&amp;L'!I24</f>
        <v>74202138</v>
      </c>
      <c r="M10" s="364">
        <f>L10+'LTM P&amp;L'!J24</f>
        <v>87320029</v>
      </c>
      <c r="N10" s="364">
        <f>M10+'LTM P&amp;L'!K24</f>
        <v>98386761</v>
      </c>
      <c r="O10" s="364">
        <f>N10+'LTM P&amp;L'!L24</f>
        <v>109874347</v>
      </c>
      <c r="P10" s="364">
        <f>O10+'LTM P&amp;L'!M24</f>
        <v>121227538</v>
      </c>
      <c r="Q10" s="364">
        <f>P10+'LTM P&amp;L'!N24</f>
        <v>132507276</v>
      </c>
      <c r="R10" s="364">
        <f>Q10+'LTM P&amp;L'!O24</f>
        <v>143304844</v>
      </c>
      <c r="S10" s="114"/>
      <c r="U10" s="364"/>
      <c r="V10" s="364"/>
      <c r="W10" s="364"/>
      <c r="X10" s="364"/>
      <c r="Y10" s="364"/>
      <c r="Z10" s="364"/>
      <c r="AA10" s="364"/>
      <c r="AB10" s="364"/>
      <c r="AC10" s="364"/>
      <c r="AD10" s="364"/>
      <c r="AE10" s="364"/>
      <c r="AF10" s="364"/>
      <c r="AG10" s="364"/>
      <c r="AH10" s="364"/>
    </row>
    <row r="11" spans="1:34" ht="18">
      <c r="E11" s="234"/>
      <c r="F11" s="207" t="s">
        <v>143</v>
      </c>
      <c r="G11" s="364">
        <f>SUMIFS('Jounal entries final'!$H:$H,'Jounal entries final'!$E:$E,$F11,'Jounal entries final'!$B:$B,G$3,'Jounal entries final'!$C:$C,$T$3)</f>
        <v>10562853.030000003</v>
      </c>
      <c r="H11" s="364">
        <f>'LTM P&amp;L'!D25+'LTM P&amp;L'!E25</f>
        <v>19586471.108000003</v>
      </c>
      <c r="I11" s="364">
        <f>H11+'LTM P&amp;L'!F25</f>
        <v>27995019.340000004</v>
      </c>
      <c r="J11" s="364">
        <f>I11+'LTM P&amp;L'!G25</f>
        <v>37577611.626000002</v>
      </c>
      <c r="K11" s="364">
        <f>J11+'LTM P&amp;L'!H25</f>
        <v>47059524.312000006</v>
      </c>
      <c r="L11" s="364">
        <f>K11+'LTM P&amp;L'!I25</f>
        <v>54934699.738000005</v>
      </c>
      <c r="M11" s="364">
        <f>L11+'LTM P&amp;L'!J25</f>
        <v>64581632.736000001</v>
      </c>
      <c r="N11" s="364">
        <f>M11+'LTM P&amp;L'!K25</f>
        <v>73521755.598000005</v>
      </c>
      <c r="O11" s="364">
        <f>N11+'LTM P&amp;L'!L25</f>
        <v>81719432.316</v>
      </c>
      <c r="P11" s="364">
        <f>O11+'LTM P&amp;L'!M25</f>
        <v>90076683.643999994</v>
      </c>
      <c r="Q11" s="364">
        <f>P11+'LTM P&amp;L'!N25</f>
        <v>98600212.796000004</v>
      </c>
      <c r="R11" s="364">
        <f>Q11+'LTM P&amp;L'!O25</f>
        <v>106365996.066</v>
      </c>
      <c r="S11" s="114"/>
      <c r="U11" s="364"/>
      <c r="V11" s="364"/>
      <c r="W11" s="364"/>
      <c r="X11" s="364"/>
      <c r="Y11" s="364"/>
      <c r="Z11" s="364"/>
      <c r="AA11" s="364"/>
      <c r="AB11" s="364"/>
      <c r="AC11" s="364"/>
      <c r="AD11" s="364"/>
      <c r="AE11" s="364"/>
      <c r="AF11" s="364"/>
      <c r="AG11" s="364"/>
      <c r="AH11" s="364"/>
    </row>
    <row r="12" spans="1:34" ht="19">
      <c r="B12" s="240"/>
      <c r="E12" s="234"/>
      <c r="F12" s="207"/>
      <c r="G12" s="347"/>
      <c r="H12" s="338"/>
      <c r="I12" s="338"/>
      <c r="J12" s="339"/>
      <c r="K12" s="338"/>
      <c r="L12" s="205"/>
      <c r="M12" s="205"/>
      <c r="N12" s="205"/>
      <c r="O12" s="205"/>
      <c r="P12" s="205"/>
      <c r="Q12" s="205"/>
      <c r="R12" s="205"/>
      <c r="S12" s="114"/>
    </row>
    <row r="13" spans="1:34" ht="18">
      <c r="E13" s="234"/>
      <c r="F13" s="371" t="s">
        <v>181</v>
      </c>
      <c r="G13" s="363">
        <f>+G10-G11</f>
        <v>3182853.9699999969</v>
      </c>
      <c r="H13" s="363">
        <f t="shared" ref="H13:R13" si="0">+H10-H11</f>
        <v>6885702.8919999972</v>
      </c>
      <c r="I13" s="363">
        <f t="shared" si="0"/>
        <v>9273814.6599999964</v>
      </c>
      <c r="J13" s="363">
        <f t="shared" si="0"/>
        <v>12169620.373999998</v>
      </c>
      <c r="K13" s="363">
        <f t="shared" si="0"/>
        <v>14564797.687999994</v>
      </c>
      <c r="L13" s="363">
        <f t="shared" si="0"/>
        <v>19267438.261999995</v>
      </c>
      <c r="M13" s="363">
        <f t="shared" si="0"/>
        <v>22738396.263999999</v>
      </c>
      <c r="N13" s="363">
        <f t="shared" si="0"/>
        <v>24865005.401999995</v>
      </c>
      <c r="O13" s="363">
        <f t="shared" si="0"/>
        <v>28154914.684</v>
      </c>
      <c r="P13" s="363">
        <f t="shared" si="0"/>
        <v>31150854.356000006</v>
      </c>
      <c r="Q13" s="363">
        <f t="shared" si="0"/>
        <v>33907063.203999996</v>
      </c>
      <c r="R13" s="363">
        <f t="shared" si="0"/>
        <v>36938847.934</v>
      </c>
      <c r="S13" s="114"/>
    </row>
    <row r="14" spans="1:34" ht="19">
      <c r="B14" s="240"/>
      <c r="E14" s="114"/>
      <c r="F14" s="207"/>
      <c r="G14" s="365">
        <f>G13/G10</f>
        <v>0.23155258365393624</v>
      </c>
      <c r="H14" s="365">
        <f>H13/H10</f>
        <v>0.26011097131652267</v>
      </c>
      <c r="I14" s="365">
        <f t="shared" ref="I14:R14" si="1">I13/I10</f>
        <v>0.24883565340412842</v>
      </c>
      <c r="J14" s="365">
        <f t="shared" si="1"/>
        <v>0.24462909562485805</v>
      </c>
      <c r="K14" s="365">
        <f t="shared" si="1"/>
        <v>0.236348201737619</v>
      </c>
      <c r="L14" s="365">
        <f t="shared" si="1"/>
        <v>0.25966149738165217</v>
      </c>
      <c r="M14" s="365">
        <f t="shared" si="1"/>
        <v>0.26040298571133086</v>
      </c>
      <c r="N14" s="365">
        <f t="shared" si="1"/>
        <v>0.25272714691766301</v>
      </c>
      <c r="O14" s="365">
        <f t="shared" si="1"/>
        <v>0.25624648020888807</v>
      </c>
      <c r="P14" s="365">
        <f t="shared" si="1"/>
        <v>0.25696186584272629</v>
      </c>
      <c r="Q14" s="365">
        <f t="shared" si="1"/>
        <v>0.25588831215577923</v>
      </c>
      <c r="R14" s="365">
        <f t="shared" si="1"/>
        <v>0.25776412647991159</v>
      </c>
      <c r="S14" s="114"/>
    </row>
    <row r="15" spans="1:34" ht="18">
      <c r="E15" s="114"/>
      <c r="F15" s="118"/>
      <c r="G15" s="348"/>
      <c r="H15" s="338"/>
      <c r="I15" s="338"/>
      <c r="J15" s="339"/>
      <c r="K15" s="338"/>
      <c r="L15" s="205"/>
      <c r="M15" s="205"/>
      <c r="N15" s="205"/>
      <c r="O15" s="205"/>
      <c r="P15" s="205"/>
      <c r="Q15" s="205"/>
      <c r="R15" s="205"/>
      <c r="S15" s="114"/>
    </row>
    <row r="16" spans="1:34" ht="19">
      <c r="B16" s="240"/>
      <c r="E16" s="234"/>
      <c r="F16" s="207" t="s">
        <v>157</v>
      </c>
      <c r="G16" s="364">
        <f>SUMIFS('Jounal entries final'!$H:$H,'Jounal entries final'!$E:$E,$F16,'Jounal entries final'!$B:$B,G$3,'Jounal entries final'!$C:$C,$T$3)</f>
        <v>991135</v>
      </c>
      <c r="H16" s="364">
        <f>'LTM P&amp;L'!D30+'LTM P&amp;L'!E30</f>
        <v>1929732</v>
      </c>
      <c r="I16" s="364">
        <f>H16+'LTM P&amp;L'!F30</f>
        <v>2936938</v>
      </c>
      <c r="J16" s="364">
        <f>I16+'LTM P&amp;L'!G30</f>
        <v>3984966</v>
      </c>
      <c r="K16" s="364">
        <f>J16+'LTM P&amp;L'!H30</f>
        <v>4885378</v>
      </c>
      <c r="L16" s="364">
        <f>K16+'LTM P&amp;L'!I30</f>
        <v>5812194</v>
      </c>
      <c r="M16" s="364">
        <f>L16+'LTM P&amp;L'!J30</f>
        <v>6942400</v>
      </c>
      <c r="N16" s="364">
        <f>M16+'LTM P&amp;L'!K30</f>
        <v>7976705</v>
      </c>
      <c r="O16" s="364">
        <f>N16+'LTM P&amp;L'!L30</f>
        <v>8903680</v>
      </c>
      <c r="P16" s="364">
        <f>O16+'LTM P&amp;L'!M30</f>
        <v>9974911</v>
      </c>
      <c r="Q16" s="364">
        <f>P16+'LTM P&amp;L'!N30</f>
        <v>11040700</v>
      </c>
      <c r="R16" s="364">
        <f>Q16+'LTM P&amp;L'!O30</f>
        <v>12073920</v>
      </c>
      <c r="S16" s="364">
        <f>SUMIFS('Jounal entries final'!$H:$H,'Jounal entries final'!$E:$E,$F16,'Jounal entries final'!$B:$B,S$3,'Jounal entries final'!$C:$C,$T$3)</f>
        <v>0</v>
      </c>
    </row>
    <row r="17" spans="2:19" ht="22">
      <c r="E17" s="252"/>
      <c r="F17" s="207" t="s">
        <v>154</v>
      </c>
      <c r="G17" s="364">
        <f>SUMIFS('Jounal entries final'!$H:$H,'Jounal entries final'!$E:$E,$F17,'Jounal entries final'!$B:$B,G$3,'Jounal entries final'!$C:$C,$T$3)</f>
        <v>778137</v>
      </c>
      <c r="H17" s="364">
        <f>'LTM P&amp;L'!D31+'LTM P&amp;L'!E31</f>
        <v>1562025</v>
      </c>
      <c r="I17" s="364">
        <f>H17+'LTM P&amp;L'!F31</f>
        <v>2366372</v>
      </c>
      <c r="J17" s="364">
        <f>I17+'LTM P&amp;L'!G31</f>
        <v>3163914</v>
      </c>
      <c r="K17" s="364">
        <f>J17+'LTM P&amp;L'!H31</f>
        <v>3955836</v>
      </c>
      <c r="L17" s="364">
        <f>K17+'LTM P&amp;L'!I31</f>
        <v>4737731</v>
      </c>
      <c r="M17" s="364">
        <f>L17+'LTM P&amp;L'!J31</f>
        <v>5522579</v>
      </c>
      <c r="N17" s="364">
        <f>M17+'LTM P&amp;L'!K31</f>
        <v>6326757</v>
      </c>
      <c r="O17" s="364">
        <f>N17+'LTM P&amp;L'!L31</f>
        <v>7103372</v>
      </c>
      <c r="P17" s="364">
        <f>O17+'LTM P&amp;L'!M31</f>
        <v>7892468</v>
      </c>
      <c r="Q17" s="364">
        <f>P17+'LTM P&amp;L'!N31</f>
        <v>8690159</v>
      </c>
      <c r="R17" s="364">
        <f>Q17+'LTM P&amp;L'!O31</f>
        <v>9494347</v>
      </c>
      <c r="S17" s="364">
        <f>SUMIFS('Jounal entries final'!$H:$H,'Jounal entries final'!$E:$E,$F17,'Jounal entries final'!$B:$B,S$3,'Jounal entries final'!$C:$C,$T$3)</f>
        <v>0</v>
      </c>
    </row>
    <row r="18" spans="2:19" ht="19">
      <c r="B18" s="240"/>
      <c r="E18" s="234"/>
      <c r="F18" s="207" t="s">
        <v>155</v>
      </c>
      <c r="G18" s="364">
        <f>SUMIFS('Jounal entries final'!$H:$H,'Jounal entries final'!$E:$E,$F18,'Jounal entries final'!$B:$B,G$3,'Jounal entries final'!$C:$C,$T$3)</f>
        <v>795212</v>
      </c>
      <c r="H18" s="364">
        <f>'LTM P&amp;L'!D32+'LTM P&amp;L'!E32</f>
        <v>1585470</v>
      </c>
      <c r="I18" s="364">
        <f>H18+'LTM P&amp;L'!F32</f>
        <v>2387627</v>
      </c>
      <c r="J18" s="364">
        <f>I18+'LTM P&amp;L'!G32</f>
        <v>3182110</v>
      </c>
      <c r="K18" s="364">
        <f>J18+'LTM P&amp;L'!H32</f>
        <v>3966307</v>
      </c>
      <c r="L18" s="364">
        <f>K18+'LTM P&amp;L'!I32</f>
        <v>4760890</v>
      </c>
      <c r="M18" s="364">
        <f>L18+'LTM P&amp;L'!J32</f>
        <v>5557401</v>
      </c>
      <c r="N18" s="364">
        <f>M18+'LTM P&amp;L'!K32</f>
        <v>6361258</v>
      </c>
      <c r="O18" s="364">
        <f>N18+'LTM P&amp;L'!L32</f>
        <v>7150632</v>
      </c>
      <c r="P18" s="364">
        <f>O18+'LTM P&amp;L'!M32</f>
        <v>7947394</v>
      </c>
      <c r="Q18" s="364">
        <f>P18+'LTM P&amp;L'!N32</f>
        <v>8740432</v>
      </c>
      <c r="R18" s="364">
        <f>Q18+'LTM P&amp;L'!O32</f>
        <v>9537007</v>
      </c>
      <c r="S18" s="364">
        <f>SUMIFS('Jounal entries final'!$H:$H,'Jounal entries final'!$E:$E,$F18,'Jounal entries final'!$B:$B,S$3,'Jounal entries final'!$C:$C,$T$3)</f>
        <v>0</v>
      </c>
    </row>
    <row r="19" spans="2:19" ht="18">
      <c r="E19" s="234"/>
      <c r="F19" s="207"/>
      <c r="G19" s="346"/>
      <c r="H19" s="338"/>
      <c r="I19" s="338"/>
      <c r="J19" s="339"/>
      <c r="K19" s="338"/>
      <c r="L19" s="205"/>
      <c r="M19" s="345"/>
      <c r="N19" s="272"/>
      <c r="O19" s="272"/>
      <c r="P19" s="272"/>
      <c r="Q19" s="272"/>
      <c r="R19" s="272"/>
      <c r="S19" s="234"/>
    </row>
    <row r="20" spans="2:19" ht="19">
      <c r="B20" s="240"/>
      <c r="E20" s="234"/>
      <c r="F20" s="371" t="s">
        <v>182</v>
      </c>
      <c r="G20" s="363">
        <f>+G13-SUM(G16:G18)</f>
        <v>618369.96999999695</v>
      </c>
      <c r="H20" s="363">
        <f>+H13-SUM(H16:H18)</f>
        <v>1808475.8919999972</v>
      </c>
      <c r="I20" s="363">
        <f t="shared" ref="I20:R20" si="2">+I13-SUM(I16:I18)</f>
        <v>1582877.6599999964</v>
      </c>
      <c r="J20" s="363">
        <f t="shared" si="2"/>
        <v>1838630.373999998</v>
      </c>
      <c r="K20" s="363">
        <f t="shared" si="2"/>
        <v>1757276.6879999936</v>
      </c>
      <c r="L20" s="363">
        <f t="shared" si="2"/>
        <v>3956623.2619999945</v>
      </c>
      <c r="M20" s="363">
        <f t="shared" si="2"/>
        <v>4716016.2639999986</v>
      </c>
      <c r="N20" s="363">
        <f t="shared" si="2"/>
        <v>4200285.4019999951</v>
      </c>
      <c r="O20" s="363">
        <f t="shared" si="2"/>
        <v>4997230.6840000004</v>
      </c>
      <c r="P20" s="363">
        <f t="shared" si="2"/>
        <v>5336081.3560000062</v>
      </c>
      <c r="Q20" s="363">
        <f t="shared" si="2"/>
        <v>5435772.2039999962</v>
      </c>
      <c r="R20" s="363">
        <f t="shared" si="2"/>
        <v>5833573.9340000004</v>
      </c>
      <c r="S20" s="234"/>
    </row>
    <row r="21" spans="2:19" ht="19">
      <c r="E21" s="234"/>
      <c r="F21" s="207"/>
      <c r="G21" s="346"/>
      <c r="H21" s="338"/>
      <c r="I21" s="338"/>
      <c r="J21" s="339"/>
      <c r="K21" s="338"/>
      <c r="L21" s="205"/>
      <c r="M21" s="345"/>
      <c r="N21" s="336"/>
      <c r="O21" s="349"/>
      <c r="P21" s="349"/>
      <c r="Q21" s="350"/>
      <c r="R21" s="350"/>
      <c r="S21" s="234"/>
    </row>
    <row r="22" spans="2:19" ht="19">
      <c r="B22" s="240"/>
      <c r="E22" s="234"/>
      <c r="F22" s="207" t="s">
        <v>158</v>
      </c>
      <c r="G22" s="364">
        <f>-SUMIFS('Jounal entries final'!$H:$H,'Jounal entries final'!$E:$E,$F22,'Jounal entries final'!$B:$B,G$3,'Jounal entries final'!$C:$C,$T$3)</f>
        <v>1222608</v>
      </c>
      <c r="H22" s="364">
        <f>'LTM P&amp;L'!D36+'LTM P&amp;L'!E36</f>
        <v>2452259</v>
      </c>
      <c r="I22" s="364">
        <f>H22+'LTM P&amp;L'!F36</f>
        <v>3663667</v>
      </c>
      <c r="J22" s="364">
        <f>I22+'LTM P&amp;L'!G36</f>
        <v>4878120</v>
      </c>
      <c r="K22" s="364">
        <f>J22+'LTM P&amp;L'!H36</f>
        <v>6079765</v>
      </c>
      <c r="L22" s="364">
        <f>K22+'LTM P&amp;L'!I36</f>
        <v>7292234</v>
      </c>
      <c r="M22" s="364">
        <f>L22+'LTM P&amp;L'!J36</f>
        <v>8510248</v>
      </c>
      <c r="N22" s="364">
        <f>M22+'LTM P&amp;L'!K36</f>
        <v>9724373</v>
      </c>
      <c r="O22" s="364">
        <f>N22+'LTM P&amp;L'!L36</f>
        <v>10957140</v>
      </c>
      <c r="P22" s="364">
        <f>O22+'LTM P&amp;L'!M36</f>
        <v>12162816</v>
      </c>
      <c r="Q22" s="364">
        <f>P22+'LTM P&amp;L'!N36</f>
        <v>13388451</v>
      </c>
      <c r="R22" s="364">
        <f>Q22+'LTM P&amp;L'!O36</f>
        <v>14590432</v>
      </c>
      <c r="S22" s="234"/>
    </row>
    <row r="23" spans="2:19" ht="19">
      <c r="B23" s="240"/>
      <c r="E23" s="114"/>
      <c r="F23" s="207" t="s">
        <v>159</v>
      </c>
      <c r="G23" s="364">
        <f>SUMIFS('Jounal entries final'!$H:$H,'Jounal entries final'!$E:$E,$F23,'Jounal entries final'!$B:$B,G$3,'Jounal entries final'!$C:$C,$T$3)</f>
        <v>1223814</v>
      </c>
      <c r="H23" s="364">
        <f>'LTM P&amp;L'!D37+'LTM P&amp;L'!E37</f>
        <v>2430620</v>
      </c>
      <c r="I23" s="364">
        <f>H23+'LTM P&amp;L'!F37</f>
        <v>3637454</v>
      </c>
      <c r="J23" s="364">
        <f>I23+'LTM P&amp;L'!G37</f>
        <v>4842448</v>
      </c>
      <c r="K23" s="364">
        <f>J23+'LTM P&amp;L'!H37</f>
        <v>6071675</v>
      </c>
      <c r="L23" s="364">
        <f>K23+'LTM P&amp;L'!I37</f>
        <v>7295459</v>
      </c>
      <c r="M23" s="364">
        <f>L23+'LTM P&amp;L'!J37</f>
        <v>8504716</v>
      </c>
      <c r="N23" s="364">
        <f>M23+'LTM P&amp;L'!K37</f>
        <v>9705171</v>
      </c>
      <c r="O23" s="364">
        <f>N23+'LTM P&amp;L'!L37</f>
        <v>10928252</v>
      </c>
      <c r="P23" s="364">
        <f>O23+'LTM P&amp;L'!M37</f>
        <v>12144297</v>
      </c>
      <c r="Q23" s="364">
        <f>P23+'LTM P&amp;L'!N37</f>
        <v>13376484</v>
      </c>
      <c r="R23" s="364">
        <f>Q23+'LTM P&amp;L'!O37</f>
        <v>14580873</v>
      </c>
      <c r="S23" s="234"/>
    </row>
    <row r="24" spans="2:19" ht="19">
      <c r="E24" s="114"/>
      <c r="F24" s="207"/>
      <c r="G24" s="346"/>
      <c r="H24" s="353"/>
      <c r="I24" s="353"/>
      <c r="J24" s="354"/>
      <c r="K24" s="353"/>
      <c r="L24" s="205"/>
      <c r="M24" s="345"/>
      <c r="N24" s="272"/>
      <c r="O24" s="272"/>
      <c r="P24" s="272"/>
      <c r="Q24" s="272"/>
      <c r="R24" s="272"/>
      <c r="S24" s="234"/>
    </row>
    <row r="25" spans="2:19" ht="19">
      <c r="B25" s="240"/>
      <c r="E25" s="234"/>
      <c r="F25" s="371" t="s">
        <v>183</v>
      </c>
      <c r="G25" s="363">
        <f>+G20+G22-G23</f>
        <v>617163.96999999695</v>
      </c>
      <c r="H25" s="363">
        <f>+H20+H22-H23</f>
        <v>1830114.8919999972</v>
      </c>
      <c r="I25" s="363">
        <f t="shared" ref="I25:R25" si="3">+I20+I22-I23</f>
        <v>1609090.6599999964</v>
      </c>
      <c r="J25" s="363">
        <f t="shared" si="3"/>
        <v>1874302.373999998</v>
      </c>
      <c r="K25" s="363">
        <f t="shared" si="3"/>
        <v>1765366.6879999936</v>
      </c>
      <c r="L25" s="363">
        <f t="shared" si="3"/>
        <v>3953398.2619999945</v>
      </c>
      <c r="M25" s="363">
        <f t="shared" si="3"/>
        <v>4721548.2639999986</v>
      </c>
      <c r="N25" s="363">
        <f t="shared" si="3"/>
        <v>4219487.4019999951</v>
      </c>
      <c r="O25" s="363">
        <f t="shared" si="3"/>
        <v>5026118.6840000004</v>
      </c>
      <c r="P25" s="363">
        <f t="shared" si="3"/>
        <v>5354600.3560000062</v>
      </c>
      <c r="Q25" s="363">
        <f t="shared" si="3"/>
        <v>5447739.2039999962</v>
      </c>
      <c r="R25" s="363">
        <f t="shared" si="3"/>
        <v>5843132.9340000004</v>
      </c>
      <c r="S25" s="234"/>
    </row>
    <row r="26" spans="2:19" ht="22">
      <c r="E26" s="252"/>
      <c r="F26" s="306"/>
      <c r="G26" s="336"/>
      <c r="H26" s="336"/>
      <c r="I26" s="352"/>
      <c r="J26" s="352"/>
      <c r="K26" s="352"/>
      <c r="L26" s="205"/>
      <c r="M26" s="345"/>
      <c r="N26" s="336"/>
      <c r="O26" s="351"/>
      <c r="P26" s="352"/>
      <c r="Q26" s="345"/>
      <c r="R26" s="345"/>
      <c r="S26" s="234"/>
    </row>
    <row r="27" spans="2:19" ht="34">
      <c r="B27" s="240"/>
      <c r="E27" s="293"/>
      <c r="F27" s="289"/>
      <c r="G27" s="301"/>
      <c r="H27" s="301"/>
      <c r="I27" s="355"/>
      <c r="J27" s="302"/>
      <c r="K27" s="355"/>
      <c r="M27" s="355"/>
      <c r="N27" s="781"/>
      <c r="O27" s="782"/>
      <c r="P27" s="782"/>
      <c r="Q27" s="782"/>
      <c r="R27" s="782"/>
      <c r="S27" s="293"/>
    </row>
    <row r="28" spans="2:19" ht="19">
      <c r="E28" s="293"/>
      <c r="F28" s="249"/>
      <c r="G28" s="801"/>
      <c r="H28" s="801"/>
      <c r="I28" s="355"/>
      <c r="J28" s="355"/>
      <c r="K28" s="355"/>
      <c r="M28" s="355"/>
      <c r="N28" s="782"/>
      <c r="O28" s="782"/>
      <c r="P28" s="782"/>
      <c r="Q28" s="782"/>
      <c r="R28" s="782"/>
      <c r="S28" s="293"/>
    </row>
    <row r="29" spans="2:19" ht="19">
      <c r="B29" s="240"/>
      <c r="E29" s="293"/>
      <c r="F29" s="249"/>
      <c r="G29" s="801"/>
      <c r="H29" s="801"/>
      <c r="I29" s="355"/>
      <c r="J29" s="355"/>
      <c r="K29" s="355"/>
      <c r="M29" s="355"/>
      <c r="N29" s="782"/>
      <c r="O29" s="782"/>
      <c r="P29" s="782"/>
      <c r="Q29" s="782"/>
      <c r="R29" s="782"/>
      <c r="S29" s="293"/>
    </row>
    <row r="30" spans="2:19" ht="19">
      <c r="E30" s="293"/>
      <c r="F30" s="249"/>
      <c r="G30" s="799"/>
      <c r="H30" s="799"/>
      <c r="I30" s="800"/>
      <c r="J30" s="800"/>
      <c r="K30" s="355"/>
      <c r="M30" s="355"/>
      <c r="N30" s="300"/>
      <c r="O30" s="799"/>
      <c r="P30" s="799"/>
      <c r="Q30" s="800"/>
      <c r="R30" s="800"/>
      <c r="S30" s="293"/>
    </row>
    <row r="31" spans="2:19" ht="19">
      <c r="B31" s="240"/>
      <c r="E31" s="293"/>
      <c r="F31" s="246"/>
      <c r="G31" s="357"/>
      <c r="H31" s="356"/>
      <c r="I31" s="355"/>
      <c r="J31" s="355"/>
      <c r="K31" s="355"/>
      <c r="M31" s="355"/>
      <c r="N31" s="300"/>
      <c r="O31" s="357"/>
      <c r="P31" s="356"/>
      <c r="Q31" s="355"/>
      <c r="R31" s="355"/>
      <c r="S31" s="293"/>
    </row>
    <row r="33" spans="2:19" ht="19">
      <c r="B33" s="240"/>
    </row>
    <row r="34" spans="2:19" ht="18" customHeight="1">
      <c r="E34" s="293"/>
      <c r="F34" s="294"/>
      <c r="G34" s="355"/>
      <c r="H34" s="355"/>
      <c r="I34" s="355"/>
      <c r="J34" s="802"/>
      <c r="K34" s="802"/>
      <c r="M34" s="355"/>
      <c r="N34" s="358"/>
      <c r="O34" s="355"/>
      <c r="P34" s="355"/>
      <c r="Q34" s="355"/>
      <c r="R34" s="752"/>
      <c r="S34" s="752"/>
    </row>
    <row r="35" spans="2:19" ht="22">
      <c r="E35" s="295"/>
      <c r="F35" s="737"/>
      <c r="G35" s="737"/>
      <c r="H35" s="737"/>
      <c r="I35" s="355"/>
      <c r="J35" s="355"/>
      <c r="K35" s="355"/>
      <c r="M35" s="340"/>
      <c r="N35" s="798"/>
      <c r="O35" s="798"/>
      <c r="P35" s="798"/>
      <c r="Q35" s="355"/>
      <c r="R35" s="355"/>
      <c r="S35" s="293"/>
    </row>
    <row r="36" spans="2:19" ht="34">
      <c r="E36" s="293"/>
      <c r="F36" s="290"/>
      <c r="G36" s="359"/>
      <c r="H36" s="301"/>
      <c r="I36" s="355"/>
      <c r="J36" s="302"/>
      <c r="K36" s="355"/>
      <c r="M36" s="355"/>
      <c r="N36" s="781"/>
      <c r="O36" s="782"/>
      <c r="P36" s="782"/>
      <c r="Q36" s="782"/>
      <c r="R36" s="782"/>
      <c r="S36" s="293"/>
    </row>
    <row r="37" spans="2:19" ht="13.25" customHeight="1">
      <c r="E37" s="293"/>
      <c r="F37" s="288"/>
      <c r="G37" s="341"/>
      <c r="H37" s="341"/>
      <c r="I37" s="355"/>
      <c r="J37" s="302"/>
      <c r="K37" s="355"/>
      <c r="M37" s="355"/>
      <c r="N37" s="781"/>
      <c r="O37" s="782"/>
      <c r="P37" s="782"/>
      <c r="Q37" s="782"/>
      <c r="R37" s="782"/>
      <c r="S37" s="293"/>
    </row>
    <row r="38" spans="2:19" ht="18">
      <c r="E38" s="293"/>
      <c r="F38" s="249"/>
      <c r="G38" s="360"/>
      <c r="H38" s="360"/>
      <c r="I38" s="300"/>
      <c r="J38" s="361"/>
      <c r="K38" s="355"/>
      <c r="M38" s="355"/>
      <c r="N38" s="782"/>
      <c r="O38" s="782"/>
      <c r="P38" s="782"/>
      <c r="Q38" s="782"/>
      <c r="R38" s="782"/>
      <c r="S38" s="293"/>
    </row>
    <row r="39" spans="2:19" ht="18">
      <c r="E39" s="293"/>
      <c r="F39" s="249"/>
      <c r="G39" s="360"/>
      <c r="H39" s="360"/>
      <c r="I39" s="300"/>
      <c r="J39" s="361"/>
      <c r="K39" s="355"/>
      <c r="M39" s="355"/>
      <c r="N39" s="782"/>
      <c r="O39" s="782"/>
      <c r="P39" s="782"/>
      <c r="Q39" s="782"/>
      <c r="R39" s="782"/>
      <c r="S39" s="293"/>
    </row>
    <row r="40" spans="2:19" ht="19">
      <c r="E40" s="293"/>
      <c r="F40" s="249"/>
      <c r="G40" s="360"/>
      <c r="H40" s="360"/>
      <c r="I40" s="300"/>
      <c r="J40" s="361"/>
      <c r="K40" s="355"/>
      <c r="M40" s="355"/>
      <c r="N40" s="300"/>
      <c r="O40" s="799"/>
      <c r="P40" s="799"/>
      <c r="Q40" s="800"/>
      <c r="R40" s="800"/>
      <c r="S40" s="293"/>
    </row>
    <row r="41" spans="2:19" ht="19">
      <c r="E41" s="293"/>
      <c r="F41" s="246"/>
      <c r="G41" s="357"/>
      <c r="H41" s="356"/>
      <c r="I41" s="355"/>
      <c r="J41" s="355"/>
      <c r="K41" s="355"/>
      <c r="M41" s="355"/>
      <c r="N41" s="300"/>
      <c r="O41" s="357"/>
      <c r="P41" s="356"/>
      <c r="Q41" s="355"/>
      <c r="R41" s="355"/>
      <c r="S41" s="293"/>
    </row>
  </sheetData>
  <mergeCells count="15">
    <mergeCell ref="O40:P40"/>
    <mergeCell ref="Q40:R40"/>
    <mergeCell ref="R7:S7"/>
    <mergeCell ref="N27:R29"/>
    <mergeCell ref="G28:H28"/>
    <mergeCell ref="G29:H29"/>
    <mergeCell ref="G30:H30"/>
    <mergeCell ref="I30:J30"/>
    <mergeCell ref="O30:P30"/>
    <mergeCell ref="Q30:R30"/>
    <mergeCell ref="J34:K34"/>
    <mergeCell ref="R34:S34"/>
    <mergeCell ref="F35:H35"/>
    <mergeCell ref="N35:P35"/>
    <mergeCell ref="N36:R39"/>
  </mergeCells>
  <conditionalFormatting sqref="I27:J27">
    <cfRule type="iconSet" priority="3">
      <iconSet iconSet="3Arrows">
        <cfvo type="percent" val="0"/>
        <cfvo type="num" val="0"/>
        <cfvo type="num" val="9.9999999999999995E-8" gte="0"/>
      </iconSet>
    </cfRule>
  </conditionalFormatting>
  <conditionalFormatting sqref="I30:J30">
    <cfRule type="iconSet" priority="2">
      <iconSet iconSet="3Arrows">
        <cfvo type="percent" val="0"/>
        <cfvo type="num" val="0"/>
        <cfvo type="num" val="1E-25" gte="0"/>
      </iconSet>
    </cfRule>
  </conditionalFormatting>
  <conditionalFormatting sqref="I36:J37">
    <cfRule type="iconSet" priority="7">
      <iconSet iconSet="3Arrows">
        <cfvo type="percent" val="0"/>
        <cfvo type="num" val="0"/>
        <cfvo type="num" val="9.9999999999999995E-8" gte="0"/>
      </iconSet>
    </cfRule>
  </conditionalFormatting>
  <conditionalFormatting sqref="J40">
    <cfRule type="iconSet" priority="4">
      <iconSet iconSet="3Flags">
        <cfvo type="percent" val="0"/>
        <cfvo type="num" val="0"/>
        <cfvo type="num" val="1.0000000000000001E-17" gte="0"/>
      </iconSet>
    </cfRule>
  </conditionalFormatting>
  <conditionalFormatting sqref="Q21:R21">
    <cfRule type="iconSet" priority="8">
      <iconSet iconSet="3Arrows">
        <cfvo type="percent" val="0"/>
        <cfvo type="num" val="0"/>
        <cfvo type="num" val="1E-25" gte="0"/>
      </iconSet>
    </cfRule>
  </conditionalFormatting>
  <conditionalFormatting sqref="Q30:R30">
    <cfRule type="iconSet" priority="1">
      <iconSet iconSet="3Arrows">
        <cfvo type="percent" val="0"/>
        <cfvo type="num" val="0"/>
        <cfvo type="num" val="1E-25" gte="0"/>
      </iconSet>
    </cfRule>
  </conditionalFormatting>
  <conditionalFormatting sqref="Q40:R40">
    <cfRule type="iconSet" priority="6">
      <iconSet iconSet="3Arrows">
        <cfvo type="percent" val="0"/>
        <cfvo type="num" val="0"/>
        <cfvo type="num" val="1E-25" gte="0"/>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5" id="{9870D673-1C51-42F2-B1F7-1C4A82E2E59A}">
            <x14:iconSet iconSet="3Flags" custom="1">
              <x14:cfvo type="percent">
                <xm:f>0</xm:f>
              </x14:cfvo>
              <x14:cfvo type="num">
                <xm:f>0</xm:f>
              </x14:cfvo>
              <x14:cfvo type="num" gte="0">
                <xm:f>9.9999999999999998E-20</xm:f>
              </x14:cfvo>
              <x14:cfIcon iconSet="3Flags" iconId="2"/>
              <x14:cfIcon iconSet="3Flags" iconId="1"/>
              <x14:cfIcon iconSet="3Flags" iconId="0"/>
            </x14:iconSet>
          </x14:cfRule>
          <xm:sqref>J38:J39</xm:sqref>
        </x14:conditionalFormatting>
      </x14:conditionalFormatting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F0B4A-E3BE-4D2E-A280-E1CD740519E1}">
  <sheetPr codeName="Sheet23"/>
  <dimension ref="A1:S87"/>
  <sheetViews>
    <sheetView topLeftCell="A38" zoomScale="50" zoomScaleNormal="50" workbookViewId="0">
      <selection activeCell="G73" sqref="G73"/>
    </sheetView>
  </sheetViews>
  <sheetFormatPr baseColWidth="10" defaultColWidth="8.83203125" defaultRowHeight="15"/>
  <cols>
    <col min="1" max="1" width="2.1640625" style="115" customWidth="1"/>
    <col min="2" max="2" width="33.1640625" style="115" customWidth="1"/>
    <col min="3" max="3" width="2.83203125" style="115" customWidth="1"/>
    <col min="4" max="4" width="2.83203125" style="114" customWidth="1"/>
    <col min="5" max="5" width="3.1640625" style="114" hidden="1" customWidth="1"/>
    <col min="6" max="6" width="49.83203125" style="118" customWidth="1"/>
    <col min="7" max="19" width="18.5" style="114" customWidth="1"/>
    <col min="20" max="16384" width="8.83203125" style="114"/>
  </cols>
  <sheetData>
    <row r="1" spans="2:19">
      <c r="G1" s="114">
        <v>1</v>
      </c>
      <c r="H1" s="114">
        <v>2</v>
      </c>
      <c r="I1" s="114">
        <v>3</v>
      </c>
      <c r="J1" s="114">
        <v>4</v>
      </c>
      <c r="K1" s="114">
        <v>5</v>
      </c>
      <c r="L1" s="114">
        <v>6</v>
      </c>
      <c r="M1" s="114">
        <v>7</v>
      </c>
      <c r="N1" s="114">
        <v>8</v>
      </c>
      <c r="O1" s="114">
        <v>9</v>
      </c>
      <c r="P1" s="114">
        <v>10</v>
      </c>
      <c r="Q1" s="114">
        <v>11</v>
      </c>
      <c r="R1" s="114">
        <v>12</v>
      </c>
    </row>
    <row r="2" spans="2:19">
      <c r="E2" s="114">
        <f>+VLOOKUP(G2,Reference!$A$2:$B$13,2,0)</f>
        <v>1</v>
      </c>
      <c r="F2" s="130" t="s">
        <v>174</v>
      </c>
      <c r="G2" s="131" t="s">
        <v>17</v>
      </c>
      <c r="H2" s="131" t="s">
        <v>18</v>
      </c>
      <c r="I2" s="131" t="s">
        <v>19</v>
      </c>
      <c r="J2" s="131" t="s">
        <v>20</v>
      </c>
      <c r="K2" s="131" t="s">
        <v>21</v>
      </c>
      <c r="L2" s="131" t="s">
        <v>22</v>
      </c>
      <c r="M2" s="131" t="s">
        <v>23</v>
      </c>
      <c r="N2" s="131" t="s">
        <v>24</v>
      </c>
      <c r="O2" s="131" t="s">
        <v>25</v>
      </c>
      <c r="P2" s="131" t="s">
        <v>26</v>
      </c>
      <c r="Q2" s="131" t="s">
        <v>27</v>
      </c>
      <c r="R2" s="131" t="s">
        <v>28</v>
      </c>
      <c r="S2" s="131"/>
    </row>
    <row r="3" spans="2:19">
      <c r="F3" s="130" t="s">
        <v>175</v>
      </c>
      <c r="G3" s="132">
        <v>2022</v>
      </c>
      <c r="H3" s="132">
        <v>2022</v>
      </c>
      <c r="I3" s="132">
        <v>2022</v>
      </c>
      <c r="J3" s="132">
        <v>2022</v>
      </c>
      <c r="K3" s="132">
        <v>2022</v>
      </c>
      <c r="L3" s="132">
        <v>2022</v>
      </c>
      <c r="M3" s="132">
        <v>2022</v>
      </c>
      <c r="N3" s="132">
        <v>2022</v>
      </c>
      <c r="O3" s="132">
        <v>2022</v>
      </c>
      <c r="P3" s="132">
        <v>2022</v>
      </c>
      <c r="Q3" s="132">
        <v>2022</v>
      </c>
      <c r="R3" s="132">
        <v>2022</v>
      </c>
      <c r="S3" s="132"/>
    </row>
    <row r="6" spans="2:19" ht="29">
      <c r="F6" s="120" t="s">
        <v>228</v>
      </c>
      <c r="G6" s="121" t="s">
        <v>177</v>
      </c>
      <c r="H6" s="121" t="s">
        <v>177</v>
      </c>
      <c r="I6" s="121" t="s">
        <v>177</v>
      </c>
      <c r="J6" s="121" t="s">
        <v>177</v>
      </c>
      <c r="K6" s="121" t="s">
        <v>177</v>
      </c>
      <c r="L6" s="121" t="s">
        <v>177</v>
      </c>
      <c r="M6" s="121" t="s">
        <v>177</v>
      </c>
      <c r="N6" s="121" t="s">
        <v>177</v>
      </c>
      <c r="O6" s="121" t="s">
        <v>177</v>
      </c>
      <c r="P6" s="121" t="s">
        <v>177</v>
      </c>
      <c r="Q6" s="121" t="s">
        <v>177</v>
      </c>
      <c r="R6" s="121" t="s">
        <v>177</v>
      </c>
    </row>
    <row r="7" spans="2:19" ht="17" customHeight="1">
      <c r="B7" s="116" t="s">
        <v>163</v>
      </c>
      <c r="G7" s="162" t="str">
        <f>CONCATENATE(G2," ",G3)</f>
        <v>January 2022</v>
      </c>
      <c r="H7" s="162" t="str">
        <f t="shared" ref="H7:R7" si="0">CONCATENATE(H2," ",H3)</f>
        <v>February 2022</v>
      </c>
      <c r="I7" s="162" t="str">
        <f t="shared" si="0"/>
        <v>March 2022</v>
      </c>
      <c r="J7" s="162" t="str">
        <f t="shared" si="0"/>
        <v>April 2022</v>
      </c>
      <c r="K7" s="162" t="str">
        <f t="shared" si="0"/>
        <v>May 2022</v>
      </c>
      <c r="L7" s="162" t="str">
        <f t="shared" si="0"/>
        <v>June 2022</v>
      </c>
      <c r="M7" s="162" t="str">
        <f t="shared" si="0"/>
        <v>July 2022</v>
      </c>
      <c r="N7" s="162" t="str">
        <f t="shared" si="0"/>
        <v>August 2022</v>
      </c>
      <c r="O7" s="162" t="str">
        <f t="shared" si="0"/>
        <v>September 2022</v>
      </c>
      <c r="P7" s="162" t="str">
        <f t="shared" si="0"/>
        <v>October 2022</v>
      </c>
      <c r="Q7" s="162" t="str">
        <f t="shared" si="0"/>
        <v>November 2022</v>
      </c>
      <c r="R7" s="162" t="str">
        <f t="shared" si="0"/>
        <v>December 2022</v>
      </c>
    </row>
    <row r="8" spans="2:19">
      <c r="F8" s="119" t="s">
        <v>98</v>
      </c>
      <c r="G8" s="124">
        <f>-SUMIFS('Jounal entries final'!$H:$H,'Jounal entries final'!$E:$E,'Indepth Working Capital'!$F8,'Jounal entries final'!$B:$B,G$1,'Jounal entries final'!$C:$C,'Indepth Working Capital'!$G3)</f>
        <v>13745707</v>
      </c>
      <c r="H8" s="124">
        <f>-SUMIFS('Jounal entries final'!$H:$H,'Jounal entries final'!$E:$E,'Indepth Working Capital'!$F8,'Jounal entries final'!$B:$B,H$1,'Jounal entries final'!$C:$C,'Indepth Working Capital'!$G3)</f>
        <v>12726467</v>
      </c>
      <c r="I8" s="124">
        <f>-SUMIFS('Jounal entries final'!$H:$H,'Jounal entries final'!$E:$E,'Indepth Working Capital'!$F8,'Jounal entries final'!$B:$B,I$1,'Jounal entries final'!$C:$C,'Indepth Working Capital'!$G3)</f>
        <v>10796660</v>
      </c>
      <c r="J8" s="124">
        <f>-SUMIFS('Jounal entries final'!$H:$H,'Jounal entries final'!$E:$E,'Indepth Working Capital'!$F8,'Jounal entries final'!$B:$B,J$1,'Jounal entries final'!$C:$C,'Indepth Working Capital'!$G3)</f>
        <v>12478398</v>
      </c>
      <c r="K8" s="124">
        <f>-SUMIFS('Jounal entries final'!$H:$H,'Jounal entries final'!$E:$E,'Indepth Working Capital'!$F8,'Jounal entries final'!$B:$B,K$1,'Jounal entries final'!$C:$C,'Indepth Working Capital'!$G3)</f>
        <v>11877090</v>
      </c>
      <c r="L8" s="124">
        <f>-SUMIFS('Jounal entries final'!$H:$H,'Jounal entries final'!$E:$E,'Indepth Working Capital'!$F8,'Jounal entries final'!$B:$B,L$1,'Jounal entries final'!$C:$C,'Indepth Working Capital'!$G3)</f>
        <v>12577816</v>
      </c>
      <c r="M8" s="124">
        <f>-SUMIFS('Jounal entries final'!$H:$H,'Jounal entries final'!$E:$E,'Indepth Working Capital'!$F8,'Jounal entries final'!$B:$B,M$1,'Jounal entries final'!$C:$C,'Indepth Working Capital'!$G3)</f>
        <v>13117891</v>
      </c>
      <c r="N8" s="124">
        <f>-SUMIFS('Jounal entries final'!$H:$H,'Jounal entries final'!$E:$E,'Indepth Working Capital'!$F8,'Jounal entries final'!$B:$B,N$1,'Jounal entries final'!$C:$C,'Indepth Working Capital'!$G3)</f>
        <v>11066732</v>
      </c>
      <c r="O8" s="124">
        <f>-SUMIFS('Jounal entries final'!$H:$H,'Jounal entries final'!$E:$E,'Indepth Working Capital'!$F8,'Jounal entries final'!$B:$B,O$1,'Jounal entries final'!$C:$C,'Indepth Working Capital'!$G3)</f>
        <v>11487586</v>
      </c>
      <c r="P8" s="124">
        <f>-SUMIFS('Jounal entries final'!$H:$H,'Jounal entries final'!$E:$E,'Indepth Working Capital'!$F8,'Jounal entries final'!$B:$B,P$1,'Jounal entries final'!$C:$C,'Indepth Working Capital'!$G3)</f>
        <v>11353191</v>
      </c>
      <c r="Q8" s="124">
        <f>-SUMIFS('Jounal entries final'!$H:$H,'Jounal entries final'!$E:$E,'Indepth Working Capital'!$F8,'Jounal entries final'!$B:$B,Q$1,'Jounal entries final'!$C:$C,'Indepth Working Capital'!$G3)</f>
        <v>11279738</v>
      </c>
      <c r="R8" s="124">
        <f>-SUMIFS('Jounal entries final'!$H:$H,'Jounal entries final'!$E:$E,'Indepth Working Capital'!$F8,'Jounal entries final'!$B:$B,R$1,'Jounal entries final'!$C:$C,'Indepth Working Capital'!$G3)</f>
        <v>10797568</v>
      </c>
    </row>
    <row r="9" spans="2:19" ht="17" customHeight="1">
      <c r="B9" s="116" t="s">
        <v>164</v>
      </c>
      <c r="F9" s="119" t="s">
        <v>187</v>
      </c>
      <c r="G9" s="124">
        <f>SUMIFS('Jounal entries final'!$H:$H,'Jounal entries final'!$E:$E,'Indepth Working Capital'!$F9,'Jounal entries final'!$B:$B,G$1,'Jounal entries final'!$C:$C,'Indepth Working Capital'!$G$3)</f>
        <v>15745707</v>
      </c>
      <c r="H9" s="124">
        <f>SUMIFS('Jounal entries final'!$H:$H,'Jounal entries final'!$E:$E,'Indepth Working Capital'!$F9,'Jounal entries final'!$B:$B,H$1,'Jounal entries final'!$C:$C,'Indepth Working Capital'!$G$3)</f>
        <v>27871048</v>
      </c>
      <c r="I9" s="124">
        <f>SUMIFS('Jounal entries final'!$H:$H,'Jounal entries final'!$E:$E,'Indepth Working Capital'!$F9,'Jounal entries final'!$B:$B,I$1,'Jounal entries final'!$C:$C,'Indepth Working Capital'!$G$3)</f>
        <v>34858942</v>
      </c>
      <c r="J9" s="124">
        <f>SUMIFS('Jounal entries final'!$H:$H,'Jounal entries final'!$E:$E,'Indepth Working Capital'!$F9,'Jounal entries final'!$B:$B,J$1,'Jounal entries final'!$C:$C,'Indepth Working Capital'!$G$3)</f>
        <v>25616326</v>
      </c>
      <c r="K9" s="124">
        <f>SUMIFS('Jounal entries final'!$H:$H,'Jounal entries final'!$E:$E,'Indepth Working Capital'!$F9,'Jounal entries final'!$B:$B,K$1,'Jounal entries final'!$C:$C,'Indepth Working Capital'!$G$3)</f>
        <v>27415787</v>
      </c>
      <c r="L9" s="124">
        <f>SUMIFS('Jounal entries final'!$H:$H,'Jounal entries final'!$E:$E,'Indepth Working Capital'!$F9,'Jounal entries final'!$B:$B,L$1,'Jounal entries final'!$C:$C,'Indepth Working Capital'!$G$3)</f>
        <v>32249372</v>
      </c>
      <c r="M9" s="124">
        <f>SUMIFS('Jounal entries final'!$H:$H,'Jounal entries final'!$E:$E,'Indepth Working Capital'!$F9,'Jounal entries final'!$B:$B,M$1,'Jounal entries final'!$C:$C,'Indepth Working Capital'!$G$3)</f>
        <v>31469236</v>
      </c>
      <c r="N9" s="124">
        <f>SUMIFS('Jounal entries final'!$H:$H,'Jounal entries final'!$E:$E,'Indepth Working Capital'!$F9,'Jounal entries final'!$B:$B,N$1,'Jounal entries final'!$C:$C,'Indepth Working Capital'!$G$3)</f>
        <v>31920418</v>
      </c>
      <c r="O9" s="124">
        <f>SUMIFS('Jounal entries final'!$H:$H,'Jounal entries final'!$E:$E,'Indepth Working Capital'!$F9,'Jounal entries final'!$B:$B,O$1,'Jounal entries final'!$C:$C,'Indepth Working Capital'!$G$3)</f>
        <v>31815762</v>
      </c>
      <c r="P9" s="124">
        <f>SUMIFS('Jounal entries final'!$H:$H,'Jounal entries final'!$E:$E,'Indepth Working Capital'!$F9,'Jounal entries final'!$B:$B,P$1,'Jounal entries final'!$C:$C,'Indepth Working Capital'!$G$3)</f>
        <v>25850551</v>
      </c>
      <c r="Q9" s="124">
        <f>SUMIFS('Jounal entries final'!$H:$H,'Jounal entries final'!$E:$E,'Indepth Working Capital'!$F9,'Jounal entries final'!$B:$B,Q$1,'Jounal entries final'!$C:$C,'Indepth Working Capital'!$G$3)</f>
        <v>28148846</v>
      </c>
      <c r="R9" s="124">
        <f>SUMIFS('Jounal entries final'!$H:$H,'Jounal entries final'!$E:$E,'Indepth Working Capital'!$F9,'Jounal entries final'!$B:$B,R$1,'Jounal entries final'!$C:$C,'Indepth Working Capital'!$G$3)</f>
        <v>25655312</v>
      </c>
    </row>
    <row r="10" spans="2:19">
      <c r="F10" s="119"/>
      <c r="G10" s="124"/>
    </row>
    <row r="11" spans="2:19" ht="19">
      <c r="B11" s="116" t="s">
        <v>166</v>
      </c>
      <c r="F11" s="118" t="s">
        <v>39</v>
      </c>
      <c r="G11" s="124">
        <f>SUMIFS('Jounal entries final'!$H:$H,'Jounal entries final'!$E:$E,'Indepth Working Capital'!$F$9,'Jounal entries final'!$M:$M,'Indepth Working Capital'!$F11,'Jounal entries final'!$B:$B,G$1,'Jounal entries final'!$C:$C,'Indepth Working Capital'!$G$3)</f>
        <v>4248900</v>
      </c>
      <c r="H11" s="124">
        <f>SUMIFS('Jounal entries final'!$H:$H,'Jounal entries final'!$E:$E,'Indepth Working Capital'!$F$9,'Jounal entries final'!$M:$M,'Indepth Working Capital'!$F11,'Jounal entries final'!$B:$B,H$1,'Jounal entries final'!$C:$C,'Indepth Working Capital'!$G$3)</f>
        <v>6673173</v>
      </c>
      <c r="I11" s="124">
        <f>SUMIFS('Jounal entries final'!$H:$H,'Jounal entries final'!$E:$E,'Indepth Working Capital'!$F$9,'Jounal entries final'!$M:$M,'Indepth Working Capital'!$F11,'Jounal entries final'!$B:$B,I$1,'Jounal entries final'!$C:$C,'Indepth Working Capital'!$G$3)</f>
        <v>10445751</v>
      </c>
      <c r="J11" s="124">
        <f>SUMIFS('Jounal entries final'!$H:$H,'Jounal entries final'!$E:$E,'Indepth Working Capital'!$F$9,'Jounal entries final'!$M:$M,'Indepth Working Capital'!$F11,'Jounal entries final'!$B:$B,J$1,'Jounal entries final'!$C:$C,'Indepth Working Capital'!$G$3)</f>
        <v>6605202</v>
      </c>
      <c r="K11" s="124">
        <f>SUMIFS('Jounal entries final'!$H:$H,'Jounal entries final'!$E:$E,'Indepth Working Capital'!$F$9,'Jounal entries final'!$M:$M,'Indepth Working Capital'!$F11,'Jounal entries final'!$B:$B,K$1,'Jounal entries final'!$C:$C,'Indepth Working Capital'!$G$3)</f>
        <v>6609510</v>
      </c>
      <c r="L11" s="124">
        <f>SUMIFS('Jounal entries final'!$H:$H,'Jounal entries final'!$E:$E,'Indepth Working Capital'!$F$9,'Jounal entries final'!$M:$M,'Indepth Working Capital'!$F11,'Jounal entries final'!$B:$B,L$1,'Jounal entries final'!$C:$C,'Indepth Working Capital'!$G$3)</f>
        <v>6336828</v>
      </c>
      <c r="M11" s="124">
        <f>SUMIFS('Jounal entries final'!$H:$H,'Jounal entries final'!$E:$E,'Indepth Working Capital'!$F$9,'Jounal entries final'!$M:$M,'Indepth Working Capital'!$F11,'Jounal entries final'!$B:$B,M$1,'Jounal entries final'!$C:$C,'Indepth Working Capital'!$G$3)</f>
        <v>9497898</v>
      </c>
      <c r="N11" s="124">
        <f>SUMIFS('Jounal entries final'!$H:$H,'Jounal entries final'!$E:$E,'Indepth Working Capital'!$F$9,'Jounal entries final'!$M:$M,'Indepth Working Capital'!$F11,'Jounal entries final'!$B:$B,N$1,'Jounal entries final'!$C:$C,'Indepth Working Capital'!$G$3)</f>
        <v>4815420</v>
      </c>
      <c r="O11" s="124">
        <f>SUMIFS('Jounal entries final'!$H:$H,'Jounal entries final'!$E:$E,'Indepth Working Capital'!$F$9,'Jounal entries final'!$M:$M,'Indepth Working Capital'!$F11,'Jounal entries final'!$B:$B,O$1,'Jounal entries final'!$C:$C,'Indepth Working Capital'!$G$3)</f>
        <v>6914139</v>
      </c>
      <c r="P11" s="124">
        <f>SUMIFS('Jounal entries final'!$H:$H,'Jounal entries final'!$E:$E,'Indepth Working Capital'!$F$9,'Jounal entries final'!$M:$M,'Indepth Working Capital'!$F11,'Jounal entries final'!$B:$B,P$1,'Jounal entries final'!$C:$C,'Indepth Working Capital'!$G$3)</f>
        <v>6418329</v>
      </c>
      <c r="Q11" s="124">
        <f>SUMIFS('Jounal entries final'!$H:$H,'Jounal entries final'!$E:$E,'Indepth Working Capital'!$F$9,'Jounal entries final'!$M:$M,'Indepth Working Capital'!$F11,'Jounal entries final'!$B:$B,Q$1,'Jounal entries final'!$C:$C,'Indepth Working Capital'!$G$3)</f>
        <v>3494754</v>
      </c>
      <c r="R11" s="124">
        <f>SUMIFS('Jounal entries final'!$H:$H,'Jounal entries final'!$E:$E,'Indepth Working Capital'!$F$9,'Jounal entries final'!$M:$M,'Indepth Working Capital'!$F11,'Jounal entries final'!$B:$B,R$1,'Jounal entries final'!$C:$C,'Indepth Working Capital'!$G$3)</f>
        <v>5579964</v>
      </c>
    </row>
    <row r="12" spans="2:19">
      <c r="F12" s="118" t="s">
        <v>31</v>
      </c>
      <c r="G12" s="124">
        <f>SUMIFS('Jounal entries final'!$H:$H,'Jounal entries final'!$E:$E,'Indepth Working Capital'!$F$9,'Jounal entries final'!$M:$M,'Indepth Working Capital'!$F12,'Jounal entries final'!$B:$B,G$1,'Jounal entries final'!$C:$C,'Indepth Working Capital'!$G$3)</f>
        <v>872984</v>
      </c>
      <c r="H12" s="124">
        <f>SUMIFS('Jounal entries final'!$H:$H,'Jounal entries final'!$E:$E,'Indepth Working Capital'!$F$9,'Jounal entries final'!$M:$M,'Indepth Working Capital'!$F12,'Jounal entries final'!$B:$B,H$1,'Jounal entries final'!$C:$C,'Indepth Working Capital'!$G$3)</f>
        <v>1898699</v>
      </c>
      <c r="I12" s="124">
        <f>SUMIFS('Jounal entries final'!$H:$H,'Jounal entries final'!$E:$E,'Indepth Working Capital'!$F$9,'Jounal entries final'!$M:$M,'Indepth Working Capital'!$F12,'Jounal entries final'!$B:$B,I$1,'Jounal entries final'!$C:$C,'Indepth Working Capital'!$G$3)</f>
        <v>2949661</v>
      </c>
      <c r="J12" s="124">
        <f>SUMIFS('Jounal entries final'!$H:$H,'Jounal entries final'!$E:$E,'Indepth Working Capital'!$F$9,'Jounal entries final'!$M:$M,'Indepth Working Capital'!$F12,'Jounal entries final'!$B:$B,J$1,'Jounal entries final'!$C:$C,'Indepth Working Capital'!$G$3)</f>
        <v>3506495</v>
      </c>
      <c r="K12" s="124">
        <f>SUMIFS('Jounal entries final'!$H:$H,'Jounal entries final'!$E:$E,'Indepth Working Capital'!$F$9,'Jounal entries final'!$M:$M,'Indepth Working Capital'!$F12,'Jounal entries final'!$B:$B,K$1,'Jounal entries final'!$C:$C,'Indepth Working Capital'!$G$3)</f>
        <v>3382850</v>
      </c>
      <c r="L12" s="124">
        <f>SUMIFS('Jounal entries final'!$H:$H,'Jounal entries final'!$E:$E,'Indepth Working Capital'!$F$9,'Jounal entries final'!$M:$M,'Indepth Working Capital'!$F12,'Jounal entries final'!$B:$B,L$1,'Jounal entries final'!$C:$C,'Indepth Working Capital'!$G$3)</f>
        <v>2847533</v>
      </c>
      <c r="M12" s="124">
        <f>SUMIFS('Jounal entries final'!$H:$H,'Jounal entries final'!$E:$E,'Indepth Working Capital'!$F$9,'Jounal entries final'!$M:$M,'Indepth Working Capital'!$F12,'Jounal entries final'!$B:$B,M$1,'Jounal entries final'!$C:$C,'Indepth Working Capital'!$G$3)</f>
        <v>1534676</v>
      </c>
      <c r="N12" s="124">
        <f>SUMIFS('Jounal entries final'!$H:$H,'Jounal entries final'!$E:$E,'Indepth Working Capital'!$F$9,'Jounal entries final'!$M:$M,'Indepth Working Capital'!$F12,'Jounal entries final'!$B:$B,N$1,'Jounal entries final'!$C:$C,'Indepth Working Capital'!$G$3)</f>
        <v>2374455</v>
      </c>
      <c r="O12" s="124">
        <f>SUMIFS('Jounal entries final'!$H:$H,'Jounal entries final'!$E:$E,'Indepth Working Capital'!$F$9,'Jounal entries final'!$M:$M,'Indepth Working Capital'!$F12,'Jounal entries final'!$B:$B,O$1,'Jounal entries final'!$C:$C,'Indepth Working Capital'!$G$3)</f>
        <v>3772215</v>
      </c>
      <c r="P12" s="124">
        <f>SUMIFS('Jounal entries final'!$H:$H,'Jounal entries final'!$E:$E,'Indepth Working Capital'!$F$9,'Jounal entries final'!$M:$M,'Indepth Working Capital'!$F12,'Jounal entries final'!$B:$B,P$1,'Jounal entries final'!$C:$C,'Indepth Working Capital'!$G$3)</f>
        <v>3179145</v>
      </c>
      <c r="Q12" s="124">
        <f>SUMIFS('Jounal entries final'!$H:$H,'Jounal entries final'!$E:$E,'Indepth Working Capital'!$F$9,'Jounal entries final'!$M:$M,'Indepth Working Capital'!$F12,'Jounal entries final'!$B:$B,Q$1,'Jounal entries final'!$C:$C,'Indepth Working Capital'!$G$3)</f>
        <v>3940695</v>
      </c>
      <c r="R12" s="124">
        <f>SUMIFS('Jounal entries final'!$H:$H,'Jounal entries final'!$E:$E,'Indepth Working Capital'!$F$9,'Jounal entries final'!$M:$M,'Indepth Working Capital'!$F12,'Jounal entries final'!$B:$B,R$1,'Jounal entries final'!$C:$C,'Indepth Working Capital'!$G$3)</f>
        <v>457200</v>
      </c>
    </row>
    <row r="13" spans="2:19" ht="19">
      <c r="B13" s="150" t="s">
        <v>168</v>
      </c>
      <c r="F13" s="118" t="s">
        <v>40</v>
      </c>
      <c r="G13" s="124">
        <f>SUMIFS('Jounal entries final'!$H:$H,'Jounal entries final'!$E:$E,'Indepth Working Capital'!$F$9,'Jounal entries final'!$M:$M,'Indepth Working Capital'!$F13,'Jounal entries final'!$B:$B,G$1,'Jounal entries final'!$C:$C,'Indepth Working Capital'!$G$3)</f>
        <v>601126</v>
      </c>
      <c r="H13" s="124">
        <f>SUMIFS('Jounal entries final'!$H:$H,'Jounal entries final'!$E:$E,'Indepth Working Capital'!$F$9,'Jounal entries final'!$M:$M,'Indepth Working Capital'!$F13,'Jounal entries final'!$B:$B,H$1,'Jounal entries final'!$C:$C,'Indepth Working Capital'!$G$3)</f>
        <v>273400</v>
      </c>
      <c r="I13" s="124">
        <f>SUMIFS('Jounal entries final'!$H:$H,'Jounal entries final'!$E:$E,'Indepth Working Capital'!$F$9,'Jounal entries final'!$M:$M,'Indepth Working Capital'!$F13,'Jounal entries final'!$B:$B,I$1,'Jounal entries final'!$C:$C,'Indepth Working Capital'!$G$3)</f>
        <v>1491121</v>
      </c>
      <c r="J13" s="124">
        <f>SUMIFS('Jounal entries final'!$H:$H,'Jounal entries final'!$E:$E,'Indepth Working Capital'!$F$9,'Jounal entries final'!$M:$M,'Indepth Working Capital'!$F13,'Jounal entries final'!$B:$B,J$1,'Jounal entries final'!$C:$C,'Indepth Working Capital'!$G$3)</f>
        <v>2957728</v>
      </c>
      <c r="K13" s="124">
        <f>SUMIFS('Jounal entries final'!$H:$H,'Jounal entries final'!$E:$E,'Indepth Working Capital'!$F$9,'Jounal entries final'!$M:$M,'Indepth Working Capital'!$F13,'Jounal entries final'!$B:$B,K$1,'Jounal entries final'!$C:$C,'Indepth Working Capital'!$G$3)</f>
        <v>1640395</v>
      </c>
      <c r="L13" s="124">
        <f>SUMIFS('Jounal entries final'!$H:$H,'Jounal entries final'!$E:$E,'Indepth Working Capital'!$F$9,'Jounal entries final'!$M:$M,'Indepth Working Capital'!$F13,'Jounal entries final'!$B:$B,L$1,'Jounal entries final'!$C:$C,'Indepth Working Capital'!$G$3)</f>
        <v>3224775</v>
      </c>
      <c r="M13" s="124">
        <f>SUMIFS('Jounal entries final'!$H:$H,'Jounal entries final'!$E:$E,'Indepth Working Capital'!$F$9,'Jounal entries final'!$M:$M,'Indepth Working Capital'!$F13,'Jounal entries final'!$B:$B,M$1,'Jounal entries final'!$C:$C,'Indepth Working Capital'!$G$3)</f>
        <v>1924720</v>
      </c>
      <c r="N13" s="124">
        <f>SUMIFS('Jounal entries final'!$H:$H,'Jounal entries final'!$E:$E,'Indepth Working Capital'!$F$9,'Jounal entries final'!$M:$M,'Indepth Working Capital'!$F13,'Jounal entries final'!$B:$B,N$1,'Jounal entries final'!$C:$C,'Indepth Working Capital'!$G$3)</f>
        <v>2194956</v>
      </c>
      <c r="O13" s="124">
        <f>SUMIFS('Jounal entries final'!$H:$H,'Jounal entries final'!$E:$E,'Indepth Working Capital'!$F$9,'Jounal entries final'!$M:$M,'Indepth Working Capital'!$F13,'Jounal entries final'!$B:$B,O$1,'Jounal entries final'!$C:$C,'Indepth Working Capital'!$G$3)</f>
        <v>383184</v>
      </c>
      <c r="P13" s="124">
        <f>SUMIFS('Jounal entries final'!$H:$H,'Jounal entries final'!$E:$E,'Indepth Working Capital'!$F$9,'Jounal entries final'!$M:$M,'Indepth Working Capital'!$F13,'Jounal entries final'!$B:$B,P$1,'Jounal entries final'!$C:$C,'Indepth Working Capital'!$G$3)</f>
        <v>556848</v>
      </c>
      <c r="Q13" s="124">
        <f>SUMIFS('Jounal entries final'!$H:$H,'Jounal entries final'!$E:$E,'Indepth Working Capital'!$F$9,'Jounal entries final'!$M:$M,'Indepth Working Capital'!$F13,'Jounal entries final'!$B:$B,Q$1,'Jounal entries final'!$C:$C,'Indepth Working Capital'!$G$3)</f>
        <v>1402989</v>
      </c>
      <c r="R13" s="124">
        <f>SUMIFS('Jounal entries final'!$H:$H,'Jounal entries final'!$E:$E,'Indepth Working Capital'!$F$9,'Jounal entries final'!$M:$M,'Indepth Working Capital'!$F13,'Jounal entries final'!$B:$B,R$1,'Jounal entries final'!$C:$C,'Indepth Working Capital'!$G$3)</f>
        <v>542688</v>
      </c>
    </row>
    <row r="14" spans="2:19">
      <c r="F14" s="118" t="s">
        <v>36</v>
      </c>
      <c r="G14" s="124">
        <f>SUMIFS('Jounal entries final'!$H:$H,'Jounal entries final'!$E:$E,'Indepth Working Capital'!$F$9,'Jounal entries final'!$M:$M,'Indepth Working Capital'!$F14,'Jounal entries final'!$B:$B,G$1,'Jounal entries final'!$C:$C,'Indepth Working Capital'!$G$3)</f>
        <v>2644640</v>
      </c>
      <c r="H14" s="124">
        <f>SUMIFS('Jounal entries final'!$H:$H,'Jounal entries final'!$E:$E,'Indepth Working Capital'!$F$9,'Jounal entries final'!$M:$M,'Indepth Working Capital'!$F14,'Jounal entries final'!$B:$B,H$1,'Jounal entries final'!$C:$C,'Indepth Working Capital'!$G$3)</f>
        <v>3993022</v>
      </c>
      <c r="I14" s="124">
        <f>SUMIFS('Jounal entries final'!$H:$H,'Jounal entries final'!$E:$E,'Indepth Working Capital'!$F$9,'Jounal entries final'!$M:$M,'Indepth Working Capital'!$F14,'Jounal entries final'!$B:$B,I$1,'Jounal entries final'!$C:$C,'Indepth Working Capital'!$G$3)</f>
        <v>4209532</v>
      </c>
      <c r="J14" s="124">
        <f>SUMIFS('Jounal entries final'!$H:$H,'Jounal entries final'!$E:$E,'Indepth Working Capital'!$F$9,'Jounal entries final'!$M:$M,'Indepth Working Capital'!$F14,'Jounal entries final'!$B:$B,J$1,'Jounal entries final'!$C:$C,'Indepth Working Capital'!$G$3)</f>
        <v>1934832</v>
      </c>
      <c r="K14" s="124">
        <f>SUMIFS('Jounal entries final'!$H:$H,'Jounal entries final'!$E:$E,'Indepth Working Capital'!$F$9,'Jounal entries final'!$M:$M,'Indepth Working Capital'!$F14,'Jounal entries final'!$B:$B,K$1,'Jounal entries final'!$C:$C,'Indepth Working Capital'!$G$3)</f>
        <v>2780841</v>
      </c>
      <c r="L14" s="124">
        <f>SUMIFS('Jounal entries final'!$H:$H,'Jounal entries final'!$E:$E,'Indepth Working Capital'!$F$9,'Jounal entries final'!$M:$M,'Indepth Working Capital'!$F14,'Jounal entries final'!$B:$B,L$1,'Jounal entries final'!$C:$C,'Indepth Working Capital'!$G$3)</f>
        <v>3695992</v>
      </c>
      <c r="M14" s="124">
        <f>SUMIFS('Jounal entries final'!$H:$H,'Jounal entries final'!$E:$E,'Indepth Working Capital'!$F$9,'Jounal entries final'!$M:$M,'Indepth Working Capital'!$F14,'Jounal entries final'!$B:$B,M$1,'Jounal entries final'!$C:$C,'Indepth Working Capital'!$G$3)</f>
        <v>3751603</v>
      </c>
      <c r="N14" s="124">
        <f>SUMIFS('Jounal entries final'!$H:$H,'Jounal entries final'!$E:$E,'Indepth Working Capital'!$F$9,'Jounal entries final'!$M:$M,'Indepth Working Capital'!$F14,'Jounal entries final'!$B:$B,N$1,'Jounal entries final'!$C:$C,'Indepth Working Capital'!$G$3)</f>
        <v>4368044</v>
      </c>
      <c r="O14" s="124">
        <f>SUMIFS('Jounal entries final'!$H:$H,'Jounal entries final'!$E:$E,'Indepth Working Capital'!$F$9,'Jounal entries final'!$M:$M,'Indepth Working Capital'!$F14,'Jounal entries final'!$B:$B,O$1,'Jounal entries final'!$C:$C,'Indepth Working Capital'!$G$3)</f>
        <v>5768280</v>
      </c>
      <c r="P14" s="124">
        <f>SUMIFS('Jounal entries final'!$H:$H,'Jounal entries final'!$E:$E,'Indepth Working Capital'!$F$9,'Jounal entries final'!$M:$M,'Indepth Working Capital'!$F14,'Jounal entries final'!$B:$B,P$1,'Jounal entries final'!$C:$C,'Indepth Working Capital'!$G$3)</f>
        <v>2347266</v>
      </c>
      <c r="Q14" s="124">
        <f>SUMIFS('Jounal entries final'!$H:$H,'Jounal entries final'!$E:$E,'Indepth Working Capital'!$F$9,'Jounal entries final'!$M:$M,'Indepth Working Capital'!$F14,'Jounal entries final'!$B:$B,Q$1,'Jounal entries final'!$C:$C,'Indepth Working Capital'!$G$3)</f>
        <v>3176834</v>
      </c>
      <c r="R14" s="124">
        <f>SUMIFS('Jounal entries final'!$H:$H,'Jounal entries final'!$E:$E,'Indepth Working Capital'!$F$9,'Jounal entries final'!$M:$M,'Indepth Working Capital'!$F14,'Jounal entries final'!$B:$B,R$1,'Jounal entries final'!$C:$C,'Indepth Working Capital'!$G$3)</f>
        <v>1806056</v>
      </c>
    </row>
    <row r="15" spans="2:19" ht="19">
      <c r="B15" s="116" t="s">
        <v>167</v>
      </c>
      <c r="F15" s="118" t="s">
        <v>32</v>
      </c>
      <c r="G15" s="124">
        <f>SUMIFS('Jounal entries final'!$H:$H,'Jounal entries final'!$E:$E,'Indepth Working Capital'!$F$9,'Jounal entries final'!$M:$M,'Indepth Working Capital'!$F15,'Jounal entries final'!$B:$B,G$1,'Jounal entries final'!$C:$C,'Indepth Working Capital'!$G$3)</f>
        <v>1115827</v>
      </c>
      <c r="H15" s="124">
        <f>SUMIFS('Jounal entries final'!$H:$H,'Jounal entries final'!$E:$E,'Indepth Working Capital'!$F$9,'Jounal entries final'!$M:$M,'Indepth Working Capital'!$F15,'Jounal entries final'!$B:$B,H$1,'Jounal entries final'!$C:$C,'Indepth Working Capital'!$G$3)</f>
        <v>2943565</v>
      </c>
      <c r="I15" s="124">
        <f>SUMIFS('Jounal entries final'!$H:$H,'Jounal entries final'!$E:$E,'Indepth Working Capital'!$F$9,'Jounal entries final'!$M:$M,'Indepth Working Capital'!$F15,'Jounal entries final'!$B:$B,I$1,'Jounal entries final'!$C:$C,'Indepth Working Capital'!$G$3)</f>
        <v>3365422</v>
      </c>
      <c r="J15" s="124">
        <f>SUMIFS('Jounal entries final'!$H:$H,'Jounal entries final'!$E:$E,'Indepth Working Capital'!$F$9,'Jounal entries final'!$M:$M,'Indepth Working Capital'!$F15,'Jounal entries final'!$B:$B,J$1,'Jounal entries final'!$C:$C,'Indepth Working Capital'!$G$3)</f>
        <v>1672612</v>
      </c>
      <c r="K15" s="124">
        <f>SUMIFS('Jounal entries final'!$H:$H,'Jounal entries final'!$E:$E,'Indepth Working Capital'!$F$9,'Jounal entries final'!$M:$M,'Indepth Working Capital'!$F15,'Jounal entries final'!$B:$B,K$1,'Jounal entries final'!$C:$C,'Indepth Working Capital'!$G$3)</f>
        <v>1817875</v>
      </c>
      <c r="L15" s="124">
        <f>SUMIFS('Jounal entries final'!$H:$H,'Jounal entries final'!$E:$E,'Indepth Working Capital'!$F$9,'Jounal entries final'!$M:$M,'Indepth Working Capital'!$F15,'Jounal entries final'!$B:$B,L$1,'Jounal entries final'!$C:$C,'Indepth Working Capital'!$G$3)</f>
        <v>2622219</v>
      </c>
      <c r="M15" s="124">
        <f>SUMIFS('Jounal entries final'!$H:$H,'Jounal entries final'!$E:$E,'Indepth Working Capital'!$F$9,'Jounal entries final'!$M:$M,'Indepth Working Capital'!$F15,'Jounal entries final'!$B:$B,M$1,'Jounal entries final'!$C:$C,'Indepth Working Capital'!$G$3)</f>
        <v>1559044</v>
      </c>
      <c r="N15" s="124">
        <f>SUMIFS('Jounal entries final'!$H:$H,'Jounal entries final'!$E:$E,'Indepth Working Capital'!$F$9,'Jounal entries final'!$M:$M,'Indepth Working Capital'!$F15,'Jounal entries final'!$B:$B,N$1,'Jounal entries final'!$C:$C,'Indepth Working Capital'!$G$3)</f>
        <v>1511584</v>
      </c>
      <c r="O15" s="124">
        <f>SUMIFS('Jounal entries final'!$H:$H,'Jounal entries final'!$E:$E,'Indepth Working Capital'!$F$9,'Jounal entries final'!$M:$M,'Indepth Working Capital'!$F15,'Jounal entries final'!$B:$B,O$1,'Jounal entries final'!$C:$C,'Indepth Working Capital'!$G$3)</f>
        <v>2733737</v>
      </c>
      <c r="P15" s="124">
        <f>SUMIFS('Jounal entries final'!$H:$H,'Jounal entries final'!$E:$E,'Indepth Working Capital'!$F$9,'Jounal entries final'!$M:$M,'Indepth Working Capital'!$F15,'Jounal entries final'!$B:$B,P$1,'Jounal entries final'!$C:$C,'Indepth Working Capital'!$G$3)</f>
        <v>3375273</v>
      </c>
      <c r="Q15" s="124">
        <f>SUMIFS('Jounal entries final'!$H:$H,'Jounal entries final'!$E:$E,'Indepth Working Capital'!$F$9,'Jounal entries final'!$M:$M,'Indepth Working Capital'!$F15,'Jounal entries final'!$B:$B,Q$1,'Jounal entries final'!$C:$C,'Indepth Working Capital'!$G$3)</f>
        <v>4487293</v>
      </c>
      <c r="R15" s="124">
        <f>SUMIFS('Jounal entries final'!$H:$H,'Jounal entries final'!$E:$E,'Indepth Working Capital'!$F$9,'Jounal entries final'!$M:$M,'Indepth Working Capital'!$F15,'Jounal entries final'!$B:$B,R$1,'Jounal entries final'!$C:$C,'Indepth Working Capital'!$G$3)</f>
        <v>1789396</v>
      </c>
    </row>
    <row r="16" spans="2:19">
      <c r="F16" s="118" t="s">
        <v>37</v>
      </c>
      <c r="G16" s="124">
        <f>SUMIFS('Jounal entries final'!$H:$H,'Jounal entries final'!$E:$E,'Indepth Working Capital'!$F$9,'Jounal entries final'!$M:$M,'Indepth Working Capital'!$F16,'Jounal entries final'!$B:$B,G$1,'Jounal entries final'!$C:$C,'Indepth Working Capital'!$G$3)</f>
        <v>550988</v>
      </c>
      <c r="H16" s="124">
        <f>SUMIFS('Jounal entries final'!$H:$H,'Jounal entries final'!$E:$E,'Indepth Working Capital'!$F$9,'Jounal entries final'!$M:$M,'Indepth Working Capital'!$F16,'Jounal entries final'!$B:$B,H$1,'Jounal entries final'!$C:$C,'Indepth Working Capital'!$G$3)</f>
        <v>1034759</v>
      </c>
      <c r="I16" s="124">
        <f>SUMIFS('Jounal entries final'!$H:$H,'Jounal entries final'!$E:$E,'Indepth Working Capital'!$F$9,'Jounal entries final'!$M:$M,'Indepth Working Capital'!$F16,'Jounal entries final'!$B:$B,I$1,'Jounal entries final'!$C:$C,'Indepth Working Capital'!$G$3)</f>
        <v>1069643</v>
      </c>
      <c r="J16" s="124">
        <f>SUMIFS('Jounal entries final'!$H:$H,'Jounal entries final'!$E:$E,'Indepth Working Capital'!$F$9,'Jounal entries final'!$M:$M,'Indepth Working Capital'!$F16,'Jounal entries final'!$B:$B,J$1,'Jounal entries final'!$C:$C,'Indepth Working Capital'!$G$3)</f>
        <v>1627838</v>
      </c>
      <c r="K16" s="124">
        <f>SUMIFS('Jounal entries final'!$H:$H,'Jounal entries final'!$E:$E,'Indepth Working Capital'!$F$9,'Jounal entries final'!$M:$M,'Indepth Working Capital'!$F16,'Jounal entries final'!$B:$B,K$1,'Jounal entries final'!$C:$C,'Indepth Working Capital'!$G$3)</f>
        <v>1755354</v>
      </c>
      <c r="L16" s="124">
        <f>SUMIFS('Jounal entries final'!$H:$H,'Jounal entries final'!$E:$E,'Indepth Working Capital'!$F$9,'Jounal entries final'!$M:$M,'Indepth Working Capital'!$F16,'Jounal entries final'!$B:$B,L$1,'Jounal entries final'!$C:$C,'Indepth Working Capital'!$G$3)</f>
        <v>1946911</v>
      </c>
      <c r="M16" s="124">
        <f>SUMIFS('Jounal entries final'!$H:$H,'Jounal entries final'!$E:$E,'Indepth Working Capital'!$F$9,'Jounal entries final'!$M:$M,'Indepth Working Capital'!$F16,'Jounal entries final'!$B:$B,M$1,'Jounal entries final'!$C:$C,'Indepth Working Capital'!$G$3)</f>
        <v>1345718</v>
      </c>
      <c r="N16" s="124">
        <f>SUMIFS('Jounal entries final'!$H:$H,'Jounal entries final'!$E:$E,'Indepth Working Capital'!$F$9,'Jounal entries final'!$M:$M,'Indepth Working Capital'!$F16,'Jounal entries final'!$B:$B,N$1,'Jounal entries final'!$C:$C,'Indepth Working Capital'!$G$3)</f>
        <v>2054042</v>
      </c>
      <c r="O16" s="124">
        <f>SUMIFS('Jounal entries final'!$H:$H,'Jounal entries final'!$E:$E,'Indepth Working Capital'!$F$9,'Jounal entries final'!$M:$M,'Indepth Working Capital'!$F16,'Jounal entries final'!$B:$B,O$1,'Jounal entries final'!$C:$C,'Indepth Working Capital'!$G$3)</f>
        <v>2061484</v>
      </c>
      <c r="P16" s="124">
        <f>SUMIFS('Jounal entries final'!$H:$H,'Jounal entries final'!$E:$E,'Indepth Working Capital'!$F$9,'Jounal entries final'!$M:$M,'Indepth Working Capital'!$F16,'Jounal entries final'!$B:$B,P$1,'Jounal entries final'!$C:$C,'Indepth Working Capital'!$G$3)</f>
        <v>1170435</v>
      </c>
      <c r="Q16" s="124">
        <f>SUMIFS('Jounal entries final'!$H:$H,'Jounal entries final'!$E:$E,'Indepth Working Capital'!$F$9,'Jounal entries final'!$M:$M,'Indepth Working Capital'!$F16,'Jounal entries final'!$B:$B,Q$1,'Jounal entries final'!$C:$C,'Indepth Working Capital'!$G$3)</f>
        <v>1206642</v>
      </c>
      <c r="R16" s="124">
        <f>SUMIFS('Jounal entries final'!$H:$H,'Jounal entries final'!$E:$E,'Indepth Working Capital'!$F$9,'Jounal entries final'!$M:$M,'Indepth Working Capital'!$F16,'Jounal entries final'!$B:$B,R$1,'Jounal entries final'!$C:$C,'Indepth Working Capital'!$G$3)</f>
        <v>1055401</v>
      </c>
    </row>
    <row r="17" spans="2:18" ht="19">
      <c r="B17" s="116" t="s">
        <v>173</v>
      </c>
      <c r="F17" s="118" t="s">
        <v>33</v>
      </c>
      <c r="G17" s="124">
        <f>SUMIFS('Jounal entries final'!$H:$H,'Jounal entries final'!$E:$E,'Indepth Working Capital'!$F$9,'Jounal entries final'!$M:$M,'Indepth Working Capital'!$F17,'Jounal entries final'!$B:$B,G$1,'Jounal entries final'!$C:$C,'Indepth Working Capital'!$G$3)</f>
        <v>1756304</v>
      </c>
      <c r="H17" s="124">
        <f>SUMIFS('Jounal entries final'!$H:$H,'Jounal entries final'!$E:$E,'Indepth Working Capital'!$F$9,'Jounal entries final'!$M:$M,'Indepth Working Capital'!$F17,'Jounal entries final'!$B:$B,H$1,'Jounal entries final'!$C:$C,'Indepth Working Capital'!$G$3)</f>
        <v>3038564</v>
      </c>
      <c r="I17" s="124">
        <f>SUMIFS('Jounal entries final'!$H:$H,'Jounal entries final'!$E:$E,'Indepth Working Capital'!$F$9,'Jounal entries final'!$M:$M,'Indepth Working Capital'!$F17,'Jounal entries final'!$B:$B,I$1,'Jounal entries final'!$C:$C,'Indepth Working Capital'!$G$3)</f>
        <v>3485542</v>
      </c>
      <c r="J17" s="124">
        <f>SUMIFS('Jounal entries final'!$H:$H,'Jounal entries final'!$E:$E,'Indepth Working Capital'!$F$9,'Jounal entries final'!$M:$M,'Indepth Working Capital'!$F17,'Jounal entries final'!$B:$B,J$1,'Jounal entries final'!$C:$C,'Indepth Working Capital'!$G$3)</f>
        <v>440505</v>
      </c>
      <c r="K17" s="124">
        <f>SUMIFS('Jounal entries final'!$H:$H,'Jounal entries final'!$E:$E,'Indepth Working Capital'!$F$9,'Jounal entries final'!$M:$M,'Indepth Working Capital'!$F17,'Jounal entries final'!$B:$B,K$1,'Jounal entries final'!$C:$C,'Indepth Working Capital'!$G$3)</f>
        <v>1374009</v>
      </c>
      <c r="L17" s="124">
        <f>SUMIFS('Jounal entries final'!$H:$H,'Jounal entries final'!$E:$E,'Indepth Working Capital'!$F$9,'Jounal entries final'!$M:$M,'Indepth Working Capital'!$F17,'Jounal entries final'!$B:$B,L$1,'Jounal entries final'!$C:$C,'Indepth Working Capital'!$G$3)</f>
        <v>2533749</v>
      </c>
      <c r="M17" s="124">
        <f>SUMIFS('Jounal entries final'!$H:$H,'Jounal entries final'!$E:$E,'Indepth Working Capital'!$F$9,'Jounal entries final'!$M:$M,'Indepth Working Capital'!$F17,'Jounal entries final'!$B:$B,M$1,'Jounal entries final'!$C:$C,'Indepth Working Capital'!$G$3)</f>
        <v>3857622</v>
      </c>
      <c r="N17" s="124">
        <f>SUMIFS('Jounal entries final'!$H:$H,'Jounal entries final'!$E:$E,'Indepth Working Capital'!$F$9,'Jounal entries final'!$M:$M,'Indepth Working Capital'!$F17,'Jounal entries final'!$B:$B,N$1,'Jounal entries final'!$C:$C,'Indepth Working Capital'!$G$3)</f>
        <v>5019692</v>
      </c>
      <c r="O17" s="124">
        <f>SUMIFS('Jounal entries final'!$H:$H,'Jounal entries final'!$E:$E,'Indepth Working Capital'!$F$9,'Jounal entries final'!$M:$M,'Indepth Working Capital'!$F17,'Jounal entries final'!$B:$B,O$1,'Jounal entries final'!$C:$C,'Indepth Working Capital'!$G$3)</f>
        <v>3415572</v>
      </c>
      <c r="P17" s="124">
        <f>SUMIFS('Jounal entries final'!$H:$H,'Jounal entries final'!$E:$E,'Indepth Working Capital'!$F$9,'Jounal entries final'!$M:$M,'Indepth Working Capital'!$F17,'Jounal entries final'!$B:$B,P$1,'Jounal entries final'!$C:$C,'Indepth Working Capital'!$G$3)</f>
        <v>1638358</v>
      </c>
      <c r="Q17" s="124">
        <f>SUMIFS('Jounal entries final'!$H:$H,'Jounal entries final'!$E:$E,'Indepth Working Capital'!$F$9,'Jounal entries final'!$M:$M,'Indepth Working Capital'!$F17,'Jounal entries final'!$B:$B,Q$1,'Jounal entries final'!$C:$C,'Indepth Working Capital'!$G$3)</f>
        <v>1905794</v>
      </c>
      <c r="R17" s="124">
        <f>SUMIFS('Jounal entries final'!$H:$H,'Jounal entries final'!$E:$E,'Indepth Working Capital'!$F$9,'Jounal entries final'!$M:$M,'Indepth Working Capital'!$F17,'Jounal entries final'!$B:$B,R$1,'Jounal entries final'!$C:$C,'Indepth Working Capital'!$G$3)</f>
        <v>3105194</v>
      </c>
    </row>
    <row r="18" spans="2:18">
      <c r="F18" s="118" t="s">
        <v>38</v>
      </c>
      <c r="G18" s="124">
        <f>SUMIFS('Jounal entries final'!$H:$H,'Jounal entries final'!$E:$E,'Indepth Working Capital'!$F$9,'Jounal entries final'!$M:$M,'Indepth Working Capital'!$F18,'Jounal entries final'!$B:$B,G$1,'Jounal entries final'!$C:$C,'Indepth Working Capital'!$G$3)</f>
        <v>1005360</v>
      </c>
      <c r="H18" s="124">
        <f>SUMIFS('Jounal entries final'!$H:$H,'Jounal entries final'!$E:$E,'Indepth Working Capital'!$F$9,'Jounal entries final'!$M:$M,'Indepth Working Capital'!$F18,'Jounal entries final'!$B:$B,H$1,'Jounal entries final'!$C:$C,'Indepth Working Capital'!$G$3)</f>
        <v>1548704</v>
      </c>
      <c r="I18" s="124">
        <f>SUMIFS('Jounal entries final'!$H:$H,'Jounal entries final'!$E:$E,'Indepth Working Capital'!$F$9,'Jounal entries final'!$M:$M,'Indepth Working Capital'!$F18,'Jounal entries final'!$B:$B,I$1,'Jounal entries final'!$C:$C,'Indepth Working Capital'!$G$3)</f>
        <v>2951664</v>
      </c>
      <c r="J18" s="124">
        <f>SUMIFS('Jounal entries final'!$H:$H,'Jounal entries final'!$E:$E,'Indepth Working Capital'!$F$9,'Jounal entries final'!$M:$M,'Indepth Working Capital'!$F18,'Jounal entries final'!$B:$B,J$1,'Jounal entries final'!$C:$C,'Indepth Working Capital'!$G$3)</f>
        <v>3080200</v>
      </c>
      <c r="K18" s="124">
        <f>SUMIFS('Jounal entries final'!$H:$H,'Jounal entries final'!$E:$E,'Indepth Working Capital'!$F$9,'Jounal entries final'!$M:$M,'Indepth Working Capital'!$F18,'Jounal entries final'!$B:$B,K$1,'Jounal entries final'!$C:$C,'Indepth Working Capital'!$G$3)</f>
        <v>2064221</v>
      </c>
      <c r="L18" s="124">
        <f>SUMIFS('Jounal entries final'!$H:$H,'Jounal entries final'!$E:$E,'Indepth Working Capital'!$F$9,'Jounal entries final'!$M:$M,'Indepth Working Capital'!$F18,'Jounal entries final'!$B:$B,L$1,'Jounal entries final'!$C:$C,'Indepth Working Capital'!$G$3)</f>
        <v>2569734</v>
      </c>
      <c r="M18" s="124">
        <f>SUMIFS('Jounal entries final'!$H:$H,'Jounal entries final'!$E:$E,'Indepth Working Capital'!$F$9,'Jounal entries final'!$M:$M,'Indepth Working Capital'!$F18,'Jounal entries final'!$B:$B,M$1,'Jounal entries final'!$C:$C,'Indepth Working Capital'!$G$3)</f>
        <v>1699393</v>
      </c>
      <c r="N18" s="124">
        <f>SUMIFS('Jounal entries final'!$H:$H,'Jounal entries final'!$E:$E,'Indepth Working Capital'!$F$9,'Jounal entries final'!$M:$M,'Indepth Working Capital'!$F18,'Jounal entries final'!$B:$B,N$1,'Jounal entries final'!$C:$C,'Indepth Working Capital'!$G$3)</f>
        <v>3317479</v>
      </c>
      <c r="O18" s="124">
        <f>SUMIFS('Jounal entries final'!$H:$H,'Jounal entries final'!$E:$E,'Indepth Working Capital'!$F$9,'Jounal entries final'!$M:$M,'Indepth Working Capital'!$F18,'Jounal entries final'!$B:$B,O$1,'Jounal entries final'!$C:$C,'Indepth Working Capital'!$G$3)</f>
        <v>2669934</v>
      </c>
      <c r="P18" s="124">
        <f>SUMIFS('Jounal entries final'!$H:$H,'Jounal entries final'!$E:$E,'Indepth Working Capital'!$F$9,'Jounal entries final'!$M:$M,'Indepth Working Capital'!$F18,'Jounal entries final'!$B:$B,P$1,'Jounal entries final'!$C:$C,'Indepth Working Capital'!$G$3)</f>
        <v>2443068</v>
      </c>
      <c r="Q18" s="124">
        <f>SUMIFS('Jounal entries final'!$H:$H,'Jounal entries final'!$E:$E,'Indepth Working Capital'!$F$9,'Jounal entries final'!$M:$M,'Indepth Working Capital'!$F18,'Jounal entries final'!$B:$B,Q$1,'Jounal entries final'!$C:$C,'Indepth Working Capital'!$G$3)</f>
        <v>1467324</v>
      </c>
      <c r="R18" s="124">
        <f>SUMIFS('Jounal entries final'!$H:$H,'Jounal entries final'!$E:$E,'Indepth Working Capital'!$F$9,'Jounal entries final'!$M:$M,'Indepth Working Capital'!$F18,'Jounal entries final'!$B:$B,R$1,'Jounal entries final'!$C:$C,'Indepth Working Capital'!$G$3)</f>
        <v>2543256</v>
      </c>
    </row>
    <row r="19" spans="2:18" ht="19">
      <c r="B19" s="116" t="s">
        <v>169</v>
      </c>
      <c r="F19" s="118" t="s">
        <v>34</v>
      </c>
      <c r="G19" s="124">
        <f>SUMIFS('Jounal entries final'!$H:$H,'Jounal entries final'!$E:$E,'Indepth Working Capital'!$F$9,'Jounal entries final'!$M:$M,'Indepth Working Capital'!$F19,'Jounal entries final'!$B:$B,G$1,'Jounal entries final'!$C:$C,'Indepth Working Capital'!$G$3)</f>
        <v>1839104</v>
      </c>
      <c r="H19" s="124">
        <f>SUMIFS('Jounal entries final'!$H:$H,'Jounal entries final'!$E:$E,'Indepth Working Capital'!$F$9,'Jounal entries final'!$M:$M,'Indepth Working Capital'!$F19,'Jounal entries final'!$B:$B,H$1,'Jounal entries final'!$C:$C,'Indepth Working Capital'!$G$3)</f>
        <v>3341768</v>
      </c>
      <c r="I19" s="124">
        <f>SUMIFS('Jounal entries final'!$H:$H,'Jounal entries final'!$E:$E,'Indepth Working Capital'!$F$9,'Jounal entries final'!$M:$M,'Indepth Working Capital'!$F19,'Jounal entries final'!$B:$B,I$1,'Jounal entries final'!$C:$C,'Indepth Working Capital'!$G$3)</f>
        <v>2503520</v>
      </c>
      <c r="J19" s="124">
        <f>SUMIFS('Jounal entries final'!$H:$H,'Jounal entries final'!$E:$E,'Indepth Working Capital'!$F$9,'Jounal entries final'!$M:$M,'Indepth Working Capital'!$F19,'Jounal entries final'!$B:$B,J$1,'Jounal entries final'!$C:$C,'Indepth Working Capital'!$G$3)</f>
        <v>2322432</v>
      </c>
      <c r="K19" s="124">
        <f>SUMIFS('Jounal entries final'!$H:$H,'Jounal entries final'!$E:$E,'Indepth Working Capital'!$F$9,'Jounal entries final'!$M:$M,'Indepth Working Capital'!$F19,'Jounal entries final'!$B:$B,K$1,'Jounal entries final'!$C:$C,'Indepth Working Capital'!$G$3)</f>
        <v>3556080</v>
      </c>
      <c r="L19" s="124">
        <f>SUMIFS('Jounal entries final'!$H:$H,'Jounal entries final'!$E:$E,'Indepth Working Capital'!$F$9,'Jounal entries final'!$M:$M,'Indepth Working Capital'!$F19,'Jounal entries final'!$B:$B,L$1,'Jounal entries final'!$C:$C,'Indepth Working Capital'!$G$3)</f>
        <v>4532695</v>
      </c>
      <c r="M19" s="124">
        <f>SUMIFS('Jounal entries final'!$H:$H,'Jounal entries final'!$E:$E,'Indepth Working Capital'!$F$9,'Jounal entries final'!$M:$M,'Indepth Working Capital'!$F19,'Jounal entries final'!$B:$B,M$1,'Jounal entries final'!$C:$C,'Indepth Working Capital'!$G$3)</f>
        <v>3782410</v>
      </c>
      <c r="N19" s="124">
        <f>SUMIFS('Jounal entries final'!$H:$H,'Jounal entries final'!$E:$E,'Indepth Working Capital'!$F$9,'Jounal entries final'!$M:$M,'Indepth Working Capital'!$F19,'Jounal entries final'!$B:$B,N$1,'Jounal entries final'!$C:$C,'Indepth Working Capital'!$G$3)</f>
        <v>5082352</v>
      </c>
      <c r="O19" s="124">
        <f>SUMIFS('Jounal entries final'!$H:$H,'Jounal entries final'!$E:$E,'Indepth Working Capital'!$F$9,'Jounal entries final'!$M:$M,'Indepth Working Capital'!$F19,'Jounal entries final'!$B:$B,O$1,'Jounal entries final'!$C:$C,'Indepth Working Capital'!$G$3)</f>
        <v>2360659</v>
      </c>
      <c r="P19" s="124">
        <f>SUMIFS('Jounal entries final'!$H:$H,'Jounal entries final'!$E:$E,'Indepth Working Capital'!$F$9,'Jounal entries final'!$M:$M,'Indepth Working Capital'!$F19,'Jounal entries final'!$B:$B,P$1,'Jounal entries final'!$C:$C,'Indepth Working Capital'!$G$3)</f>
        <v>2578330</v>
      </c>
      <c r="Q19" s="124">
        <f>SUMIFS('Jounal entries final'!$H:$H,'Jounal entries final'!$E:$E,'Indepth Working Capital'!$F$9,'Jounal entries final'!$M:$M,'Indepth Working Capital'!$F19,'Jounal entries final'!$B:$B,Q$1,'Jounal entries final'!$C:$C,'Indepth Working Capital'!$G$3)</f>
        <v>3811562</v>
      </c>
      <c r="R19" s="124">
        <f>SUMIFS('Jounal entries final'!$H:$H,'Jounal entries final'!$E:$E,'Indepth Working Capital'!$F$9,'Jounal entries final'!$M:$M,'Indepth Working Capital'!$F19,'Jounal entries final'!$B:$B,R$1,'Jounal entries final'!$C:$C,'Indepth Working Capital'!$G$3)</f>
        <v>4434786</v>
      </c>
    </row>
    <row r="20" spans="2:18">
      <c r="F20" s="118" t="s">
        <v>35</v>
      </c>
      <c r="G20" s="124">
        <f>SUMIFS('Jounal entries final'!$H:$H,'Jounal entries final'!$E:$E,'Indepth Working Capital'!$F$9,'Jounal entries final'!$M:$M,'Indepth Working Capital'!$F20,'Jounal entries final'!$B:$B,G$1,'Jounal entries final'!$C:$C,'Indepth Working Capital'!$G$3)</f>
        <v>1110474</v>
      </c>
      <c r="H20" s="124">
        <f>SUMIFS('Jounal entries final'!$H:$H,'Jounal entries final'!$E:$E,'Indepth Working Capital'!$F$9,'Jounal entries final'!$M:$M,'Indepth Working Capital'!$F20,'Jounal entries final'!$B:$B,H$1,'Jounal entries final'!$C:$C,'Indepth Working Capital'!$G$3)</f>
        <v>3125394</v>
      </c>
      <c r="I20" s="124">
        <f>SUMIFS('Jounal entries final'!$H:$H,'Jounal entries final'!$E:$E,'Indepth Working Capital'!$F$9,'Jounal entries final'!$M:$M,'Indepth Working Capital'!$F20,'Jounal entries final'!$B:$B,I$1,'Jounal entries final'!$C:$C,'Indepth Working Capital'!$G$3)</f>
        <v>2387086</v>
      </c>
      <c r="J20" s="124">
        <f>SUMIFS('Jounal entries final'!$H:$H,'Jounal entries final'!$E:$E,'Indepth Working Capital'!$F$9,'Jounal entries final'!$M:$M,'Indepth Working Capital'!$F20,'Jounal entries final'!$B:$B,J$1,'Jounal entries final'!$C:$C,'Indepth Working Capital'!$G$3)</f>
        <v>1468482</v>
      </c>
      <c r="K20" s="124">
        <f>SUMIFS('Jounal entries final'!$H:$H,'Jounal entries final'!$E:$E,'Indepth Working Capital'!$F$9,'Jounal entries final'!$M:$M,'Indepth Working Capital'!$F20,'Jounal entries final'!$B:$B,K$1,'Jounal entries final'!$C:$C,'Indepth Working Capital'!$G$3)</f>
        <v>2434652</v>
      </c>
      <c r="L20" s="124">
        <f>SUMIFS('Jounal entries final'!$H:$H,'Jounal entries final'!$E:$E,'Indepth Working Capital'!$F$9,'Jounal entries final'!$M:$M,'Indepth Working Capital'!$F20,'Jounal entries final'!$B:$B,L$1,'Jounal entries final'!$C:$C,'Indepth Working Capital'!$G$3)</f>
        <v>1938936</v>
      </c>
      <c r="M20" s="124">
        <f>SUMIFS('Jounal entries final'!$H:$H,'Jounal entries final'!$E:$E,'Indepth Working Capital'!$F$9,'Jounal entries final'!$M:$M,'Indepth Working Capital'!$F20,'Jounal entries final'!$B:$B,M$1,'Jounal entries final'!$C:$C,'Indepth Working Capital'!$G$3)</f>
        <v>2516152</v>
      </c>
      <c r="N20" s="124">
        <f>SUMIFS('Jounal entries final'!$H:$H,'Jounal entries final'!$E:$E,'Indepth Working Capital'!$F$9,'Jounal entries final'!$M:$M,'Indepth Working Capital'!$F20,'Jounal entries final'!$B:$B,N$1,'Jounal entries final'!$C:$C,'Indepth Working Capital'!$G$3)</f>
        <v>1182394</v>
      </c>
      <c r="O20" s="124">
        <f>SUMIFS('Jounal entries final'!$H:$H,'Jounal entries final'!$E:$E,'Indepth Working Capital'!$F$9,'Jounal entries final'!$M:$M,'Indepth Working Capital'!$F20,'Jounal entries final'!$B:$B,O$1,'Jounal entries final'!$C:$C,'Indepth Working Capital'!$G$3)</f>
        <v>1736558</v>
      </c>
      <c r="P20" s="124">
        <f>SUMIFS('Jounal entries final'!$H:$H,'Jounal entries final'!$E:$E,'Indepth Working Capital'!$F$9,'Jounal entries final'!$M:$M,'Indepth Working Capital'!$F20,'Jounal entries final'!$B:$B,P$1,'Jounal entries final'!$C:$C,'Indepth Working Capital'!$G$3)</f>
        <v>2143499</v>
      </c>
      <c r="Q20" s="124">
        <f>SUMIFS('Jounal entries final'!$H:$H,'Jounal entries final'!$E:$E,'Indepth Working Capital'!$F$9,'Jounal entries final'!$M:$M,'Indepth Working Capital'!$F20,'Jounal entries final'!$B:$B,Q$1,'Jounal entries final'!$C:$C,'Indepth Working Capital'!$G$3)</f>
        <v>3254959</v>
      </c>
      <c r="R20" s="124">
        <f>SUMIFS('Jounal entries final'!$H:$H,'Jounal entries final'!$E:$E,'Indepth Working Capital'!$F$9,'Jounal entries final'!$M:$M,'Indepth Working Capital'!$F20,'Jounal entries final'!$B:$B,R$1,'Jounal entries final'!$C:$C,'Indepth Working Capital'!$G$3)</f>
        <v>4341371</v>
      </c>
    </row>
    <row r="21" spans="2:18" ht="19">
      <c r="B21" s="116" t="s">
        <v>170</v>
      </c>
    </row>
    <row r="22" spans="2:18" ht="19">
      <c r="B22" s="116" t="s">
        <v>166</v>
      </c>
      <c r="F22" s="118" t="s">
        <v>39</v>
      </c>
      <c r="G22" s="124">
        <f>-SUMIFS('Jounal entries final'!$H:$H,'Jounal entries final'!$E:$E,'Indepth Working Capital'!$F$8,'Jounal entries final'!$M:$M,'Indepth Working Capital'!$F22,'Jounal entries final'!$B:$B,G$1,'Jounal entries final'!$C:$C,'Indepth Working Capital'!$G$3)</f>
        <v>4248900</v>
      </c>
      <c r="H22" s="124">
        <f>-SUMIFS('Jounal entries final'!$H:$H,'Jounal entries final'!$E:$E,'Indepth Working Capital'!$F$8,'Jounal entries final'!$M:$M,'Indepth Working Capital'!$F22,'Jounal entries final'!$B:$B,H$1,'Jounal entries final'!$C:$C,'Indepth Working Capital'!$G$3)</f>
        <v>2424273</v>
      </c>
      <c r="I22" s="124">
        <f>-SUMIFS('Jounal entries final'!$H:$H,'Jounal entries final'!$E:$E,'Indepth Working Capital'!$F$8,'Jounal entries final'!$M:$M,'Indepth Working Capital'!$F22,'Jounal entries final'!$B:$B,I$1,'Jounal entries final'!$C:$C,'Indepth Working Capital'!$G$3)</f>
        <v>3772578</v>
      </c>
      <c r="J22" s="124">
        <f>-SUMIFS('Jounal entries final'!$H:$H,'Jounal entries final'!$E:$E,'Indepth Working Capital'!$F$8,'Jounal entries final'!$M:$M,'Indepth Working Capital'!$F22,'Jounal entries final'!$B:$B,J$1,'Jounal entries final'!$C:$C,'Indepth Working Capital'!$G$3)</f>
        <v>2832624</v>
      </c>
      <c r="K22" s="124">
        <f>-SUMIFS('Jounal entries final'!$H:$H,'Jounal entries final'!$E:$E,'Indepth Working Capital'!$F$8,'Jounal entries final'!$M:$M,'Indepth Working Capital'!$F22,'Jounal entries final'!$B:$B,K$1,'Jounal entries final'!$C:$C,'Indepth Working Capital'!$G$3)</f>
        <v>3776886</v>
      </c>
      <c r="L22" s="124">
        <f>-SUMIFS('Jounal entries final'!$H:$H,'Jounal entries final'!$E:$E,'Indepth Working Capital'!$F$8,'Jounal entries final'!$M:$M,'Indepth Working Capital'!$F22,'Jounal entries final'!$B:$B,L$1,'Jounal entries final'!$C:$C,'Indepth Working Capital'!$G$3)</f>
        <v>3504204</v>
      </c>
      <c r="M22" s="124">
        <f>-SUMIFS('Jounal entries final'!$H:$H,'Jounal entries final'!$E:$E,'Indepth Working Capital'!$F$8,'Jounal entries final'!$M:$M,'Indepth Working Capital'!$F22,'Jounal entries final'!$B:$B,M$1,'Jounal entries final'!$C:$C,'Indepth Working Capital'!$G$3)</f>
        <v>3161070</v>
      </c>
      <c r="N22" s="124">
        <f>-SUMIFS('Jounal entries final'!$H:$H,'Jounal entries final'!$E:$E,'Indepth Working Capital'!$F$8,'Jounal entries final'!$M:$M,'Indepth Working Capital'!$F22,'Jounal entries final'!$B:$B,N$1,'Jounal entries final'!$C:$C,'Indepth Working Capital'!$G$3)</f>
        <v>1654350</v>
      </c>
      <c r="O22" s="124">
        <f>-SUMIFS('Jounal entries final'!$H:$H,'Jounal entries final'!$E:$E,'Indepth Working Capital'!$F$8,'Jounal entries final'!$M:$M,'Indepth Working Capital'!$F22,'Jounal entries final'!$B:$B,O$1,'Jounal entries final'!$C:$C,'Indepth Working Capital'!$G$3)</f>
        <v>2098719</v>
      </c>
      <c r="P22" s="124">
        <f>-SUMIFS('Jounal entries final'!$H:$H,'Jounal entries final'!$E:$E,'Indepth Working Capital'!$F$8,'Jounal entries final'!$M:$M,'Indepth Working Capital'!$F22,'Jounal entries final'!$B:$B,P$1,'Jounal entries final'!$C:$C,'Indepth Working Capital'!$G$3)</f>
        <v>2665260</v>
      </c>
      <c r="Q22" s="124">
        <f>-SUMIFS('Jounal entries final'!$H:$H,'Jounal entries final'!$E:$E,'Indepth Working Capital'!$F$8,'Jounal entries final'!$M:$M,'Indepth Working Capital'!$F22,'Jounal entries final'!$B:$B,Q$1,'Jounal entries final'!$C:$C,'Indepth Working Capital'!$G$3)</f>
        <v>3494754</v>
      </c>
      <c r="R22" s="124">
        <f>-SUMIFS('Jounal entries final'!$H:$H,'Jounal entries final'!$E:$E,'Indepth Working Capital'!$F$8,'Jounal entries final'!$M:$M,'Indepth Working Capital'!$F22,'Jounal entries final'!$B:$B,R$1,'Jounal entries final'!$C:$C,'Indepth Working Capital'!$G$3)</f>
        <v>2085210</v>
      </c>
    </row>
    <row r="23" spans="2:18">
      <c r="F23" s="118" t="s">
        <v>31</v>
      </c>
      <c r="G23" s="124">
        <f>-SUMIFS('Jounal entries final'!$H:$H,'Jounal entries final'!$E:$E,'Indepth Working Capital'!$F$8,'Jounal entries final'!$M:$M,'Indepth Working Capital'!$F23,'Jounal entries final'!$B:$B,G$1,'Jounal entries final'!$C:$C,'Indepth Working Capital'!$G$3)</f>
        <v>872984</v>
      </c>
      <c r="H23" s="124">
        <f>-SUMIFS('Jounal entries final'!$H:$H,'Jounal entries final'!$E:$E,'Indepth Working Capital'!$F$8,'Jounal entries final'!$M:$M,'Indepth Working Capital'!$F23,'Jounal entries final'!$B:$B,H$1,'Jounal entries final'!$C:$C,'Indepth Working Capital'!$G$3)</f>
        <v>1025715</v>
      </c>
      <c r="I23" s="124">
        <f>-SUMIFS('Jounal entries final'!$H:$H,'Jounal entries final'!$E:$E,'Indepth Working Capital'!$F$8,'Jounal entries final'!$M:$M,'Indepth Working Capital'!$F23,'Jounal entries final'!$B:$B,I$1,'Jounal entries final'!$C:$C,'Indepth Working Capital'!$G$3)</f>
        <v>1050962</v>
      </c>
      <c r="J23" s="124">
        <f>-SUMIFS('Jounal entries final'!$H:$H,'Jounal entries final'!$E:$E,'Indepth Working Capital'!$F$8,'Jounal entries final'!$M:$M,'Indepth Working Capital'!$F23,'Jounal entries final'!$B:$B,J$1,'Jounal entries final'!$C:$C,'Indepth Working Capital'!$G$3)</f>
        <v>1429818</v>
      </c>
      <c r="K23" s="124">
        <f>-SUMIFS('Jounal entries final'!$H:$H,'Jounal entries final'!$E:$E,'Indepth Working Capital'!$F$8,'Jounal entries final'!$M:$M,'Indepth Working Capital'!$F23,'Jounal entries final'!$B:$B,K$1,'Jounal entries final'!$C:$C,'Indepth Working Capital'!$G$3)</f>
        <v>902070</v>
      </c>
      <c r="L23" s="124">
        <f>-SUMIFS('Jounal entries final'!$H:$H,'Jounal entries final'!$E:$E,'Indepth Working Capital'!$F$8,'Jounal entries final'!$M:$M,'Indepth Working Capital'!$F23,'Jounal entries final'!$B:$B,L$1,'Jounal entries final'!$C:$C,'Indepth Working Capital'!$G$3)</f>
        <v>515645</v>
      </c>
      <c r="M23" s="124">
        <f>-SUMIFS('Jounal entries final'!$H:$H,'Jounal entries final'!$E:$E,'Indepth Working Capital'!$F$8,'Jounal entries final'!$M:$M,'Indepth Working Capital'!$F23,'Jounal entries final'!$B:$B,M$1,'Jounal entries final'!$C:$C,'Indepth Working Capital'!$G$3)</f>
        <v>1019031</v>
      </c>
      <c r="N23" s="124">
        <f>-SUMIFS('Jounal entries final'!$H:$H,'Jounal entries final'!$E:$E,'Indepth Working Capital'!$F$8,'Jounal entries final'!$M:$M,'Indepth Working Capital'!$F23,'Jounal entries final'!$B:$B,N$1,'Jounal entries final'!$C:$C,'Indepth Working Capital'!$G$3)</f>
        <v>1355424</v>
      </c>
      <c r="O23" s="124">
        <f>-SUMIFS('Jounal entries final'!$H:$H,'Jounal entries final'!$E:$E,'Indepth Working Capital'!$F$8,'Jounal entries final'!$M:$M,'Indepth Working Capital'!$F23,'Jounal entries final'!$B:$B,O$1,'Jounal entries final'!$C:$C,'Indepth Working Capital'!$G$3)</f>
        <v>1397760</v>
      </c>
      <c r="P23" s="124">
        <f>-SUMIFS('Jounal entries final'!$H:$H,'Jounal entries final'!$E:$E,'Indepth Working Capital'!$F$8,'Jounal entries final'!$M:$M,'Indepth Working Capital'!$F23,'Jounal entries final'!$B:$B,P$1,'Jounal entries final'!$C:$C,'Indepth Working Capital'!$G$3)</f>
        <v>425961</v>
      </c>
      <c r="Q23" s="124">
        <f>-SUMIFS('Jounal entries final'!$H:$H,'Jounal entries final'!$E:$E,'Indepth Working Capital'!$F$8,'Jounal entries final'!$M:$M,'Indepth Working Capital'!$F23,'Jounal entries final'!$B:$B,Q$1,'Jounal entries final'!$C:$C,'Indepth Working Capital'!$G$3)</f>
        <v>761550</v>
      </c>
      <c r="R23" s="124">
        <f>-SUMIFS('Jounal entries final'!$H:$H,'Jounal entries final'!$E:$E,'Indepth Working Capital'!$F$8,'Jounal entries final'!$M:$M,'Indepth Working Capital'!$F23,'Jounal entries final'!$B:$B,R$1,'Jounal entries final'!$C:$C,'Indepth Working Capital'!$G$3)</f>
        <v>457200</v>
      </c>
    </row>
    <row r="24" spans="2:18" ht="19">
      <c r="B24" s="150" t="s">
        <v>168</v>
      </c>
      <c r="F24" s="118" t="s">
        <v>40</v>
      </c>
      <c r="G24" s="124">
        <f>-SUMIFS('Jounal entries final'!$H:$H,'Jounal entries final'!$E:$E,'Indepth Working Capital'!$F$8,'Jounal entries final'!$M:$M,'Indepth Working Capital'!$F24,'Jounal entries final'!$B:$B,G$1,'Jounal entries final'!$C:$C,'Indepth Working Capital'!$G$3)</f>
        <v>601126</v>
      </c>
      <c r="H24" s="124">
        <f>-SUMIFS('Jounal entries final'!$H:$H,'Jounal entries final'!$E:$E,'Indepth Working Capital'!$F$8,'Jounal entries final'!$M:$M,'Indepth Working Capital'!$F24,'Jounal entries final'!$B:$B,H$1,'Jounal entries final'!$C:$C,'Indepth Working Capital'!$G$3)</f>
        <v>273400</v>
      </c>
      <c r="I24" s="124">
        <f>-SUMIFS('Jounal entries final'!$H:$H,'Jounal entries final'!$E:$E,'Indepth Working Capital'!$F$8,'Jounal entries final'!$M:$M,'Indepth Working Capital'!$F24,'Jounal entries final'!$B:$B,I$1,'Jounal entries final'!$C:$C,'Indepth Working Capital'!$G$3)</f>
        <v>1217721</v>
      </c>
      <c r="J24" s="124">
        <f>-SUMIFS('Jounal entries final'!$H:$H,'Jounal entries final'!$E:$E,'Indepth Working Capital'!$F$8,'Jounal entries final'!$M:$M,'Indepth Working Capital'!$F24,'Jounal entries final'!$B:$B,J$1,'Jounal entries final'!$C:$C,'Indepth Working Capital'!$G$3)</f>
        <v>1466607</v>
      </c>
      <c r="K24" s="124">
        <f>-SUMIFS('Jounal entries final'!$H:$H,'Jounal entries final'!$E:$E,'Indepth Working Capital'!$F$8,'Jounal entries final'!$M:$M,'Indepth Working Capital'!$F24,'Jounal entries final'!$B:$B,K$1,'Jounal entries final'!$C:$C,'Indepth Working Capital'!$G$3)</f>
        <v>173788</v>
      </c>
      <c r="L24" s="124">
        <f>-SUMIFS('Jounal entries final'!$H:$H,'Jounal entries final'!$E:$E,'Indepth Working Capital'!$F$8,'Jounal entries final'!$M:$M,'Indepth Working Capital'!$F24,'Jounal entries final'!$B:$B,L$1,'Jounal entries final'!$C:$C,'Indepth Working Capital'!$G$3)</f>
        <v>1584380</v>
      </c>
      <c r="M24" s="124">
        <f>-SUMIFS('Jounal entries final'!$H:$H,'Jounal entries final'!$E:$E,'Indepth Working Capital'!$F$8,'Jounal entries final'!$M:$M,'Indepth Working Capital'!$F24,'Jounal entries final'!$B:$B,M$1,'Jounal entries final'!$C:$C,'Indepth Working Capital'!$G$3)</f>
        <v>1750932</v>
      </c>
      <c r="N24" s="124">
        <f>-SUMIFS('Jounal entries final'!$H:$H,'Jounal entries final'!$E:$E,'Indepth Working Capital'!$F$8,'Jounal entries final'!$M:$M,'Indepth Working Capital'!$F24,'Jounal entries final'!$B:$B,N$1,'Jounal entries final'!$C:$C,'Indepth Working Capital'!$G$3)</f>
        <v>444024</v>
      </c>
      <c r="O24" s="124">
        <f>-SUMIFS('Jounal entries final'!$H:$H,'Jounal entries final'!$E:$E,'Indepth Working Capital'!$F$8,'Jounal entries final'!$M:$M,'Indepth Working Capital'!$F24,'Jounal entries final'!$B:$B,O$1,'Jounal entries final'!$C:$C,'Indepth Working Capital'!$G$3)</f>
        <v>383184</v>
      </c>
      <c r="P24" s="124">
        <f>-SUMIFS('Jounal entries final'!$H:$H,'Jounal entries final'!$E:$E,'Indepth Working Capital'!$F$8,'Jounal entries final'!$M:$M,'Indepth Working Capital'!$F24,'Jounal entries final'!$B:$B,P$1,'Jounal entries final'!$C:$C,'Indepth Working Capital'!$G$3)</f>
        <v>173664</v>
      </c>
      <c r="Q24" s="124">
        <f>-SUMIFS('Jounal entries final'!$H:$H,'Jounal entries final'!$E:$E,'Indepth Working Capital'!$F$8,'Jounal entries final'!$M:$M,'Indepth Working Capital'!$F24,'Jounal entries final'!$B:$B,Q$1,'Jounal entries final'!$C:$C,'Indepth Working Capital'!$G$3)</f>
        <v>846141</v>
      </c>
      <c r="R24" s="124">
        <f>-SUMIFS('Jounal entries final'!$H:$H,'Jounal entries final'!$E:$E,'Indepth Working Capital'!$F$8,'Jounal entries final'!$M:$M,'Indepth Working Capital'!$F24,'Jounal entries final'!$B:$B,R$1,'Jounal entries final'!$C:$C,'Indepth Working Capital'!$G$3)</f>
        <v>369024</v>
      </c>
    </row>
    <row r="25" spans="2:18">
      <c r="F25" s="118" t="s">
        <v>36</v>
      </c>
      <c r="G25" s="124">
        <f>-SUMIFS('Jounal entries final'!$H:$H,'Jounal entries final'!$E:$E,'Indepth Working Capital'!$F$8,'Jounal entries final'!$M:$M,'Indepth Working Capital'!$F25,'Jounal entries final'!$B:$B,G$1,'Jounal entries final'!$C:$C,'Indepth Working Capital'!$G$3)</f>
        <v>644640</v>
      </c>
      <c r="H25" s="124">
        <f>-SUMIFS('Jounal entries final'!$H:$H,'Jounal entries final'!$E:$E,'Indepth Working Capital'!$F$8,'Jounal entries final'!$M:$M,'Indepth Working Capital'!$F25,'Jounal entries final'!$B:$B,H$1,'Jounal entries final'!$C:$C,'Indepth Working Capital'!$G$3)</f>
        <v>1348382</v>
      </c>
      <c r="I25" s="124">
        <f>-SUMIFS('Jounal entries final'!$H:$H,'Jounal entries final'!$E:$E,'Indepth Working Capital'!$F$8,'Jounal entries final'!$M:$M,'Indepth Working Capital'!$F25,'Jounal entries final'!$B:$B,I$1,'Jounal entries final'!$C:$C,'Indepth Working Capital'!$G$3)</f>
        <v>861150</v>
      </c>
      <c r="J25" s="124">
        <f>-SUMIFS('Jounal entries final'!$H:$H,'Jounal entries final'!$E:$E,'Indepth Working Capital'!$F$8,'Jounal entries final'!$M:$M,'Indepth Working Capital'!$F25,'Jounal entries final'!$B:$B,J$1,'Jounal entries final'!$C:$C,'Indepth Working Capital'!$G$3)</f>
        <v>1073682</v>
      </c>
      <c r="K25" s="124">
        <f>-SUMIFS('Jounal entries final'!$H:$H,'Jounal entries final'!$E:$E,'Indepth Working Capital'!$F$8,'Jounal entries final'!$M:$M,'Indepth Working Capital'!$F25,'Jounal entries final'!$B:$B,K$1,'Jounal entries final'!$C:$C,'Indepth Working Capital'!$G$3)</f>
        <v>846009</v>
      </c>
      <c r="L25" s="124">
        <f>-SUMIFS('Jounal entries final'!$H:$H,'Jounal entries final'!$E:$E,'Indepth Working Capital'!$F$8,'Jounal entries final'!$M:$M,'Indepth Working Capital'!$F25,'Jounal entries final'!$B:$B,L$1,'Jounal entries final'!$C:$C,'Indepth Working Capital'!$G$3)</f>
        <v>915151</v>
      </c>
      <c r="M25" s="124">
        <f>-SUMIFS('Jounal entries final'!$H:$H,'Jounal entries final'!$E:$E,'Indepth Working Capital'!$F$8,'Jounal entries final'!$M:$M,'Indepth Working Capital'!$F25,'Jounal entries final'!$B:$B,M$1,'Jounal entries final'!$C:$C,'Indepth Working Capital'!$G$3)</f>
        <v>1990443</v>
      </c>
      <c r="N25" s="124">
        <f>-SUMIFS('Jounal entries final'!$H:$H,'Jounal entries final'!$E:$E,'Indepth Working Capital'!$F$8,'Jounal entries final'!$M:$M,'Indepth Working Capital'!$F25,'Jounal entries final'!$B:$B,N$1,'Jounal entries final'!$C:$C,'Indepth Working Capital'!$G$3)</f>
        <v>1462450</v>
      </c>
      <c r="O25" s="124">
        <f>-SUMIFS('Jounal entries final'!$H:$H,'Jounal entries final'!$E:$E,'Indepth Working Capital'!$F$8,'Jounal entries final'!$M:$M,'Indepth Working Capital'!$F25,'Jounal entries final'!$B:$B,O$1,'Jounal entries final'!$C:$C,'Indepth Working Capital'!$G$3)</f>
        <v>1400236</v>
      </c>
      <c r="P25" s="124">
        <f>-SUMIFS('Jounal entries final'!$H:$H,'Jounal entries final'!$E:$E,'Indepth Working Capital'!$F$8,'Jounal entries final'!$M:$M,'Indepth Working Capital'!$F25,'Jounal entries final'!$B:$B,P$1,'Jounal entries final'!$C:$C,'Indepth Working Capital'!$G$3)</f>
        <v>947030</v>
      </c>
      <c r="Q25" s="124">
        <f>-SUMIFS('Jounal entries final'!$H:$H,'Jounal entries final'!$E:$E,'Indepth Working Capital'!$F$8,'Jounal entries final'!$M:$M,'Indepth Working Capital'!$F25,'Jounal entries final'!$B:$B,Q$1,'Jounal entries final'!$C:$C,'Indepth Working Capital'!$G$3)</f>
        <v>829568</v>
      </c>
      <c r="R25" s="124">
        <f>-SUMIFS('Jounal entries final'!$H:$H,'Jounal entries final'!$E:$E,'Indepth Working Capital'!$F$8,'Jounal entries final'!$M:$M,'Indepth Working Capital'!$F25,'Jounal entries final'!$B:$B,R$1,'Jounal entries final'!$C:$C,'Indepth Working Capital'!$G$3)</f>
        <v>976488</v>
      </c>
    </row>
    <row r="26" spans="2:18" ht="19">
      <c r="B26" s="116" t="s">
        <v>167</v>
      </c>
      <c r="F26" s="118" t="s">
        <v>32</v>
      </c>
      <c r="G26" s="124">
        <f>-SUMIFS('Jounal entries final'!$H:$H,'Jounal entries final'!$E:$E,'Indepth Working Capital'!$F$8,'Jounal entries final'!$M:$M,'Indepth Working Capital'!$F26,'Jounal entries final'!$B:$B,G$1,'Jounal entries final'!$C:$C,'Indepth Working Capital'!$G$3)</f>
        <v>1115827</v>
      </c>
      <c r="H26" s="124">
        <f>-SUMIFS('Jounal entries final'!$H:$H,'Jounal entries final'!$E:$E,'Indepth Working Capital'!$F$8,'Jounal entries final'!$M:$M,'Indepth Working Capital'!$F26,'Jounal entries final'!$B:$B,H$1,'Jounal entries final'!$C:$C,'Indepth Working Capital'!$G$3)</f>
        <v>1827738</v>
      </c>
      <c r="I26" s="124">
        <f>-SUMIFS('Jounal entries final'!$H:$H,'Jounal entries final'!$E:$E,'Indepth Working Capital'!$F$8,'Jounal entries final'!$M:$M,'Indepth Working Capital'!$F26,'Jounal entries final'!$B:$B,I$1,'Jounal entries final'!$C:$C,'Indepth Working Capital'!$G$3)</f>
        <v>421857</v>
      </c>
      <c r="J26" s="124">
        <f>-SUMIFS('Jounal entries final'!$H:$H,'Jounal entries final'!$E:$E,'Indepth Working Capital'!$F$8,'Jounal entries final'!$M:$M,'Indepth Working Capital'!$F26,'Jounal entries final'!$B:$B,J$1,'Jounal entries final'!$C:$C,'Indepth Working Capital'!$G$3)</f>
        <v>1250755</v>
      </c>
      <c r="K26" s="124">
        <f>-SUMIFS('Jounal entries final'!$H:$H,'Jounal entries final'!$E:$E,'Indepth Working Capital'!$F$8,'Jounal entries final'!$M:$M,'Indepth Working Capital'!$F26,'Jounal entries final'!$B:$B,K$1,'Jounal entries final'!$C:$C,'Indepth Working Capital'!$G$3)</f>
        <v>567120</v>
      </c>
      <c r="L26" s="124">
        <f>-SUMIFS('Jounal entries final'!$H:$H,'Jounal entries final'!$E:$E,'Indepth Working Capital'!$F$8,'Jounal entries final'!$M:$M,'Indepth Working Capital'!$F26,'Jounal entries final'!$B:$B,L$1,'Jounal entries final'!$C:$C,'Indepth Working Capital'!$G$3)</f>
        <v>804344</v>
      </c>
      <c r="M26" s="124">
        <f>-SUMIFS('Jounal entries final'!$H:$H,'Jounal entries final'!$E:$E,'Indepth Working Capital'!$F$8,'Jounal entries final'!$M:$M,'Indepth Working Capital'!$F26,'Jounal entries final'!$B:$B,M$1,'Jounal entries final'!$C:$C,'Indepth Working Capital'!$G$3)</f>
        <v>754700</v>
      </c>
      <c r="N26" s="124">
        <f>-SUMIFS('Jounal entries final'!$H:$H,'Jounal entries final'!$E:$E,'Indepth Working Capital'!$F$8,'Jounal entries final'!$M:$M,'Indepth Working Capital'!$F26,'Jounal entries final'!$B:$B,N$1,'Jounal entries final'!$C:$C,'Indepth Working Capital'!$G$3)</f>
        <v>756884</v>
      </c>
      <c r="O26" s="124">
        <f>-SUMIFS('Jounal entries final'!$H:$H,'Jounal entries final'!$E:$E,'Indepth Working Capital'!$F$8,'Jounal entries final'!$M:$M,'Indepth Working Capital'!$F26,'Jounal entries final'!$B:$B,O$1,'Jounal entries final'!$C:$C,'Indepth Working Capital'!$G$3)</f>
        <v>1976853</v>
      </c>
      <c r="P26" s="124">
        <f>-SUMIFS('Jounal entries final'!$H:$H,'Jounal entries final'!$E:$E,'Indepth Working Capital'!$F$8,'Jounal entries final'!$M:$M,'Indepth Working Capital'!$F26,'Jounal entries final'!$B:$B,P$1,'Jounal entries final'!$C:$C,'Indepth Working Capital'!$G$3)</f>
        <v>1398420</v>
      </c>
      <c r="Q26" s="124">
        <f>-SUMIFS('Jounal entries final'!$H:$H,'Jounal entries final'!$E:$E,'Indepth Working Capital'!$F$8,'Jounal entries final'!$M:$M,'Indepth Working Capital'!$F26,'Jounal entries final'!$B:$B,Q$1,'Jounal entries final'!$C:$C,'Indepth Working Capital'!$G$3)</f>
        <v>1112020</v>
      </c>
      <c r="R26" s="124">
        <f>-SUMIFS('Jounal entries final'!$H:$H,'Jounal entries final'!$E:$E,'Indepth Working Capital'!$F$8,'Jounal entries final'!$M:$M,'Indepth Working Capital'!$F26,'Jounal entries final'!$B:$B,R$1,'Jounal entries final'!$C:$C,'Indepth Working Capital'!$G$3)</f>
        <v>677376</v>
      </c>
    </row>
    <row r="27" spans="2:18">
      <c r="F27" s="118" t="s">
        <v>37</v>
      </c>
      <c r="G27" s="124">
        <f>-SUMIFS('Jounal entries final'!$H:$H,'Jounal entries final'!$E:$E,'Indepth Working Capital'!$F$8,'Jounal entries final'!$M:$M,'Indepth Working Capital'!$F27,'Jounal entries final'!$B:$B,G$1,'Jounal entries final'!$C:$C,'Indepth Working Capital'!$G$3)</f>
        <v>550988</v>
      </c>
      <c r="H27" s="124">
        <f>-SUMIFS('Jounal entries final'!$H:$H,'Jounal entries final'!$E:$E,'Indepth Working Capital'!$F$8,'Jounal entries final'!$M:$M,'Indepth Working Capital'!$F27,'Jounal entries final'!$B:$B,H$1,'Jounal entries final'!$C:$C,'Indepth Working Capital'!$G$3)</f>
        <v>483771</v>
      </c>
      <c r="I27" s="124">
        <f>-SUMIFS('Jounal entries final'!$H:$H,'Jounal entries final'!$E:$E,'Indepth Working Capital'!$F$8,'Jounal entries final'!$M:$M,'Indepth Working Capital'!$F27,'Jounal entries final'!$B:$B,I$1,'Jounal entries final'!$C:$C,'Indepth Working Capital'!$G$3)</f>
        <v>585872</v>
      </c>
      <c r="J27" s="124">
        <f>-SUMIFS('Jounal entries final'!$H:$H,'Jounal entries final'!$E:$E,'Indepth Working Capital'!$F$8,'Jounal entries final'!$M:$M,'Indepth Working Capital'!$F27,'Jounal entries final'!$B:$B,J$1,'Jounal entries final'!$C:$C,'Indepth Working Capital'!$G$3)</f>
        <v>558195</v>
      </c>
      <c r="K27" s="124">
        <f>-SUMIFS('Jounal entries final'!$H:$H,'Jounal entries final'!$E:$E,'Indepth Working Capital'!$F$8,'Jounal entries final'!$M:$M,'Indepth Working Capital'!$F27,'Jounal entries final'!$B:$B,K$1,'Jounal entries final'!$C:$C,'Indepth Working Capital'!$G$3)</f>
        <v>713388</v>
      </c>
      <c r="L27" s="124">
        <f>-SUMIFS('Jounal entries final'!$H:$H,'Jounal entries final'!$E:$E,'Indepth Working Capital'!$F$8,'Jounal entries final'!$M:$M,'Indepth Working Capital'!$F27,'Jounal entries final'!$B:$B,L$1,'Jounal entries final'!$C:$C,'Indepth Working Capital'!$G$3)</f>
        <v>675328</v>
      </c>
      <c r="M27" s="124">
        <f>-SUMIFS('Jounal entries final'!$H:$H,'Jounal entries final'!$E:$E,'Indepth Working Capital'!$F$8,'Jounal entries final'!$M:$M,'Indepth Working Capital'!$F27,'Jounal entries final'!$B:$B,M$1,'Jounal entries final'!$C:$C,'Indepth Working Capital'!$G$3)</f>
        <v>670390</v>
      </c>
      <c r="N27" s="124">
        <f>-SUMIFS('Jounal entries final'!$H:$H,'Jounal entries final'!$E:$E,'Indepth Working Capital'!$F$8,'Jounal entries final'!$M:$M,'Indepth Working Capital'!$F27,'Jounal entries final'!$B:$B,N$1,'Jounal entries final'!$C:$C,'Indepth Working Capital'!$G$3)</f>
        <v>708324</v>
      </c>
      <c r="O27" s="124">
        <f>-SUMIFS('Jounal entries final'!$H:$H,'Jounal entries final'!$E:$E,'Indepth Working Capital'!$F$8,'Jounal entries final'!$M:$M,'Indepth Working Capital'!$F27,'Jounal entries final'!$B:$B,O$1,'Jounal entries final'!$C:$C,'Indepth Working Capital'!$G$3)</f>
        <v>682770</v>
      </c>
      <c r="P27" s="124">
        <f>-SUMIFS('Jounal entries final'!$H:$H,'Jounal entries final'!$E:$E,'Indepth Working Capital'!$F$8,'Jounal entries final'!$M:$M,'Indepth Working Capital'!$F27,'Jounal entries final'!$B:$B,P$1,'Jounal entries final'!$C:$C,'Indepth Working Capital'!$G$3)</f>
        <v>487665</v>
      </c>
      <c r="Q27" s="124">
        <f>-SUMIFS('Jounal entries final'!$H:$H,'Jounal entries final'!$E:$E,'Indepth Working Capital'!$F$8,'Jounal entries final'!$M:$M,'Indepth Working Capital'!$F27,'Jounal entries final'!$B:$B,Q$1,'Jounal entries final'!$C:$C,'Indepth Working Capital'!$G$3)</f>
        <v>718977</v>
      </c>
      <c r="R27" s="124">
        <f>-SUMIFS('Jounal entries final'!$H:$H,'Jounal entries final'!$E:$E,'Indepth Working Capital'!$F$8,'Jounal entries final'!$M:$M,'Indepth Working Capital'!$F27,'Jounal entries final'!$B:$B,R$1,'Jounal entries final'!$C:$C,'Indepth Working Capital'!$G$3)</f>
        <v>567736</v>
      </c>
    </row>
    <row r="28" spans="2:18" ht="19">
      <c r="B28" s="116" t="s">
        <v>173</v>
      </c>
      <c r="F28" s="118" t="s">
        <v>33</v>
      </c>
      <c r="G28" s="124">
        <f>-SUMIFS('Jounal entries final'!$H:$H,'Jounal entries final'!$E:$E,'Indepth Working Capital'!$F$8,'Jounal entries final'!$M:$M,'Indepth Working Capital'!$F28,'Jounal entries final'!$B:$B,G$1,'Jounal entries final'!$C:$C,'Indepth Working Capital'!$G$3)</f>
        <v>1756304</v>
      </c>
      <c r="H28" s="124">
        <f>-SUMIFS('Jounal entries final'!$H:$H,'Jounal entries final'!$E:$E,'Indepth Working Capital'!$F$8,'Jounal entries final'!$M:$M,'Indepth Working Capital'!$F28,'Jounal entries final'!$B:$B,H$1,'Jounal entries final'!$C:$C,'Indepth Working Capital'!$G$3)</f>
        <v>1282260</v>
      </c>
      <c r="I28" s="124">
        <f>-SUMIFS('Jounal entries final'!$H:$H,'Jounal entries final'!$E:$E,'Indepth Working Capital'!$F$8,'Jounal entries final'!$M:$M,'Indepth Working Capital'!$F28,'Jounal entries final'!$B:$B,I$1,'Jounal entries final'!$C:$C,'Indepth Working Capital'!$G$3)</f>
        <v>446978</v>
      </c>
      <c r="J28" s="124">
        <f>-SUMIFS('Jounal entries final'!$H:$H,'Jounal entries final'!$E:$E,'Indepth Working Capital'!$F$8,'Jounal entries final'!$M:$M,'Indepth Working Capital'!$F28,'Jounal entries final'!$B:$B,J$1,'Jounal entries final'!$C:$C,'Indepth Working Capital'!$G$3)</f>
        <v>440505</v>
      </c>
      <c r="K28" s="124">
        <f>-SUMIFS('Jounal entries final'!$H:$H,'Jounal entries final'!$E:$E,'Indepth Working Capital'!$F$8,'Jounal entries final'!$M:$M,'Indepth Working Capital'!$F28,'Jounal entries final'!$B:$B,K$1,'Jounal entries final'!$C:$C,'Indepth Working Capital'!$G$3)</f>
        <v>933504</v>
      </c>
      <c r="L28" s="124">
        <f>-SUMIFS('Jounal entries final'!$H:$H,'Jounal entries final'!$E:$E,'Indepth Working Capital'!$F$8,'Jounal entries final'!$M:$M,'Indepth Working Capital'!$F28,'Jounal entries final'!$B:$B,L$1,'Jounal entries final'!$C:$C,'Indepth Working Capital'!$G$3)</f>
        <v>1159740</v>
      </c>
      <c r="M28" s="124">
        <f>-SUMIFS('Jounal entries final'!$H:$H,'Jounal entries final'!$E:$E,'Indepth Working Capital'!$F$8,'Jounal entries final'!$M:$M,'Indepth Working Capital'!$F28,'Jounal entries final'!$B:$B,M$1,'Jounal entries final'!$C:$C,'Indepth Working Capital'!$G$3)</f>
        <v>1764378</v>
      </c>
      <c r="N28" s="124">
        <f>-SUMIFS('Jounal entries final'!$H:$H,'Jounal entries final'!$E:$E,'Indepth Working Capital'!$F$8,'Jounal entries final'!$M:$M,'Indepth Working Capital'!$F28,'Jounal entries final'!$B:$B,N$1,'Jounal entries final'!$C:$C,'Indepth Working Capital'!$G$3)</f>
        <v>1162070</v>
      </c>
      <c r="O28" s="124">
        <f>-SUMIFS('Jounal entries final'!$H:$H,'Jounal entries final'!$E:$E,'Indepth Working Capital'!$F$8,'Jounal entries final'!$M:$M,'Indepth Working Capital'!$F28,'Jounal entries final'!$B:$B,O$1,'Jounal entries final'!$C:$C,'Indepth Working Capital'!$G$3)</f>
        <v>489124</v>
      </c>
      <c r="P28" s="124">
        <f>-SUMIFS('Jounal entries final'!$H:$H,'Jounal entries final'!$E:$E,'Indepth Working Capital'!$F$8,'Jounal entries final'!$M:$M,'Indepth Working Capital'!$F28,'Jounal entries final'!$B:$B,P$1,'Jounal entries final'!$C:$C,'Indepth Working Capital'!$G$3)</f>
        <v>1149234</v>
      </c>
      <c r="Q28" s="124">
        <f>-SUMIFS('Jounal entries final'!$H:$H,'Jounal entries final'!$E:$E,'Indepth Working Capital'!$F$8,'Jounal entries final'!$M:$M,'Indepth Working Capital'!$F28,'Jounal entries final'!$B:$B,Q$1,'Jounal entries final'!$C:$C,'Indepth Working Capital'!$G$3)</f>
        <v>756560</v>
      </c>
      <c r="R28" s="124">
        <f>-SUMIFS('Jounal entries final'!$H:$H,'Jounal entries final'!$E:$E,'Indepth Working Capital'!$F$8,'Jounal entries final'!$M:$M,'Indepth Working Capital'!$F28,'Jounal entries final'!$B:$B,R$1,'Jounal entries final'!$C:$C,'Indepth Working Capital'!$G$3)</f>
        <v>1199400</v>
      </c>
    </row>
    <row r="29" spans="2:18">
      <c r="F29" s="118" t="s">
        <v>38</v>
      </c>
      <c r="G29" s="124">
        <f>-SUMIFS('Jounal entries final'!$H:$H,'Jounal entries final'!$E:$E,'Indepth Working Capital'!$F$8,'Jounal entries final'!$M:$M,'Indepth Working Capital'!$F29,'Jounal entries final'!$B:$B,G$1,'Jounal entries final'!$C:$C,'Indepth Working Capital'!$G$3)</f>
        <v>1005360</v>
      </c>
      <c r="H29" s="124">
        <f>-SUMIFS('Jounal entries final'!$H:$H,'Jounal entries final'!$E:$E,'Indepth Working Capital'!$F$8,'Jounal entries final'!$M:$M,'Indepth Working Capital'!$F29,'Jounal entries final'!$B:$B,H$1,'Jounal entries final'!$C:$C,'Indepth Working Capital'!$G$3)</f>
        <v>543344</v>
      </c>
      <c r="I29" s="124">
        <f>-SUMIFS('Jounal entries final'!$H:$H,'Jounal entries final'!$E:$E,'Indepth Working Capital'!$F$8,'Jounal entries final'!$M:$M,'Indepth Working Capital'!$F29,'Jounal entries final'!$B:$B,I$1,'Jounal entries final'!$C:$C,'Indepth Working Capital'!$G$3)</f>
        <v>1402960</v>
      </c>
      <c r="J29" s="124">
        <f>-SUMIFS('Jounal entries final'!$H:$H,'Jounal entries final'!$E:$E,'Indepth Working Capital'!$F$8,'Jounal entries final'!$M:$M,'Indepth Working Capital'!$F29,'Jounal entries final'!$B:$B,J$1,'Jounal entries final'!$C:$C,'Indepth Working Capital'!$G$3)</f>
        <v>671880</v>
      </c>
      <c r="K29" s="124">
        <f>-SUMIFS('Jounal entries final'!$H:$H,'Jounal entries final'!$E:$E,'Indepth Working Capital'!$F$8,'Jounal entries final'!$M:$M,'Indepth Working Capital'!$F29,'Jounal entries final'!$B:$B,K$1,'Jounal entries final'!$C:$C,'Indepth Working Capital'!$G$3)</f>
        <v>1392341</v>
      </c>
      <c r="L29" s="124">
        <f>-SUMIFS('Jounal entries final'!$H:$H,'Jounal entries final'!$E:$E,'Indepth Working Capital'!$F$8,'Jounal entries final'!$M:$M,'Indepth Working Capital'!$F29,'Jounal entries final'!$B:$B,L$1,'Jounal entries final'!$C:$C,'Indepth Working Capital'!$G$3)</f>
        <v>1177393</v>
      </c>
      <c r="M29" s="124">
        <f>-SUMIFS('Jounal entries final'!$H:$H,'Jounal entries final'!$E:$E,'Indepth Working Capital'!$F$8,'Jounal entries final'!$M:$M,'Indepth Working Capital'!$F29,'Jounal entries final'!$B:$B,M$1,'Jounal entries final'!$C:$C,'Indepth Working Capital'!$G$3)</f>
        <v>522000</v>
      </c>
      <c r="N29" s="124">
        <f>-SUMIFS('Jounal entries final'!$H:$H,'Jounal entries final'!$E:$E,'Indepth Working Capital'!$F$8,'Jounal entries final'!$M:$M,'Indepth Working Capital'!$F29,'Jounal entries final'!$B:$B,N$1,'Jounal entries final'!$C:$C,'Indepth Working Capital'!$G$3)</f>
        <v>1618086</v>
      </c>
      <c r="O29" s="124">
        <f>-SUMIFS('Jounal entries final'!$H:$H,'Jounal entries final'!$E:$E,'Indepth Working Capital'!$F$8,'Jounal entries final'!$M:$M,'Indepth Working Capital'!$F29,'Jounal entries final'!$B:$B,O$1,'Jounal entries final'!$C:$C,'Indepth Working Capital'!$G$3)</f>
        <v>1051848</v>
      </c>
      <c r="P29" s="124">
        <f>-SUMIFS('Jounal entries final'!$H:$H,'Jounal entries final'!$E:$E,'Indepth Working Capital'!$F$8,'Jounal entries final'!$M:$M,'Indepth Working Capital'!$F29,'Jounal entries final'!$B:$B,P$1,'Jounal entries final'!$C:$C,'Indepth Working Capital'!$G$3)</f>
        <v>1391220</v>
      </c>
      <c r="Q29" s="124">
        <f>-SUMIFS('Jounal entries final'!$H:$H,'Jounal entries final'!$E:$E,'Indepth Working Capital'!$F$8,'Jounal entries final'!$M:$M,'Indepth Working Capital'!$F29,'Jounal entries final'!$B:$B,Q$1,'Jounal entries final'!$C:$C,'Indepth Working Capital'!$G$3)</f>
        <v>415476</v>
      </c>
      <c r="R29" s="124">
        <f>-SUMIFS('Jounal entries final'!$H:$H,'Jounal entries final'!$E:$E,'Indepth Working Capital'!$F$8,'Jounal entries final'!$M:$M,'Indepth Working Capital'!$F29,'Jounal entries final'!$B:$B,R$1,'Jounal entries final'!$C:$C,'Indepth Working Capital'!$G$3)</f>
        <v>1075932</v>
      </c>
    </row>
    <row r="30" spans="2:18" ht="19">
      <c r="B30" s="116" t="s">
        <v>169</v>
      </c>
      <c r="F30" s="118" t="s">
        <v>34</v>
      </c>
      <c r="G30" s="124">
        <f>-SUMIFS('Jounal entries final'!$H:$H,'Jounal entries final'!$E:$E,'Indepth Working Capital'!$F$8,'Jounal entries final'!$M:$M,'Indepth Working Capital'!$F30,'Jounal entries final'!$B:$B,G$1,'Jounal entries final'!$C:$C,'Indepth Working Capital'!$G$3)</f>
        <v>1839104</v>
      </c>
      <c r="H30" s="124">
        <f>-SUMIFS('Jounal entries final'!$H:$H,'Jounal entries final'!$E:$E,'Indepth Working Capital'!$F$8,'Jounal entries final'!$M:$M,'Indepth Working Capital'!$F30,'Jounal entries final'!$B:$B,H$1,'Jounal entries final'!$C:$C,'Indepth Working Capital'!$G$3)</f>
        <v>1502664</v>
      </c>
      <c r="I30" s="124">
        <f>-SUMIFS('Jounal entries final'!$H:$H,'Jounal entries final'!$E:$E,'Indepth Working Capital'!$F$8,'Jounal entries final'!$M:$M,'Indepth Working Capital'!$F30,'Jounal entries final'!$B:$B,I$1,'Jounal entries final'!$C:$C,'Indepth Working Capital'!$G$3)</f>
        <v>664416</v>
      </c>
      <c r="J30" s="124">
        <f>-SUMIFS('Jounal entries final'!$H:$H,'Jounal entries final'!$E:$E,'Indepth Working Capital'!$F$8,'Jounal entries final'!$M:$M,'Indepth Working Capital'!$F30,'Jounal entries final'!$B:$B,J$1,'Jounal entries final'!$C:$C,'Indepth Working Capital'!$G$3)</f>
        <v>1658016</v>
      </c>
      <c r="K30" s="124">
        <f>-SUMIFS('Jounal entries final'!$H:$H,'Jounal entries final'!$E:$E,'Indepth Working Capital'!$F$8,'Jounal entries final'!$M:$M,'Indepth Working Capital'!$F30,'Jounal entries final'!$B:$B,K$1,'Jounal entries final'!$C:$C,'Indepth Working Capital'!$G$3)</f>
        <v>1233648</v>
      </c>
      <c r="L30" s="124">
        <f>-SUMIFS('Jounal entries final'!$H:$H,'Jounal entries final'!$E:$E,'Indepth Working Capital'!$F$8,'Jounal entries final'!$M:$M,'Indepth Working Capital'!$F30,'Jounal entries final'!$B:$B,L$1,'Jounal entries final'!$C:$C,'Indepth Working Capital'!$G$3)</f>
        <v>1641031</v>
      </c>
      <c r="M30" s="124">
        <f>-SUMIFS('Jounal entries final'!$H:$H,'Jounal entries final'!$E:$E,'Indepth Working Capital'!$F$8,'Jounal entries final'!$M:$M,'Indepth Working Capital'!$F30,'Jounal entries final'!$B:$B,M$1,'Jounal entries final'!$C:$C,'Indepth Working Capital'!$G$3)</f>
        <v>907731</v>
      </c>
      <c r="N30" s="124">
        <f>-SUMIFS('Jounal entries final'!$H:$H,'Jounal entries final'!$E:$E,'Indepth Working Capital'!$F$8,'Jounal entries final'!$M:$M,'Indepth Working Capital'!$F30,'Jounal entries final'!$B:$B,N$1,'Jounal entries final'!$C:$C,'Indepth Working Capital'!$G$3)</f>
        <v>1299942</v>
      </c>
      <c r="O30" s="124">
        <f>-SUMIFS('Jounal entries final'!$H:$H,'Jounal entries final'!$E:$E,'Indepth Working Capital'!$F$8,'Jounal entries final'!$M:$M,'Indepth Working Capital'!$F30,'Jounal entries final'!$B:$B,O$1,'Jounal entries final'!$C:$C,'Indepth Working Capital'!$G$3)</f>
        <v>1452928</v>
      </c>
      <c r="P30" s="124">
        <f>-SUMIFS('Jounal entries final'!$H:$H,'Jounal entries final'!$E:$E,'Indepth Working Capital'!$F$8,'Jounal entries final'!$M:$M,'Indepth Working Capital'!$F30,'Jounal entries final'!$B:$B,P$1,'Jounal entries final'!$C:$C,'Indepth Working Capital'!$G$3)</f>
        <v>1125402</v>
      </c>
      <c r="Q30" s="124">
        <f>-SUMIFS('Jounal entries final'!$H:$H,'Jounal entries final'!$E:$E,'Indepth Working Capital'!$F$8,'Jounal entries final'!$M:$M,'Indepth Working Capital'!$F30,'Jounal entries final'!$B:$B,Q$1,'Jounal entries final'!$C:$C,'Indepth Working Capital'!$G$3)</f>
        <v>1233232</v>
      </c>
      <c r="R30" s="124">
        <f>-SUMIFS('Jounal entries final'!$H:$H,'Jounal entries final'!$E:$E,'Indepth Working Capital'!$F$8,'Jounal entries final'!$M:$M,'Indepth Working Capital'!$F30,'Jounal entries final'!$B:$B,R$1,'Jounal entries final'!$C:$C,'Indepth Working Capital'!$G$3)</f>
        <v>1748626</v>
      </c>
    </row>
    <row r="31" spans="2:18">
      <c r="F31" s="118" t="s">
        <v>35</v>
      </c>
      <c r="G31" s="124">
        <f>-SUMIFS('Jounal entries final'!$H:$H,'Jounal entries final'!$E:$E,'Indepth Working Capital'!$F$8,'Jounal entries final'!$M:$M,'Indepth Working Capital'!$F31,'Jounal entries final'!$B:$B,G$1,'Jounal entries final'!$C:$C,'Indepth Working Capital'!$G$3)</f>
        <v>1110474</v>
      </c>
      <c r="H31" s="124">
        <f>-SUMIFS('Jounal entries final'!$H:$H,'Jounal entries final'!$E:$E,'Indepth Working Capital'!$F$8,'Jounal entries final'!$M:$M,'Indepth Working Capital'!$F31,'Jounal entries final'!$B:$B,H$1,'Jounal entries final'!$C:$C,'Indepth Working Capital'!$G$3)</f>
        <v>2014920</v>
      </c>
      <c r="I31" s="124">
        <f>-SUMIFS('Jounal entries final'!$H:$H,'Jounal entries final'!$E:$E,'Indepth Working Capital'!$F$8,'Jounal entries final'!$M:$M,'Indepth Working Capital'!$F31,'Jounal entries final'!$B:$B,I$1,'Jounal entries final'!$C:$C,'Indepth Working Capital'!$G$3)</f>
        <v>372166</v>
      </c>
      <c r="J31" s="124">
        <f>-SUMIFS('Jounal entries final'!$H:$H,'Jounal entries final'!$E:$E,'Indepth Working Capital'!$F$8,'Jounal entries final'!$M:$M,'Indepth Working Capital'!$F31,'Jounal entries final'!$B:$B,J$1,'Jounal entries final'!$C:$C,'Indepth Working Capital'!$G$3)</f>
        <v>1096316</v>
      </c>
      <c r="K31" s="124">
        <f>-SUMIFS('Jounal entries final'!$H:$H,'Jounal entries final'!$E:$E,'Indepth Working Capital'!$F$8,'Jounal entries final'!$M:$M,'Indepth Working Capital'!$F31,'Jounal entries final'!$B:$B,K$1,'Jounal entries final'!$C:$C,'Indepth Working Capital'!$G$3)</f>
        <v>1338336</v>
      </c>
      <c r="L31" s="124">
        <f>-SUMIFS('Jounal entries final'!$H:$H,'Jounal entries final'!$E:$E,'Indepth Working Capital'!$F$8,'Jounal entries final'!$M:$M,'Indepth Working Capital'!$F31,'Jounal entries final'!$B:$B,L$1,'Jounal entries final'!$C:$C,'Indepth Working Capital'!$G$3)</f>
        <v>600600</v>
      </c>
      <c r="M31" s="124">
        <f>-SUMIFS('Jounal entries final'!$H:$H,'Jounal entries final'!$E:$E,'Indepth Working Capital'!$F$8,'Jounal entries final'!$M:$M,'Indepth Working Capital'!$F31,'Jounal entries final'!$B:$B,M$1,'Jounal entries final'!$C:$C,'Indepth Working Capital'!$G$3)</f>
        <v>577216</v>
      </c>
      <c r="N31" s="124">
        <f>-SUMIFS('Jounal entries final'!$H:$H,'Jounal entries final'!$E:$E,'Indepth Working Capital'!$F$8,'Jounal entries final'!$M:$M,'Indepth Working Capital'!$F31,'Jounal entries final'!$B:$B,N$1,'Jounal entries final'!$C:$C,'Indepth Working Capital'!$G$3)</f>
        <v>605178</v>
      </c>
      <c r="O31" s="124">
        <f>-SUMIFS('Jounal entries final'!$H:$H,'Jounal entries final'!$E:$E,'Indepth Working Capital'!$F$8,'Jounal entries final'!$M:$M,'Indepth Working Capital'!$F31,'Jounal entries final'!$B:$B,O$1,'Jounal entries final'!$C:$C,'Indepth Working Capital'!$G$3)</f>
        <v>554164</v>
      </c>
      <c r="P31" s="124">
        <f>-SUMIFS('Jounal entries final'!$H:$H,'Jounal entries final'!$E:$E,'Indepth Working Capital'!$F$8,'Jounal entries final'!$M:$M,'Indepth Working Capital'!$F31,'Jounal entries final'!$B:$B,P$1,'Jounal entries final'!$C:$C,'Indepth Working Capital'!$G$3)</f>
        <v>1589335</v>
      </c>
      <c r="Q31" s="124">
        <f>-SUMIFS('Jounal entries final'!$H:$H,'Jounal entries final'!$E:$E,'Indepth Working Capital'!$F$8,'Jounal entries final'!$M:$M,'Indepth Working Capital'!$F31,'Jounal entries final'!$B:$B,Q$1,'Jounal entries final'!$C:$C,'Indepth Working Capital'!$G$3)</f>
        <v>1111460</v>
      </c>
      <c r="R31" s="124">
        <f>-SUMIFS('Jounal entries final'!$H:$H,'Jounal entries final'!$E:$E,'Indepth Working Capital'!$F$8,'Jounal entries final'!$M:$M,'Indepth Working Capital'!$F31,'Jounal entries final'!$B:$B,R$1,'Jounal entries final'!$C:$C,'Indepth Working Capital'!$G$3)</f>
        <v>1640576</v>
      </c>
    </row>
    <row r="33" spans="2:18" ht="20" thickBot="1">
      <c r="B33" s="116" t="s">
        <v>170</v>
      </c>
    </row>
    <row r="34" spans="2:18" ht="19">
      <c r="B34" s="116" t="s">
        <v>166</v>
      </c>
      <c r="F34" s="193" t="s">
        <v>39</v>
      </c>
      <c r="G34" s="180">
        <f>G11/G22*30</f>
        <v>30</v>
      </c>
      <c r="H34" s="180">
        <f>(H11/SUM(G22:H22))*60</f>
        <v>60</v>
      </c>
      <c r="I34" s="180">
        <f>(I11/(SUM(G22:I22))*90)</f>
        <v>90</v>
      </c>
      <c r="J34" s="180">
        <f t="shared" ref="J34:R34" si="1">(J11/(SUM(H22:J22))*90)</f>
        <v>65.836405771099649</v>
      </c>
      <c r="K34" s="180">
        <f t="shared" si="1"/>
        <v>57.296364661906161</v>
      </c>
      <c r="L34" s="180">
        <f t="shared" si="1"/>
        <v>56.390216294429521</v>
      </c>
      <c r="M34" s="180">
        <f t="shared" si="1"/>
        <v>81.861494173619249</v>
      </c>
      <c r="N34" s="180">
        <f t="shared" si="1"/>
        <v>52.092233975958528</v>
      </c>
      <c r="O34" s="180">
        <f t="shared" si="1"/>
        <v>90</v>
      </c>
      <c r="P34" s="180">
        <f t="shared" si="1"/>
        <v>90</v>
      </c>
      <c r="Q34" s="180">
        <f t="shared" si="1"/>
        <v>38.084275154554575</v>
      </c>
      <c r="R34" s="181">
        <f t="shared" si="1"/>
        <v>60.907594505619258</v>
      </c>
    </row>
    <row r="35" spans="2:18">
      <c r="F35" s="194" t="s">
        <v>31</v>
      </c>
      <c r="G35" s="161">
        <f t="shared" ref="G35:G43" si="2">G12/G23*30</f>
        <v>30</v>
      </c>
      <c r="H35" s="161">
        <f t="shared" ref="H35:H43" si="3">(H12/SUM(G23:H23))*60</f>
        <v>60</v>
      </c>
      <c r="I35" s="161">
        <f t="shared" ref="I35:I43" si="4">(I12/(SUM(G23:I23))*90)</f>
        <v>90</v>
      </c>
      <c r="J35" s="161">
        <f t="shared" ref="J35:J43" si="5">(J12/(SUM(H23:J23))*90)</f>
        <v>90</v>
      </c>
      <c r="K35" s="161">
        <f t="shared" ref="K35:K43" si="6">(K12/(SUM(I23:K23))*90)</f>
        <v>90</v>
      </c>
      <c r="L35" s="161">
        <f t="shared" ref="L35:L43" si="7">(L12/(SUM(J23:L23))*90)</f>
        <v>90</v>
      </c>
      <c r="M35" s="161">
        <f t="shared" ref="M35:M43" si="8">(M12/(SUM(K23:M23))*90)</f>
        <v>56.682493784744082</v>
      </c>
      <c r="N35" s="161">
        <f t="shared" ref="N35:N43" si="9">(N12/(SUM(L23:N23))*90)</f>
        <v>73.94240683713366</v>
      </c>
      <c r="O35" s="161">
        <f t="shared" ref="O35:O43" si="10">(O12/(SUM(M23:O23))*90)</f>
        <v>90</v>
      </c>
      <c r="P35" s="161">
        <f t="shared" ref="P35:P43" si="11">(P12/(SUM(N23:P23))*90)</f>
        <v>90</v>
      </c>
      <c r="Q35" s="161">
        <f t="shared" ref="Q35:Q43" si="12">(Q12/(SUM(O23:Q23))*90)</f>
        <v>137.18583080845295</v>
      </c>
      <c r="R35" s="171">
        <f t="shared" ref="R35:R43" si="13">(R12/(SUM(P23:R23))*90)</f>
        <v>25.018377088740817</v>
      </c>
    </row>
    <row r="36" spans="2:18" ht="19">
      <c r="B36" s="150" t="s">
        <v>168</v>
      </c>
      <c r="F36" s="194" t="s">
        <v>40</v>
      </c>
      <c r="G36" s="161">
        <f t="shared" si="2"/>
        <v>30</v>
      </c>
      <c r="H36" s="161">
        <f t="shared" si="3"/>
        <v>18.757589825802778</v>
      </c>
      <c r="I36" s="161">
        <f t="shared" si="4"/>
        <v>64.141991839395629</v>
      </c>
      <c r="J36" s="161">
        <f t="shared" si="5"/>
        <v>90</v>
      </c>
      <c r="K36" s="161">
        <f t="shared" si="6"/>
        <v>51.654848858478807</v>
      </c>
      <c r="L36" s="161">
        <f t="shared" si="7"/>
        <v>90</v>
      </c>
      <c r="M36" s="161">
        <f t="shared" si="8"/>
        <v>49.364452423698388</v>
      </c>
      <c r="N36" s="161">
        <f t="shared" si="9"/>
        <v>52.270038969808454</v>
      </c>
      <c r="O36" s="161">
        <f t="shared" si="10"/>
        <v>13.376527263841375</v>
      </c>
      <c r="P36" s="161">
        <f t="shared" si="11"/>
        <v>50.072656643406951</v>
      </c>
      <c r="Q36" s="161">
        <f t="shared" si="12"/>
        <v>90</v>
      </c>
      <c r="R36" s="171">
        <f t="shared" si="13"/>
        <v>35.167698831173603</v>
      </c>
    </row>
    <row r="37" spans="2:18">
      <c r="F37" s="194" t="s">
        <v>36</v>
      </c>
      <c r="G37" s="161">
        <f t="shared" si="2"/>
        <v>123.07520476545049</v>
      </c>
      <c r="H37" s="161">
        <f t="shared" si="3"/>
        <v>120.21007294450337</v>
      </c>
      <c r="I37" s="161">
        <f t="shared" si="4"/>
        <v>132.73827926277744</v>
      </c>
      <c r="J37" s="161">
        <f t="shared" si="5"/>
        <v>53.037931733965557</v>
      </c>
      <c r="K37" s="161">
        <f t="shared" si="6"/>
        <v>90</v>
      </c>
      <c r="L37" s="161">
        <f t="shared" si="7"/>
        <v>117.33961892761573</v>
      </c>
      <c r="M37" s="161">
        <f t="shared" si="8"/>
        <v>90</v>
      </c>
      <c r="N37" s="161">
        <f t="shared" si="9"/>
        <v>90</v>
      </c>
      <c r="O37" s="161">
        <f t="shared" si="10"/>
        <v>106.97123443452668</v>
      </c>
      <c r="P37" s="161">
        <f t="shared" si="11"/>
        <v>55.451361728800784</v>
      </c>
      <c r="Q37" s="161">
        <f t="shared" si="12"/>
        <v>90</v>
      </c>
      <c r="R37" s="171">
        <f t="shared" si="13"/>
        <v>59.041032499529614</v>
      </c>
    </row>
    <row r="38" spans="2:18" ht="19">
      <c r="B38" s="116" t="s">
        <v>167</v>
      </c>
      <c r="F38" s="194" t="s">
        <v>32</v>
      </c>
      <c r="G38" s="161">
        <f t="shared" si="2"/>
        <v>30</v>
      </c>
      <c r="H38" s="161">
        <f t="shared" si="3"/>
        <v>60</v>
      </c>
      <c r="I38" s="161">
        <f t="shared" si="4"/>
        <v>90</v>
      </c>
      <c r="J38" s="161">
        <f t="shared" si="5"/>
        <v>43.005722284914363</v>
      </c>
      <c r="K38" s="161">
        <f t="shared" si="6"/>
        <v>73.048360250244215</v>
      </c>
      <c r="L38" s="161">
        <f t="shared" si="7"/>
        <v>90</v>
      </c>
      <c r="M38" s="161">
        <f t="shared" si="8"/>
        <v>65.993949667099997</v>
      </c>
      <c r="N38" s="161">
        <f t="shared" si="9"/>
        <v>58.742137061255796</v>
      </c>
      <c r="O38" s="161">
        <f t="shared" si="10"/>
        <v>70.529102288503424</v>
      </c>
      <c r="P38" s="161">
        <f t="shared" si="11"/>
        <v>73.514769646942256</v>
      </c>
      <c r="Q38" s="161">
        <f t="shared" si="12"/>
        <v>90</v>
      </c>
      <c r="R38" s="171">
        <f t="shared" si="13"/>
        <v>50.519114026656489</v>
      </c>
    </row>
    <row r="39" spans="2:18">
      <c r="F39" s="194" t="s">
        <v>37</v>
      </c>
      <c r="G39" s="161">
        <f t="shared" si="2"/>
        <v>30</v>
      </c>
      <c r="H39" s="161">
        <f t="shared" si="3"/>
        <v>60</v>
      </c>
      <c r="I39" s="161">
        <f t="shared" si="4"/>
        <v>59.401473870362835</v>
      </c>
      <c r="J39" s="161">
        <f t="shared" si="5"/>
        <v>90</v>
      </c>
      <c r="K39" s="161">
        <f t="shared" si="6"/>
        <v>85.052859961614146</v>
      </c>
      <c r="L39" s="161">
        <f t="shared" si="7"/>
        <v>90</v>
      </c>
      <c r="M39" s="161">
        <f t="shared" si="8"/>
        <v>58.819031171780374</v>
      </c>
      <c r="N39" s="161">
        <f t="shared" si="9"/>
        <v>90</v>
      </c>
      <c r="O39" s="161">
        <f t="shared" si="10"/>
        <v>90</v>
      </c>
      <c r="P39" s="161">
        <f t="shared" si="11"/>
        <v>56.068473923478209</v>
      </c>
      <c r="Q39" s="161">
        <f t="shared" si="12"/>
        <v>57.477024598128935</v>
      </c>
      <c r="R39" s="171">
        <f t="shared" si="13"/>
        <v>53.532048977162702</v>
      </c>
    </row>
    <row r="40" spans="2:18" ht="19">
      <c r="B40" s="116" t="s">
        <v>173</v>
      </c>
      <c r="F40" s="194" t="s">
        <v>33</v>
      </c>
      <c r="G40" s="161">
        <f t="shared" si="2"/>
        <v>30</v>
      </c>
      <c r="H40" s="161">
        <f t="shared" si="3"/>
        <v>60</v>
      </c>
      <c r="I40" s="161">
        <f t="shared" si="4"/>
        <v>90</v>
      </c>
      <c r="J40" s="161">
        <f t="shared" si="5"/>
        <v>18.271956632651886</v>
      </c>
      <c r="K40" s="161">
        <f t="shared" si="6"/>
        <v>67.908672604472187</v>
      </c>
      <c r="L40" s="161">
        <f t="shared" si="7"/>
        <v>90</v>
      </c>
      <c r="M40" s="161">
        <f t="shared" si="8"/>
        <v>90</v>
      </c>
      <c r="N40" s="161">
        <f t="shared" si="9"/>
        <v>110.56081609558835</v>
      </c>
      <c r="O40" s="161">
        <f t="shared" si="10"/>
        <v>90</v>
      </c>
      <c r="P40" s="161">
        <f t="shared" si="11"/>
        <v>52.653458685600917</v>
      </c>
      <c r="Q40" s="161">
        <f t="shared" si="12"/>
        <v>71.618928080209841</v>
      </c>
      <c r="R40" s="171">
        <f t="shared" si="13"/>
        <v>90</v>
      </c>
    </row>
    <row r="41" spans="2:18">
      <c r="F41" s="194" t="s">
        <v>38</v>
      </c>
      <c r="G41" s="161">
        <f t="shared" si="2"/>
        <v>30</v>
      </c>
      <c r="H41" s="161">
        <f t="shared" si="3"/>
        <v>60</v>
      </c>
      <c r="I41" s="161">
        <f t="shared" si="4"/>
        <v>90</v>
      </c>
      <c r="J41" s="161">
        <f t="shared" si="5"/>
        <v>105.88178676517769</v>
      </c>
      <c r="K41" s="161">
        <f t="shared" si="6"/>
        <v>53.582403110769242</v>
      </c>
      <c r="L41" s="161">
        <f t="shared" si="7"/>
        <v>71.345959142575268</v>
      </c>
      <c r="M41" s="161">
        <f t="shared" si="8"/>
        <v>49.469123152250489</v>
      </c>
      <c r="N41" s="161">
        <f t="shared" si="9"/>
        <v>90</v>
      </c>
      <c r="O41" s="161">
        <f t="shared" si="10"/>
        <v>75.281650560443921</v>
      </c>
      <c r="P41" s="161">
        <f t="shared" si="11"/>
        <v>54.141290874465724</v>
      </c>
      <c r="Q41" s="161">
        <f t="shared" si="12"/>
        <v>46.198050476046546</v>
      </c>
      <c r="R41" s="171">
        <f t="shared" si="13"/>
        <v>79.40429358210632</v>
      </c>
    </row>
    <row r="42" spans="2:18" ht="19">
      <c r="B42" s="116" t="s">
        <v>169</v>
      </c>
      <c r="F42" s="194" t="s">
        <v>34</v>
      </c>
      <c r="G42" s="161">
        <f t="shared" si="2"/>
        <v>30</v>
      </c>
      <c r="H42" s="161">
        <f t="shared" si="3"/>
        <v>60</v>
      </c>
      <c r="I42" s="161">
        <f t="shared" si="4"/>
        <v>56.242249482300366</v>
      </c>
      <c r="J42" s="161">
        <f t="shared" si="5"/>
        <v>54.644087364081841</v>
      </c>
      <c r="K42" s="161">
        <f t="shared" si="6"/>
        <v>90</v>
      </c>
      <c r="L42" s="161">
        <f t="shared" si="7"/>
        <v>90</v>
      </c>
      <c r="M42" s="161">
        <f t="shared" si="8"/>
        <v>90</v>
      </c>
      <c r="N42" s="161">
        <f t="shared" si="9"/>
        <v>118.84823566582413</v>
      </c>
      <c r="O42" s="161">
        <f t="shared" si="10"/>
        <v>58.039461279718822</v>
      </c>
      <c r="P42" s="161">
        <f t="shared" si="11"/>
        <v>59.833271106307137</v>
      </c>
      <c r="Q42" s="161">
        <f t="shared" si="12"/>
        <v>90</v>
      </c>
      <c r="R42" s="171">
        <f t="shared" si="13"/>
        <v>97.176886780968331</v>
      </c>
    </row>
    <row r="43" spans="2:18" ht="16" thickBot="1">
      <c r="F43" s="195" t="s">
        <v>35</v>
      </c>
      <c r="G43" s="173">
        <f t="shared" si="2"/>
        <v>30</v>
      </c>
      <c r="H43" s="173">
        <f t="shared" si="3"/>
        <v>60</v>
      </c>
      <c r="I43" s="173">
        <f t="shared" si="4"/>
        <v>61.425033451892176</v>
      </c>
      <c r="J43" s="173">
        <f t="shared" si="5"/>
        <v>37.940892265664431</v>
      </c>
      <c r="K43" s="173">
        <f t="shared" si="6"/>
        <v>78.066579307956545</v>
      </c>
      <c r="L43" s="173">
        <f t="shared" si="7"/>
        <v>57.492504740957266</v>
      </c>
      <c r="M43" s="173">
        <f t="shared" si="8"/>
        <v>90</v>
      </c>
      <c r="N43" s="173">
        <f t="shared" si="9"/>
        <v>59.683577174123975</v>
      </c>
      <c r="O43" s="173">
        <f t="shared" si="10"/>
        <v>90</v>
      </c>
      <c r="P43" s="173">
        <f t="shared" si="11"/>
        <v>70.18464155664708</v>
      </c>
      <c r="Q43" s="173">
        <f t="shared" si="12"/>
        <v>90</v>
      </c>
      <c r="R43" s="174">
        <f t="shared" si="13"/>
        <v>90</v>
      </c>
    </row>
    <row r="44" spans="2:18" ht="16" thickBot="1">
      <c r="F44" s="185" t="s">
        <v>235</v>
      </c>
      <c r="G44" s="186">
        <f>+(G9/G8)*30</f>
        <v>34.364999195748901</v>
      </c>
      <c r="H44" s="187">
        <f>(H9/SUM(G8:H8))*60</f>
        <v>63.170591127120879</v>
      </c>
      <c r="I44" s="187">
        <f>I9/SUM(G8:I8)*90</f>
        <v>84.180384607685866</v>
      </c>
      <c r="J44" s="187">
        <f t="shared" ref="J44:R44" si="14">J9/SUM(H8:J8)*90</f>
        <v>64.038102274834188</v>
      </c>
      <c r="K44" s="187">
        <f t="shared" si="14"/>
        <v>70.192604730726558</v>
      </c>
      <c r="L44" s="187">
        <f t="shared" si="14"/>
        <v>78.58607721637901</v>
      </c>
      <c r="M44" s="187">
        <f t="shared" si="14"/>
        <v>75.379835043954799</v>
      </c>
      <c r="N44" s="187">
        <f t="shared" si="14"/>
        <v>78.146001683947034</v>
      </c>
      <c r="O44" s="187">
        <f t="shared" si="14"/>
        <v>80.270290522238199</v>
      </c>
      <c r="P44" s="187">
        <f t="shared" si="14"/>
        <v>68.614582982194293</v>
      </c>
      <c r="Q44" s="187">
        <f t="shared" si="14"/>
        <v>74.248473096024483</v>
      </c>
      <c r="R44" s="187">
        <f t="shared" si="14"/>
        <v>69.068015351372139</v>
      </c>
    </row>
    <row r="45" spans="2:18" ht="16" thickBot="1"/>
    <row r="46" spans="2:18" ht="19">
      <c r="B46" s="116" t="s">
        <v>171</v>
      </c>
      <c r="F46" s="165" t="s">
        <v>188</v>
      </c>
      <c r="G46" s="189">
        <f>-SUMIFS('Jounal entries final'!$H:$H,'Jounal entries final'!$E:$E,'Indepth Working Capital'!F46,'Jounal entries final'!B:B,'Indepth Working Capital'!$E$2,'Jounal entries final'!C:C,'Indepth Working Capital'!$G$3)</f>
        <v>21833695</v>
      </c>
      <c r="H46" s="166">
        <f>-SUMIFS('Jounal entries final'!$H:$H,'Jounal entries final'!$E:$E,'Indepth Working Capital'!$F46,'Jounal entries final'!$B:$B,H$1,'Jounal entries final'!$C:$C,'Indepth Working Capital'!$G$3)</f>
        <v>29646200</v>
      </c>
      <c r="I46" s="166">
        <f>-SUMIFS('Jounal entries final'!$H:$H,'Jounal entries final'!$E:$E,'Indepth Working Capital'!$F46,'Jounal entries final'!$B:$B,I$1,'Jounal entries final'!$C:$C,'Indepth Working Capital'!$G$3)</f>
        <v>31818810</v>
      </c>
      <c r="J46" s="166">
        <f>-SUMIFS('Jounal entries final'!$H:$H,'Jounal entries final'!$E:$E,'Indepth Working Capital'!$F46,'Jounal entries final'!$B:$B,J$1,'Jounal entries final'!$C:$C,'Indepth Working Capital'!$G$3)</f>
        <v>33312505</v>
      </c>
      <c r="K46" s="166">
        <f>-SUMIFS('Jounal entries final'!$H:$H,'Jounal entries final'!$E:$E,'Indepth Working Capital'!$F46,'Jounal entries final'!$B:$B,K$1,'Jounal entries final'!$C:$C,'Indepth Working Capital'!$G$3)</f>
        <v>29079495</v>
      </c>
      <c r="L46" s="166">
        <f>-SUMIFS('Jounal entries final'!$H:$H,'Jounal entries final'!$E:$E,'Indepth Working Capital'!$F46,'Jounal entries final'!$B:$B,L$1,'Jounal entries final'!$C:$C,'Indepth Working Capital'!$G$3)</f>
        <v>26707000</v>
      </c>
      <c r="M46" s="166">
        <f>-SUMIFS('Jounal entries final'!$H:$H,'Jounal entries final'!$E:$E,'Indepth Working Capital'!$F46,'Jounal entries final'!$B:$B,M$1,'Jounal entries final'!$C:$C,'Indepth Working Capital'!$G$3)</f>
        <v>32809000</v>
      </c>
      <c r="N46" s="166">
        <f>-SUMIFS('Jounal entries final'!$H:$H,'Jounal entries final'!$E:$E,'Indepth Working Capital'!$F46,'Jounal entries final'!$B:$B,N$1,'Jounal entries final'!$C:$C,'Indepth Working Capital'!$G$3)</f>
        <v>35846010</v>
      </c>
      <c r="O46" s="166">
        <f>-SUMIFS('Jounal entries final'!$H:$H,'Jounal entries final'!$E:$E,'Indepth Working Capital'!$F46,'Jounal entries final'!$B:$B,O$1,'Jounal entries final'!$C:$C,'Indepth Working Capital'!$G$3)</f>
        <v>23717265</v>
      </c>
      <c r="P46" s="166">
        <f>-SUMIFS('Jounal entries final'!$H:$H,'Jounal entries final'!$E:$E,'Indepth Working Capital'!$F46,'Jounal entries final'!$B:$B,P$1,'Jounal entries final'!$C:$C,'Indepth Working Capital'!$G$3)</f>
        <v>30787275</v>
      </c>
      <c r="Q46" s="166">
        <f>-SUMIFS('Jounal entries final'!$H:$H,'Jounal entries final'!$E:$E,'Indepth Working Capital'!$F46,'Jounal entries final'!$B:$B,Q$1,'Jounal entries final'!$C:$C,'Indepth Working Capital'!$G$3)</f>
        <v>30693580</v>
      </c>
      <c r="R46" s="167">
        <f>-SUMIFS('Jounal entries final'!$H:$H,'Jounal entries final'!$E:$E,'Indepth Working Capital'!$F46,'Jounal entries final'!$B:$B,R$1,'Jounal entries final'!$C:$C,'Indepth Working Capital'!$G$3)</f>
        <v>27730960</v>
      </c>
    </row>
    <row r="47" spans="2:18" ht="16" thickBot="1">
      <c r="F47" s="175" t="s">
        <v>143</v>
      </c>
      <c r="G47" s="190">
        <f>+SUMIFS('Jounal entries final'!$H:$H,'Jounal entries final'!$E:$E,'Indepth Working Capital'!F47,'Jounal entries final'!B:B,'Indepth Working Capital'!$E$2,'Jounal entries final'!C:C,'Indepth Working Capital'!$G$3)</f>
        <v>10562853.030000003</v>
      </c>
      <c r="H47" s="176">
        <f>SUMIFS('Jounal entries final'!$H:$H,'Jounal entries final'!$E:$E,'Indepth Working Capital'!$F47,'Jounal entries final'!$B:$B,H$1,'Jounal entries final'!$C:$C,'Indepth Working Capital'!$G$3)</f>
        <v>9023618.0780000016</v>
      </c>
      <c r="I47" s="176">
        <f>SUMIFS('Jounal entries final'!$H:$H,'Jounal entries final'!$E:$E,'Indepth Working Capital'!$F47,'Jounal entries final'!$B:$B,I$1,'Jounal entries final'!$C:$C,'Indepth Working Capital'!$G$3)</f>
        <v>8408548.2319999989</v>
      </c>
      <c r="J47" s="176">
        <f>SUMIFS('Jounal entries final'!$H:$H,'Jounal entries final'!$E:$E,'Indepth Working Capital'!$F47,'Jounal entries final'!$B:$B,J$1,'Jounal entries final'!$C:$C,'Indepth Working Capital'!$G$3)</f>
        <v>9582592.2860000003</v>
      </c>
      <c r="K47" s="176">
        <f>SUMIFS('Jounal entries final'!$H:$H,'Jounal entries final'!$E:$E,'Indepth Working Capital'!$F47,'Jounal entries final'!$B:$B,K$1,'Jounal entries final'!$C:$C,'Indepth Working Capital'!$G$3)</f>
        <v>9481912.6860000007</v>
      </c>
      <c r="L47" s="176">
        <f>SUMIFS('Jounal entries final'!$H:$H,'Jounal entries final'!$E:$E,'Indepth Working Capital'!$F47,'Jounal entries final'!$B:$B,L$1,'Jounal entries final'!$C:$C,'Indepth Working Capital'!$G$3)</f>
        <v>7875175.425999999</v>
      </c>
      <c r="M47" s="176">
        <f>SUMIFS('Jounal entries final'!$H:$H,'Jounal entries final'!$E:$E,'Indepth Working Capital'!$F47,'Jounal entries final'!$B:$B,M$1,'Jounal entries final'!$C:$C,'Indepth Working Capital'!$G$3)</f>
        <v>9646932.9979999978</v>
      </c>
      <c r="N47" s="176">
        <f>SUMIFS('Jounal entries final'!$H:$H,'Jounal entries final'!$E:$E,'Indepth Working Capital'!$F47,'Jounal entries final'!$B:$B,N$1,'Jounal entries final'!$C:$C,'Indepth Working Capital'!$G$3)</f>
        <v>8940122.8619999997</v>
      </c>
      <c r="O47" s="176">
        <f>SUMIFS('Jounal entries final'!$H:$H,'Jounal entries final'!$E:$E,'Indepth Working Capital'!$F47,'Jounal entries final'!$B:$B,O$1,'Jounal entries final'!$C:$C,'Indepth Working Capital'!$G$3)</f>
        <v>8197676.7179999994</v>
      </c>
      <c r="P47" s="176">
        <f>SUMIFS('Jounal entries final'!$H:$H,'Jounal entries final'!$E:$E,'Indepth Working Capital'!$F47,'Jounal entries final'!$B:$B,P$1,'Jounal entries final'!$C:$C,'Indepth Working Capital'!$G$3)</f>
        <v>8357251.3279999997</v>
      </c>
      <c r="Q47" s="176">
        <f>SUMIFS('Jounal entries final'!$H:$H,'Jounal entries final'!$E:$E,'Indepth Working Capital'!$F47,'Jounal entries final'!$B:$B,Q$1,'Jounal entries final'!$C:$C,'Indepth Working Capital'!$G$3)</f>
        <v>8523529.1520000026</v>
      </c>
      <c r="R47" s="177">
        <f>SUMIFS('Jounal entries final'!$H:$H,'Jounal entries final'!$E:$E,'Indepth Working Capital'!$F47,'Jounal entries final'!$B:$B,R$1,'Jounal entries final'!$C:$C,'Indepth Working Capital'!$G$3)</f>
        <v>7765783.269999994</v>
      </c>
    </row>
    <row r="48" spans="2:18" ht="20" thickBot="1">
      <c r="B48" s="116" t="s">
        <v>172</v>
      </c>
    </row>
    <row r="49" spans="6:18">
      <c r="F49" s="178" t="s">
        <v>123</v>
      </c>
      <c r="G49" s="189">
        <f>-SUMIFS('Jounal entries final'!$H:$H,'Jounal entries final'!$E:$E,'Indepth Working Capital'!$F$46,'Jounal entries final'!$M:$M,'Indepth Working Capital'!$F49,'Jounal entries final'!$B:$B,G$1,'Jounal entries final'!$C:$C,'Indepth Working Capital'!$G$3)</f>
        <v>7120000</v>
      </c>
      <c r="H49" s="166">
        <f>-SUMIFS('Jounal entries final'!$H:$H,'Jounal entries final'!$E:$E,'Indepth Working Capital'!$F$46,'Jounal entries final'!$M:$M,'Indepth Working Capital'!$F49,'Jounal entries final'!$B:$B,H$1,'Jounal entries final'!$C:$C,'Indepth Working Capital'!$G$3)</f>
        <v>9905000</v>
      </c>
      <c r="I49" s="166">
        <f>-SUMIFS('Jounal entries final'!$H:$H,'Jounal entries final'!$E:$E,'Indepth Working Capital'!$F$46,'Jounal entries final'!$M:$M,'Indepth Working Capital'!$F49,'Jounal entries final'!$B:$B,I$1,'Jounal entries final'!$C:$C,'Indepth Working Capital'!$G$3)</f>
        <v>12025000</v>
      </c>
      <c r="J49" s="166">
        <f>-SUMIFS('Jounal entries final'!$H:$H,'Jounal entries final'!$E:$E,'Indepth Working Capital'!$F$46,'Jounal entries final'!$M:$M,'Indepth Working Capital'!$F49,'Jounal entries final'!$B:$B,J$1,'Jounal entries final'!$C:$C,'Indepth Working Capital'!$G$3)</f>
        <v>10095000</v>
      </c>
      <c r="K49" s="166">
        <f>-SUMIFS('Jounal entries final'!$H:$H,'Jounal entries final'!$E:$E,'Indepth Working Capital'!$F$46,'Jounal entries final'!$M:$M,'Indepth Working Capital'!$F49,'Jounal entries final'!$B:$B,K$1,'Jounal entries final'!$C:$C,'Indepth Working Capital'!$G$3)</f>
        <v>14850000</v>
      </c>
      <c r="L49" s="166">
        <f>-SUMIFS('Jounal entries final'!$H:$H,'Jounal entries final'!$E:$E,'Indepth Working Capital'!$F$46,'Jounal entries final'!$M:$M,'Indepth Working Capital'!$F49,'Jounal entries final'!$B:$B,L$1,'Jounal entries final'!$C:$C,'Indepth Working Capital'!$G$3)</f>
        <v>9980000</v>
      </c>
      <c r="M49" s="166">
        <f>-SUMIFS('Jounal entries final'!$H:$H,'Jounal entries final'!$E:$E,'Indepth Working Capital'!$F$46,'Jounal entries final'!$M:$M,'Indepth Working Capital'!$F49,'Jounal entries final'!$B:$B,M$1,'Jounal entries final'!$C:$C,'Indepth Working Capital'!$G$3)</f>
        <v>13015000</v>
      </c>
      <c r="N49" s="166">
        <f>-SUMIFS('Jounal entries final'!$H:$H,'Jounal entries final'!$E:$E,'Indepth Working Capital'!$F$46,'Jounal entries final'!$M:$M,'Indepth Working Capital'!$F49,'Jounal entries final'!$B:$B,N$1,'Jounal entries final'!$C:$C,'Indepth Working Capital'!$G$3)</f>
        <v>12485000</v>
      </c>
      <c r="O49" s="166">
        <f>-SUMIFS('Jounal entries final'!$H:$H,'Jounal entries final'!$E:$E,'Indepth Working Capital'!$F$46,'Jounal entries final'!$M:$M,'Indepth Working Capital'!$F49,'Jounal entries final'!$B:$B,O$1,'Jounal entries final'!$C:$C,'Indepth Working Capital'!$G$3)</f>
        <v>6940000</v>
      </c>
      <c r="P49" s="166">
        <f>-SUMIFS('Jounal entries final'!$H:$H,'Jounal entries final'!$E:$E,'Indepth Working Capital'!$F$46,'Jounal entries final'!$M:$M,'Indepth Working Capital'!$F49,'Jounal entries final'!$B:$B,P$1,'Jounal entries final'!$C:$C,'Indepth Working Capital'!$G$3)</f>
        <v>6495000</v>
      </c>
      <c r="Q49" s="166">
        <f>-SUMIFS('Jounal entries final'!$H:$H,'Jounal entries final'!$E:$E,'Indepth Working Capital'!$F$46,'Jounal entries final'!$M:$M,'Indepth Working Capital'!$F49,'Jounal entries final'!$B:$B,Q$1,'Jounal entries final'!$C:$C,'Indepth Working Capital'!$G$3)</f>
        <v>14955000</v>
      </c>
      <c r="R49" s="167">
        <f>-SUMIFS('Jounal entries final'!$H:$H,'Jounal entries final'!$E:$E,'Indepth Working Capital'!$F$46,'Jounal entries final'!$M:$M,'Indepth Working Capital'!$F49,'Jounal entries final'!$B:$B,R$1,'Jounal entries final'!$C:$C,'Indepth Working Capital'!$G$3)</f>
        <v>9650000</v>
      </c>
    </row>
    <row r="50" spans="6:18">
      <c r="F50" s="169" t="s">
        <v>124</v>
      </c>
      <c r="G50" s="191">
        <f>-SUMIFS('Jounal entries final'!$H:$H,'Jounal entries final'!$E:$E,'Indepth Working Capital'!$F$46,'Jounal entries final'!$M:$M,'Indepth Working Capital'!$F50,'Jounal entries final'!$B:$B,G$1,'Jounal entries final'!$C:$C,'Indepth Working Capital'!$G$3)</f>
        <v>6434000</v>
      </c>
      <c r="H50" s="124">
        <f>-SUMIFS('Jounal entries final'!$H:$H,'Jounal entries final'!$E:$E,'Indepth Working Capital'!$F$46,'Jounal entries final'!$M:$M,'Indepth Working Capital'!$F50,'Jounal entries final'!$B:$B,H$1,'Jounal entries final'!$C:$C,'Indepth Working Capital'!$G$3)</f>
        <v>8414000</v>
      </c>
      <c r="I50" s="124">
        <f>-SUMIFS('Jounal entries final'!$H:$H,'Jounal entries final'!$E:$E,'Indepth Working Capital'!$F$46,'Jounal entries final'!$M:$M,'Indepth Working Capital'!$F50,'Jounal entries final'!$B:$B,I$1,'Jounal entries final'!$C:$C,'Indepth Working Capital'!$G$3)</f>
        <v>3794000</v>
      </c>
      <c r="J50" s="124">
        <f>-SUMIFS('Jounal entries final'!$H:$H,'Jounal entries final'!$E:$E,'Indepth Working Capital'!$F$46,'Jounal entries final'!$M:$M,'Indepth Working Capital'!$F50,'Jounal entries final'!$B:$B,J$1,'Jounal entries final'!$C:$C,'Indepth Working Capital'!$G$3)</f>
        <v>6984000</v>
      </c>
      <c r="K50" s="124">
        <f>-SUMIFS('Jounal entries final'!$H:$H,'Jounal entries final'!$E:$E,'Indepth Working Capital'!$F$46,'Jounal entries final'!$M:$M,'Indepth Working Capital'!$F50,'Jounal entries final'!$B:$B,K$1,'Jounal entries final'!$C:$C,'Indepth Working Capital'!$G$3)</f>
        <v>10944000</v>
      </c>
      <c r="L50" s="124">
        <f>-SUMIFS('Jounal entries final'!$H:$H,'Jounal entries final'!$E:$E,'Indepth Working Capital'!$F$46,'Jounal entries final'!$M:$M,'Indepth Working Capital'!$F50,'Jounal entries final'!$B:$B,L$1,'Jounal entries final'!$C:$C,'Indepth Working Capital'!$G$3)</f>
        <v>9184000</v>
      </c>
      <c r="M50" s="124">
        <f>-SUMIFS('Jounal entries final'!$H:$H,'Jounal entries final'!$E:$E,'Indepth Working Capital'!$F$46,'Jounal entries final'!$M:$M,'Indepth Working Capital'!$F50,'Jounal entries final'!$B:$B,M$1,'Jounal entries final'!$C:$C,'Indepth Working Capital'!$G$3)</f>
        <v>3904000</v>
      </c>
      <c r="N50" s="124">
        <f>-SUMIFS('Jounal entries final'!$H:$H,'Jounal entries final'!$E:$E,'Indepth Working Capital'!$F$46,'Jounal entries final'!$M:$M,'Indepth Working Capital'!$F50,'Jounal entries final'!$B:$B,N$1,'Jounal entries final'!$C:$C,'Indepth Working Capital'!$G$3)</f>
        <v>10614000</v>
      </c>
      <c r="O50" s="124">
        <f>-SUMIFS('Jounal entries final'!$H:$H,'Jounal entries final'!$E:$E,'Indepth Working Capital'!$F$46,'Jounal entries final'!$M:$M,'Indepth Working Capital'!$F50,'Jounal entries final'!$B:$B,O$1,'Jounal entries final'!$C:$C,'Indepth Working Capital'!$G$3)</f>
        <v>8304000</v>
      </c>
      <c r="P50" s="124">
        <f>-SUMIFS('Jounal entries final'!$H:$H,'Jounal entries final'!$E:$E,'Indepth Working Capital'!$F$46,'Jounal entries final'!$M:$M,'Indepth Working Capital'!$F50,'Jounal entries final'!$B:$B,P$1,'Jounal entries final'!$C:$C,'Indepth Working Capital'!$G$3)</f>
        <v>13034000</v>
      </c>
      <c r="Q50" s="124">
        <f>-SUMIFS('Jounal entries final'!$H:$H,'Jounal entries final'!$E:$E,'Indepth Working Capital'!$F$46,'Jounal entries final'!$M:$M,'Indepth Working Capital'!$F50,'Jounal entries final'!$B:$B,Q$1,'Jounal entries final'!$C:$C,'Indepth Working Capital'!$G$3)</f>
        <v>6324000</v>
      </c>
      <c r="R50" s="168">
        <f>-SUMIFS('Jounal entries final'!$H:$H,'Jounal entries final'!$E:$E,'Indepth Working Capital'!$F$46,'Jounal entries final'!$M:$M,'Indepth Working Capital'!$F50,'Jounal entries final'!$B:$B,R$1,'Jounal entries final'!$C:$C,'Indepth Working Capital'!$G$3)</f>
        <v>8524000</v>
      </c>
    </row>
    <row r="51" spans="6:18" ht="16" thickBot="1">
      <c r="F51" s="172" t="s">
        <v>125</v>
      </c>
      <c r="G51" s="190">
        <f>-SUMIFS('Jounal entries final'!$H:$H,'Jounal entries final'!$E:$E,'Indepth Working Capital'!$F$46,'Jounal entries final'!$M:$M,'Indepth Working Capital'!$F51,'Jounal entries final'!$B:$B,G$1,'Jounal entries final'!$C:$C,'Indepth Working Capital'!$G$3)</f>
        <v>8279695</v>
      </c>
      <c r="H51" s="176">
        <f>-SUMIFS('Jounal entries final'!$H:$H,'Jounal entries final'!$E:$E,'Indepth Working Capital'!$F$46,'Jounal entries final'!$M:$M,'Indepth Working Capital'!$F51,'Jounal entries final'!$B:$B,H$1,'Jounal entries final'!$C:$C,'Indepth Working Capital'!$G$3)</f>
        <v>11327200</v>
      </c>
      <c r="I51" s="176">
        <f>-SUMIFS('Jounal entries final'!$H:$H,'Jounal entries final'!$E:$E,'Indepth Working Capital'!$F$46,'Jounal entries final'!$M:$M,'Indepth Working Capital'!$F51,'Jounal entries final'!$B:$B,I$1,'Jounal entries final'!$C:$C,'Indepth Working Capital'!$G$3)</f>
        <v>15999810</v>
      </c>
      <c r="J51" s="176">
        <f>-SUMIFS('Jounal entries final'!$H:$H,'Jounal entries final'!$E:$E,'Indepth Working Capital'!$F$46,'Jounal entries final'!$M:$M,'Indepth Working Capital'!$F51,'Jounal entries final'!$B:$B,J$1,'Jounal entries final'!$C:$C,'Indepth Working Capital'!$G$3)</f>
        <v>16233505</v>
      </c>
      <c r="K51" s="176">
        <f>-SUMIFS('Jounal entries final'!$H:$H,'Jounal entries final'!$E:$E,'Indepth Working Capital'!$F$46,'Jounal entries final'!$M:$M,'Indepth Working Capital'!$F51,'Jounal entries final'!$B:$B,K$1,'Jounal entries final'!$C:$C,'Indepth Working Capital'!$G$3)</f>
        <v>3285495</v>
      </c>
      <c r="L51" s="176">
        <f>-SUMIFS('Jounal entries final'!$H:$H,'Jounal entries final'!$E:$E,'Indepth Working Capital'!$F$46,'Jounal entries final'!$M:$M,'Indepth Working Capital'!$F51,'Jounal entries final'!$B:$B,L$1,'Jounal entries final'!$C:$C,'Indepth Working Capital'!$G$3)</f>
        <v>7543000</v>
      </c>
      <c r="M51" s="176">
        <f>-SUMIFS('Jounal entries final'!$H:$H,'Jounal entries final'!$E:$E,'Indepth Working Capital'!$F$46,'Jounal entries final'!$M:$M,'Indepth Working Capital'!$F51,'Jounal entries final'!$B:$B,M$1,'Jounal entries final'!$C:$C,'Indepth Working Capital'!$G$3)</f>
        <v>15890000</v>
      </c>
      <c r="N51" s="176">
        <f>-SUMIFS('Jounal entries final'!$H:$H,'Jounal entries final'!$E:$E,'Indepth Working Capital'!$F$46,'Jounal entries final'!$M:$M,'Indepth Working Capital'!$F51,'Jounal entries final'!$B:$B,N$1,'Jounal entries final'!$C:$C,'Indepth Working Capital'!$G$3)</f>
        <v>12747010</v>
      </c>
      <c r="O51" s="176">
        <f>-SUMIFS('Jounal entries final'!$H:$H,'Jounal entries final'!$E:$E,'Indepth Working Capital'!$F$46,'Jounal entries final'!$M:$M,'Indepth Working Capital'!$F51,'Jounal entries final'!$B:$B,O$1,'Jounal entries final'!$C:$C,'Indepth Working Capital'!$G$3)</f>
        <v>8473265</v>
      </c>
      <c r="P51" s="176">
        <f>-SUMIFS('Jounal entries final'!$H:$H,'Jounal entries final'!$E:$E,'Indepth Working Capital'!$F$46,'Jounal entries final'!$M:$M,'Indepth Working Capital'!$F51,'Jounal entries final'!$B:$B,P$1,'Jounal entries final'!$C:$C,'Indepth Working Capital'!$G$3)</f>
        <v>11258275</v>
      </c>
      <c r="Q51" s="176">
        <f>-SUMIFS('Jounal entries final'!$H:$H,'Jounal entries final'!$E:$E,'Indepth Working Capital'!$F$46,'Jounal entries final'!$M:$M,'Indepth Working Capital'!$F51,'Jounal entries final'!$B:$B,Q$1,'Jounal entries final'!$C:$C,'Indepth Working Capital'!$G$3)</f>
        <v>9414580</v>
      </c>
      <c r="R51" s="177">
        <f>-SUMIFS('Jounal entries final'!$H:$H,'Jounal entries final'!$E:$E,'Indepth Working Capital'!$F$46,'Jounal entries final'!$M:$M,'Indepth Working Capital'!$F51,'Jounal entries final'!$B:$B,R$1,'Jounal entries final'!$C:$C,'Indepth Working Capital'!$G$3)</f>
        <v>9556960</v>
      </c>
    </row>
    <row r="52" spans="6:18" ht="16" thickBot="1">
      <c r="G52" s="170"/>
    </row>
    <row r="53" spans="6:18">
      <c r="F53" s="178" t="s">
        <v>123</v>
      </c>
      <c r="G53" s="189">
        <f>SUMIFS('Jounal entries final'!$H:$H,'Jounal entries final'!$E:$E,'Indepth Working Capital'!$F$47,'Jounal entries final'!$L:$L,'Indepth Working Capital'!$F53,'Jounal entries final'!$B:$B,G$1,'Jounal entries final'!$C:$C,'Indepth Working Capital'!$G$3)</f>
        <v>4325362.83</v>
      </c>
      <c r="H53" s="166">
        <f>SUMIFS('Jounal entries final'!$H:$H,'Jounal entries final'!$E:$E,'Indepth Working Capital'!$F$47,'Jounal entries final'!$L:$L,'Indepth Working Capital'!$F53,'Jounal entries final'!$B:$B,H$1,'Jounal entries final'!$C:$C,'Indepth Working Capital'!$G$3)</f>
        <v>3808515.2299999995</v>
      </c>
      <c r="I53" s="166">
        <f>SUMIFS('Jounal entries final'!$H:$H,'Jounal entries final'!$E:$E,'Indepth Working Capital'!$F$47,'Jounal entries final'!$L:$L,'Indepth Working Capital'!$F53,'Jounal entries final'!$B:$B,I$1,'Jounal entries final'!$C:$C,'Indepth Working Capital'!$G$3)</f>
        <v>3258518.88</v>
      </c>
      <c r="J53" s="166">
        <f>SUMIFS('Jounal entries final'!$H:$H,'Jounal entries final'!$E:$E,'Indepth Working Capital'!$F$47,'Jounal entries final'!$L:$L,'Indepth Working Capital'!$F53,'Jounal entries final'!$B:$B,J$1,'Jounal entries final'!$C:$C,'Indepth Working Capital'!$G$3)</f>
        <v>4026033.5100000002</v>
      </c>
      <c r="K53" s="166">
        <f>SUMIFS('Jounal entries final'!$H:$H,'Jounal entries final'!$E:$E,'Indepth Working Capital'!$F$47,'Jounal entries final'!$L:$L,'Indepth Working Capital'!$F53,'Jounal entries final'!$B:$B,K$1,'Jounal entries final'!$C:$C,'Indepth Working Capital'!$G$3)</f>
        <v>3982744.27</v>
      </c>
      <c r="L53" s="166">
        <f>SUMIFS('Jounal entries final'!$H:$H,'Jounal entries final'!$E:$E,'Indepth Working Capital'!$F$47,'Jounal entries final'!$L:$L,'Indepth Working Capital'!$F53,'Jounal entries final'!$B:$B,L$1,'Jounal entries final'!$C:$C,'Indepth Working Capital'!$G$3)</f>
        <v>3196991.8000000003</v>
      </c>
      <c r="M53" s="166">
        <f>SUMIFS('Jounal entries final'!$H:$H,'Jounal entries final'!$E:$E,'Indepth Working Capital'!$F$47,'Jounal entries final'!$L:$L,'Indepth Working Capital'!$F53,'Jounal entries final'!$B:$B,M$1,'Jounal entries final'!$C:$C,'Indepth Working Capital'!$G$3)</f>
        <v>3989954.1600000006</v>
      </c>
      <c r="N53" s="166">
        <f>SUMIFS('Jounal entries final'!$H:$H,'Jounal entries final'!$E:$E,'Indepth Working Capital'!$F$47,'Jounal entries final'!$L:$L,'Indepth Working Capital'!$F53,'Jounal entries final'!$B:$B,N$1,'Jounal entries final'!$C:$C,'Indepth Working Capital'!$G$3)</f>
        <v>3520316.04</v>
      </c>
      <c r="O53" s="166">
        <f>SUMIFS('Jounal entries final'!$H:$H,'Jounal entries final'!$E:$E,'Indepth Working Capital'!$F$47,'Jounal entries final'!$L:$L,'Indepth Working Capital'!$F53,'Jounal entries final'!$B:$B,O$1,'Jounal entries final'!$C:$C,'Indepth Working Capital'!$G$3)</f>
        <v>3691280.42</v>
      </c>
      <c r="P53" s="166">
        <f>SUMIFS('Jounal entries final'!$H:$H,'Jounal entries final'!$E:$E,'Indepth Working Capital'!$F$47,'Jounal entries final'!$L:$L,'Indepth Working Capital'!$F53,'Jounal entries final'!$B:$B,P$1,'Jounal entries final'!$C:$C,'Indepth Working Capital'!$G$3)</f>
        <v>3674165.76</v>
      </c>
      <c r="Q53" s="166">
        <f>SUMIFS('Jounal entries final'!$H:$H,'Jounal entries final'!$E:$E,'Indepth Working Capital'!$F$47,'Jounal entries final'!$L:$L,'Indepth Working Capital'!$F53,'Jounal entries final'!$B:$B,Q$1,'Jounal entries final'!$C:$C,'Indepth Working Capital'!$G$3)</f>
        <v>3358704.8600000003</v>
      </c>
      <c r="R53" s="167">
        <f>SUMIFS('Jounal entries final'!$H:$H,'Jounal entries final'!$E:$E,'Indepth Working Capital'!$F$47,'Jounal entries final'!$L:$L,'Indepth Working Capital'!$F53,'Jounal entries final'!$B:$B,R$1,'Jounal entries final'!$C:$C,'Indepth Working Capital'!$G$3)</f>
        <v>3523019.62</v>
      </c>
    </row>
    <row r="54" spans="6:18">
      <c r="F54" s="169" t="s">
        <v>124</v>
      </c>
      <c r="G54" s="191">
        <f>SUMIFS('Jounal entries final'!$H:$H,'Jounal entries final'!$E:$E,'Indepth Working Capital'!$F$47,'Jounal entries final'!$L:$L,'Indepth Working Capital'!$F54,'Jounal entries final'!$B:$B,G$1,'Jounal entries final'!$C:$C,'Indepth Working Capital'!$G$3)</f>
        <v>2371257</v>
      </c>
      <c r="H54" s="124">
        <f>SUMIFS('Jounal entries final'!$H:$H,'Jounal entries final'!$E:$E,'Indepth Working Capital'!$F$47,'Jounal entries final'!$L:$L,'Indepth Working Capital'!$F54,'Jounal entries final'!$B:$B,H$1,'Jounal entries final'!$C:$C,'Indepth Working Capital'!$G$3)</f>
        <v>2153616</v>
      </c>
      <c r="I54" s="124">
        <f>SUMIFS('Jounal entries final'!$H:$H,'Jounal entries final'!$E:$E,'Indepth Working Capital'!$F$47,'Jounal entries final'!$L:$L,'Indepth Working Capital'!$F54,'Jounal entries final'!$B:$B,I$1,'Jounal entries final'!$C:$C,'Indepth Working Capital'!$G$3)</f>
        <v>955314</v>
      </c>
      <c r="J54" s="124">
        <f>SUMIFS('Jounal entries final'!$H:$H,'Jounal entries final'!$E:$E,'Indepth Working Capital'!$F$47,'Jounal entries final'!$L:$L,'Indepth Working Capital'!$F54,'Jounal entries final'!$B:$B,J$1,'Jounal entries final'!$C:$C,'Indepth Working Capital'!$G$3)</f>
        <v>1879658</v>
      </c>
      <c r="K54" s="124">
        <f>SUMIFS('Jounal entries final'!$H:$H,'Jounal entries final'!$E:$E,'Indepth Working Capital'!$F$47,'Jounal entries final'!$L:$L,'Indepth Working Capital'!$F54,'Jounal entries final'!$B:$B,K$1,'Jounal entries final'!$C:$C,'Indepth Working Capital'!$G$3)</f>
        <v>1875578</v>
      </c>
      <c r="L54" s="124">
        <f>SUMIFS('Jounal entries final'!$H:$H,'Jounal entries final'!$E:$E,'Indepth Working Capital'!$F$47,'Jounal entries final'!$L:$L,'Indepth Working Capital'!$F54,'Jounal entries final'!$B:$B,L$1,'Jounal entries final'!$C:$C,'Indepth Working Capital'!$G$3)</f>
        <v>1493282</v>
      </c>
      <c r="M54" s="124">
        <f>SUMIFS('Jounal entries final'!$H:$H,'Jounal entries final'!$E:$E,'Indepth Working Capital'!$F$47,'Jounal entries final'!$L:$L,'Indepth Working Capital'!$F54,'Jounal entries final'!$B:$B,M$1,'Jounal entries final'!$C:$C,'Indepth Working Capital'!$G$3)</f>
        <v>1982123</v>
      </c>
      <c r="N54" s="124">
        <f>SUMIFS('Jounal entries final'!$H:$H,'Jounal entries final'!$E:$E,'Indepth Working Capital'!$F$47,'Jounal entries final'!$L:$L,'Indepth Working Capital'!$F54,'Jounal entries final'!$B:$B,N$1,'Jounal entries final'!$C:$C,'Indepth Working Capital'!$G$3)</f>
        <v>2143001</v>
      </c>
      <c r="O54" s="124">
        <f>SUMIFS('Jounal entries final'!$H:$H,'Jounal entries final'!$E:$E,'Indepth Working Capital'!$F$47,'Jounal entries final'!$L:$L,'Indepth Working Capital'!$F54,'Jounal entries final'!$B:$B,O$1,'Jounal entries final'!$C:$C,'Indepth Working Capital'!$G$3)</f>
        <v>1633814</v>
      </c>
      <c r="P54" s="124">
        <f>SUMIFS('Jounal entries final'!$H:$H,'Jounal entries final'!$E:$E,'Indepth Working Capital'!$F$47,'Jounal entries final'!$L:$L,'Indepth Working Capital'!$F54,'Jounal entries final'!$B:$B,P$1,'Jounal entries final'!$C:$C,'Indepth Working Capital'!$G$3)</f>
        <v>1886144</v>
      </c>
      <c r="Q54" s="124">
        <f>SUMIFS('Jounal entries final'!$H:$H,'Jounal entries final'!$E:$E,'Indepth Working Capital'!$F$47,'Jounal entries final'!$L:$L,'Indepth Working Capital'!$F54,'Jounal entries final'!$B:$B,Q$1,'Jounal entries final'!$C:$C,'Indepth Working Capital'!$G$3)</f>
        <v>2181323</v>
      </c>
      <c r="R54" s="168">
        <f>SUMIFS('Jounal entries final'!$H:$H,'Jounal entries final'!$E:$E,'Indepth Working Capital'!$F$47,'Jounal entries final'!$L:$L,'Indepth Working Capital'!$F54,'Jounal entries final'!$B:$B,R$1,'Jounal entries final'!$C:$C,'Indepth Working Capital'!$G$3)</f>
        <v>1666860</v>
      </c>
    </row>
    <row r="55" spans="6:18" ht="16" thickBot="1">
      <c r="F55" s="172" t="s">
        <v>125</v>
      </c>
      <c r="G55" s="190">
        <f>SUMIFS('Jounal entries final'!$H:$H,'Jounal entries final'!$E:$E,'Indepth Working Capital'!$F$47,'Jounal entries final'!$L:$L,'Indepth Working Capital'!$F55,'Jounal entries final'!$B:$B,G$1,'Jounal entries final'!$C:$C,'Indepth Working Capital'!$G$3)</f>
        <v>3584807.2</v>
      </c>
      <c r="H55" s="176">
        <f>SUMIFS('Jounal entries final'!$H:$H,'Jounal entries final'!$E:$E,'Indepth Working Capital'!$F$47,'Jounal entries final'!$L:$L,'Indepth Working Capital'!$F55,'Jounal entries final'!$B:$B,H$1,'Jounal entries final'!$C:$C,'Indepth Working Capital'!$G$3)</f>
        <v>2862290.75</v>
      </c>
      <c r="I55" s="176">
        <f>SUMIFS('Jounal entries final'!$H:$H,'Jounal entries final'!$E:$E,'Indepth Working Capital'!$F$47,'Jounal entries final'!$L:$L,'Indepth Working Capital'!$F55,'Jounal entries final'!$B:$B,I$1,'Jounal entries final'!$C:$C,'Indepth Working Capital'!$G$3)</f>
        <v>3979070.35</v>
      </c>
      <c r="J55" s="176">
        <f>SUMIFS('Jounal entries final'!$H:$H,'Jounal entries final'!$E:$E,'Indepth Working Capital'!$F$47,'Jounal entries final'!$L:$L,'Indepth Working Capital'!$F55,'Jounal entries final'!$B:$B,J$1,'Jounal entries final'!$C:$C,'Indepth Working Capital'!$G$3)</f>
        <v>3420318.5</v>
      </c>
      <c r="K55" s="176">
        <f>SUMIFS('Jounal entries final'!$H:$H,'Jounal entries final'!$E:$E,'Indepth Working Capital'!$F$47,'Jounal entries final'!$L:$L,'Indepth Working Capital'!$F55,'Jounal entries final'!$B:$B,K$1,'Jounal entries final'!$C:$C,'Indepth Working Capital'!$G$3)</f>
        <v>3386799</v>
      </c>
      <c r="L55" s="176">
        <f>SUMIFS('Jounal entries final'!$H:$H,'Jounal entries final'!$E:$E,'Indepth Working Capital'!$F$47,'Jounal entries final'!$L:$L,'Indepth Working Capital'!$F55,'Jounal entries final'!$B:$B,L$1,'Jounal entries final'!$C:$C,'Indepth Working Capital'!$G$3)</f>
        <v>2959581.5999999996</v>
      </c>
      <c r="M55" s="176">
        <f>SUMIFS('Jounal entries final'!$H:$H,'Jounal entries final'!$E:$E,'Indepth Working Capital'!$F$47,'Jounal entries final'!$L:$L,'Indepth Working Capital'!$F55,'Jounal entries final'!$B:$B,M$1,'Jounal entries final'!$C:$C,'Indepth Working Capital'!$G$3)</f>
        <v>3421458.5999999996</v>
      </c>
      <c r="N55" s="176">
        <f>SUMIFS('Jounal entries final'!$H:$H,'Jounal entries final'!$E:$E,'Indepth Working Capital'!$F$47,'Jounal entries final'!$L:$L,'Indepth Working Capital'!$F55,'Jounal entries final'!$B:$B,N$1,'Jounal entries final'!$C:$C,'Indepth Working Capital'!$G$3)</f>
        <v>3049329.7</v>
      </c>
      <c r="O55" s="176">
        <f>SUMIFS('Jounal entries final'!$H:$H,'Jounal entries final'!$E:$E,'Indepth Working Capital'!$F$47,'Jounal entries final'!$L:$L,'Indepth Working Capital'!$F55,'Jounal entries final'!$B:$B,O$1,'Jounal entries final'!$C:$C,'Indepth Working Capital'!$G$3)</f>
        <v>2650670</v>
      </c>
      <c r="P55" s="176">
        <f>SUMIFS('Jounal entries final'!$H:$H,'Jounal entries final'!$E:$E,'Indepth Working Capital'!$F$47,'Jounal entries final'!$L:$L,'Indepth Working Capital'!$F55,'Jounal entries final'!$B:$B,P$1,'Jounal entries final'!$C:$C,'Indepth Working Capital'!$G$3)</f>
        <v>2575560.2999999998</v>
      </c>
      <c r="Q55" s="176">
        <f>SUMIFS('Jounal entries final'!$H:$H,'Jounal entries final'!$E:$E,'Indepth Working Capital'!$F$47,'Jounal entries final'!$L:$L,'Indepth Working Capital'!$F55,'Jounal entries final'!$B:$B,Q$1,'Jounal entries final'!$C:$C,'Indepth Working Capital'!$G$3)</f>
        <v>2755871</v>
      </c>
      <c r="R55" s="177">
        <f>SUMIFS('Jounal entries final'!$H:$H,'Jounal entries final'!$E:$E,'Indepth Working Capital'!$F$47,'Jounal entries final'!$L:$L,'Indepth Working Capital'!$F55,'Jounal entries final'!$B:$B,R$1,'Jounal entries final'!$C:$C,'Indepth Working Capital'!$G$3)</f>
        <v>2352893.4</v>
      </c>
    </row>
    <row r="56" spans="6:18" ht="16" thickBot="1"/>
    <row r="57" spans="6:18">
      <c r="F57" s="179" t="s">
        <v>231</v>
      </c>
      <c r="G57" s="183">
        <f>(G49/G53)*30</f>
        <v>49.383140419690527</v>
      </c>
      <c r="H57" s="180">
        <f>(SUM(H49)/SUM(G53:H53)*60)</f>
        <v>73.064778647542198</v>
      </c>
      <c r="I57" s="180">
        <f t="shared" ref="I57:R59" si="15">(SUM(I49)/SUM(G53:I53)*90)</f>
        <v>94.997567737487927</v>
      </c>
      <c r="J57" s="180">
        <f t="shared" si="15"/>
        <v>81.902502637047846</v>
      </c>
      <c r="K57" s="180">
        <f t="shared" si="15"/>
        <v>118.61762766438068</v>
      </c>
      <c r="L57" s="180">
        <f t="shared" si="15"/>
        <v>80.155137368084269</v>
      </c>
      <c r="M57" s="180">
        <f t="shared" si="15"/>
        <v>104.86861997783441</v>
      </c>
      <c r="N57" s="180">
        <f t="shared" si="15"/>
        <v>104.94279489938698</v>
      </c>
      <c r="O57" s="180">
        <f t="shared" si="15"/>
        <v>55.76013725142635</v>
      </c>
      <c r="P57" s="180">
        <f t="shared" si="15"/>
        <v>53.698582440651556</v>
      </c>
      <c r="Q57" s="180">
        <f t="shared" si="15"/>
        <v>125.50643822338408</v>
      </c>
      <c r="R57" s="181">
        <f t="shared" si="15"/>
        <v>82.27633863688223</v>
      </c>
    </row>
    <row r="58" spans="6:18">
      <c r="F58" s="182" t="s">
        <v>232</v>
      </c>
      <c r="G58" s="184">
        <f>(G50/G54)*30</f>
        <v>81.399865134820899</v>
      </c>
      <c r="H58" s="161">
        <f>(SUM(H50)/SUM(G54:H54)*60)</f>
        <v>111.56998218513536</v>
      </c>
      <c r="I58" s="161">
        <f t="shared" si="15"/>
        <v>62.308092771286823</v>
      </c>
      <c r="J58" s="161">
        <f t="shared" si="15"/>
        <v>125.99958144468935</v>
      </c>
      <c r="K58" s="161">
        <f t="shared" si="15"/>
        <v>209.09660230758618</v>
      </c>
      <c r="L58" s="161">
        <f t="shared" si="15"/>
        <v>157.48445561204136</v>
      </c>
      <c r="M58" s="161">
        <f t="shared" si="15"/>
        <v>65.662701600808674</v>
      </c>
      <c r="N58" s="161">
        <f t="shared" si="15"/>
        <v>170.02331266198991</v>
      </c>
      <c r="O58" s="161">
        <f t="shared" si="15"/>
        <v>129.77392706780313</v>
      </c>
      <c r="P58" s="161">
        <f t="shared" si="15"/>
        <v>207.1461227248864</v>
      </c>
      <c r="Q58" s="161">
        <f t="shared" si="15"/>
        <v>99.830196055939012</v>
      </c>
      <c r="R58" s="171">
        <f t="shared" si="15"/>
        <v>133.78379014660308</v>
      </c>
    </row>
    <row r="59" spans="6:18" ht="16" thickBot="1">
      <c r="F59" s="182" t="s">
        <v>233</v>
      </c>
      <c r="G59" s="184">
        <f>(G51/G55)*30</f>
        <v>69.289877012074726</v>
      </c>
      <c r="H59" s="161">
        <f>(SUM(H51)/SUM(G55:H55)*60)</f>
        <v>105.41673250055089</v>
      </c>
      <c r="I59" s="161">
        <f t="shared" si="15"/>
        <v>138.11237825501053</v>
      </c>
      <c r="J59" s="161">
        <f t="shared" si="15"/>
        <v>142.3758592111958</v>
      </c>
      <c r="K59" s="161">
        <f t="shared" si="15"/>
        <v>27.414185077446064</v>
      </c>
      <c r="L59" s="161">
        <f t="shared" si="15"/>
        <v>69.508642894506707</v>
      </c>
      <c r="M59" s="161">
        <f t="shared" si="15"/>
        <v>146.40904408008683</v>
      </c>
      <c r="N59" s="161">
        <f t="shared" si="15"/>
        <v>121.65279964256759</v>
      </c>
      <c r="O59" s="161">
        <f t="shared" si="15"/>
        <v>83.604378260436704</v>
      </c>
      <c r="P59" s="161">
        <f t="shared" si="15"/>
        <v>122.43820961965112</v>
      </c>
      <c r="Q59" s="161">
        <f t="shared" si="15"/>
        <v>106.15152178036126</v>
      </c>
      <c r="R59" s="171">
        <f t="shared" si="15"/>
        <v>111.93259441522559</v>
      </c>
    </row>
    <row r="60" spans="6:18" ht="16" thickBot="1">
      <c r="F60" s="185" t="s">
        <v>234</v>
      </c>
      <c r="G60" s="186">
        <f>+(G46/G47)*30</f>
        <v>62.010788954430794</v>
      </c>
      <c r="H60" s="187">
        <f>(H46/SUM(G47:H47))*60</f>
        <v>90.816359424412539</v>
      </c>
      <c r="I60" s="187">
        <f t="shared" ref="I60:R60" si="16">I46/SUM(G47:I47)*90</f>
        <v>102.29294237022663</v>
      </c>
      <c r="J60" s="187">
        <f t="shared" si="16"/>
        <v>110.98101948036374</v>
      </c>
      <c r="K60" s="187">
        <f t="shared" si="16"/>
        <v>95.26260261524007</v>
      </c>
      <c r="L60" s="187">
        <f t="shared" si="16"/>
        <v>89.222662054240445</v>
      </c>
      <c r="M60" s="187">
        <f t="shared" si="16"/>
        <v>109.34704827743337</v>
      </c>
      <c r="N60" s="187">
        <f t="shared" si="16"/>
        <v>121.91492339146811</v>
      </c>
      <c r="O60" s="187">
        <f t="shared" si="16"/>
        <v>79.692931179505024</v>
      </c>
      <c r="P60" s="187">
        <f t="shared" si="16"/>
        <v>108.68206382480858</v>
      </c>
      <c r="Q60" s="187">
        <f t="shared" si="16"/>
        <v>110.15120181397371</v>
      </c>
      <c r="R60" s="188">
        <f t="shared" si="16"/>
        <v>101.26305741099506</v>
      </c>
    </row>
    <row r="62" spans="6:18">
      <c r="F62" s="119"/>
      <c r="G62" s="124"/>
    </row>
    <row r="63" spans="6:18">
      <c r="F63" s="119" t="s">
        <v>143</v>
      </c>
      <c r="G63" s="124">
        <f>+SUMIFS('Jounal entries final'!$H:$H,'Jounal entries final'!$E:$E,'Indepth Working Capital'!F63,'Jounal entries final'!B:B,'Indepth Working Capital'!$E$2,'Jounal entries final'!C:C,'Indepth Working Capital'!$G$3)</f>
        <v>10562853.030000003</v>
      </c>
      <c r="H63" s="124">
        <f>SUMIFS('Jounal entries final'!$H:$H,'Jounal entries final'!$E:$E,'Indepth Working Capital'!$F63,'Jounal entries final'!$B:$B,H$1,'Jounal entries final'!$C:$C,'Indepth Working Capital'!$G$3)</f>
        <v>9023618.0780000016</v>
      </c>
      <c r="I63" s="124">
        <f>SUMIFS('Jounal entries final'!$H:$H,'Jounal entries final'!$E:$E,'Indepth Working Capital'!$F63,'Jounal entries final'!$B:$B,I$1,'Jounal entries final'!$C:$C,'Indepth Working Capital'!$G$3)</f>
        <v>8408548.2319999989</v>
      </c>
      <c r="J63" s="124">
        <f>SUMIFS('Jounal entries final'!$H:$H,'Jounal entries final'!$E:$E,'Indepth Working Capital'!$F63,'Jounal entries final'!$B:$B,J$1,'Jounal entries final'!$C:$C,'Indepth Working Capital'!$G$3)</f>
        <v>9582592.2860000003</v>
      </c>
      <c r="K63" s="124">
        <f>SUMIFS('Jounal entries final'!$H:$H,'Jounal entries final'!$E:$E,'Indepth Working Capital'!$F63,'Jounal entries final'!$B:$B,K$1,'Jounal entries final'!$C:$C,'Indepth Working Capital'!$G$3)</f>
        <v>9481912.6860000007</v>
      </c>
      <c r="L63" s="124">
        <f>SUMIFS('Jounal entries final'!$H:$H,'Jounal entries final'!$E:$E,'Indepth Working Capital'!$F63,'Jounal entries final'!$B:$B,L$1,'Jounal entries final'!$C:$C,'Indepth Working Capital'!$G$3)</f>
        <v>7875175.425999999</v>
      </c>
      <c r="M63" s="124">
        <f>SUMIFS('Jounal entries final'!$H:$H,'Jounal entries final'!$E:$E,'Indepth Working Capital'!$F63,'Jounal entries final'!$B:$B,M$1,'Jounal entries final'!$C:$C,'Indepth Working Capital'!$G$3)</f>
        <v>9646932.9979999978</v>
      </c>
      <c r="N63" s="124">
        <f>SUMIFS('Jounal entries final'!$H:$H,'Jounal entries final'!$E:$E,'Indepth Working Capital'!$F63,'Jounal entries final'!$B:$B,N$1,'Jounal entries final'!$C:$C,'Indepth Working Capital'!$G$3)</f>
        <v>8940122.8619999997</v>
      </c>
      <c r="O63" s="124">
        <f>SUMIFS('Jounal entries final'!$H:$H,'Jounal entries final'!$E:$E,'Indepth Working Capital'!$F63,'Jounal entries final'!$B:$B,O$1,'Jounal entries final'!$C:$C,'Indepth Working Capital'!$G$3)</f>
        <v>8197676.7179999994</v>
      </c>
      <c r="P63" s="124">
        <f>SUMIFS('Jounal entries final'!$H:$H,'Jounal entries final'!$E:$E,'Indepth Working Capital'!$F63,'Jounal entries final'!$B:$B,P$1,'Jounal entries final'!$C:$C,'Indepth Working Capital'!$G$3)</f>
        <v>8357251.3279999997</v>
      </c>
      <c r="Q63" s="124">
        <f>SUMIFS('Jounal entries final'!$H:$H,'Jounal entries final'!$E:$E,'Indepth Working Capital'!$F63,'Jounal entries final'!$B:$B,Q$1,'Jounal entries final'!$C:$C,'Indepth Working Capital'!$G$3)</f>
        <v>8523529.1520000026</v>
      </c>
      <c r="R63" s="124">
        <f>SUMIFS('Jounal entries final'!$H:$H,'Jounal entries final'!$E:$E,'Indepth Working Capital'!$F63,'Jounal entries final'!$B:$B,R$1,'Jounal entries final'!$C:$C,'Indepth Working Capital'!$G$3)</f>
        <v>7765783.269999994</v>
      </c>
    </row>
    <row r="64" spans="6:18">
      <c r="F64" s="119" t="s">
        <v>67</v>
      </c>
      <c r="G64" s="124">
        <f>+SUMIFS('Jounal entries final'!$H:$H,'Jounal entries final'!$E:$E,'Indepth Working Capital'!F64,'Jounal entries final'!B:B,'Indepth Working Capital'!$E$2,'Jounal entries final'!C:C,'Indepth Working Capital'!$G$3)</f>
        <v>1217348.9700000007</v>
      </c>
      <c r="H64" s="124">
        <f>SUMIFS('Jounal entries final'!$H:$H,'Jounal entries final'!$E:$E,'Indepth Working Capital'!$F64,'Jounal entries final'!$B:$B,H$1,'Jounal entries final'!$C:$C,'Indepth Working Capital'!$G$3)</f>
        <v>965431.99000000011</v>
      </c>
      <c r="I64" s="124">
        <f>SUMIFS('Jounal entries final'!$H:$H,'Jounal entries final'!$E:$E,'Indepth Working Capital'!$F64,'Jounal entries final'!$B:$B,I$1,'Jounal entries final'!$C:$C,'Indepth Working Capital'!$G$3)</f>
        <v>2687528.7600000016</v>
      </c>
      <c r="J64" s="124">
        <f>SUMIFS('Jounal entries final'!$H:$H,'Jounal entries final'!$E:$E,'Indepth Working Capital'!$F64,'Jounal entries final'!$B:$B,J$1,'Jounal entries final'!$C:$C,'Indepth Working Capital'!$G$3)</f>
        <v>2926518.75</v>
      </c>
      <c r="K64" s="124">
        <f>SUMIFS('Jounal entries final'!$H:$H,'Jounal entries final'!$E:$E,'Indepth Working Capital'!$F64,'Jounal entries final'!$B:$B,K$1,'Jounal entries final'!$C:$C,'Indepth Working Capital'!$G$3)</f>
        <v>3287397.4800000004</v>
      </c>
      <c r="L64" s="124">
        <f>SUMIFS('Jounal entries final'!$H:$H,'Jounal entries final'!$E:$E,'Indepth Working Capital'!$F64,'Jounal entries final'!$B:$B,L$1,'Jounal entries final'!$C:$C,'Indepth Working Capital'!$G$3)</f>
        <v>4631542.08</v>
      </c>
      <c r="M64" s="124">
        <f>SUMIFS('Jounal entries final'!$H:$H,'Jounal entries final'!$E:$E,'Indepth Working Capital'!$F64,'Jounal entries final'!$B:$B,M$1,'Jounal entries final'!$C:$C,'Indepth Working Capital'!$G$3)</f>
        <v>5088006.3199999984</v>
      </c>
      <c r="N64" s="124">
        <f>SUMIFS('Jounal entries final'!$H:$H,'Jounal entries final'!$E:$E,'Indepth Working Capital'!$F64,'Jounal entries final'!$B:$B,N$1,'Jounal entries final'!$C:$C,'Indepth Working Capital'!$G$3)</f>
        <v>5147864.5799999982</v>
      </c>
      <c r="O64" s="124">
        <f>SUMIFS('Jounal entries final'!$H:$H,'Jounal entries final'!$E:$E,'Indepth Working Capital'!$F64,'Jounal entries final'!$B:$B,O$1,'Jounal entries final'!$C:$C,'Indepth Working Capital'!$G$3)</f>
        <v>5851985.1599999992</v>
      </c>
      <c r="P64" s="124">
        <f>SUMIFS('Jounal entries final'!$H:$H,'Jounal entries final'!$E:$E,'Indepth Working Capital'!$F64,'Jounal entries final'!$B:$B,P$1,'Jounal entries final'!$C:$C,'Indepth Working Capital'!$G$3)</f>
        <v>6384810.0999999987</v>
      </c>
      <c r="Q64" s="124">
        <f>SUMIFS('Jounal entries final'!$H:$H,'Jounal entries final'!$E:$E,'Indepth Working Capital'!$F64,'Jounal entries final'!$B:$B,Q$1,'Jounal entries final'!$C:$C,'Indepth Working Capital'!$G$3)</f>
        <v>6198796.2399999984</v>
      </c>
      <c r="R64" s="124">
        <f>SUMIFS('Jounal entries final'!$H:$H,'Jounal entries final'!$E:$E,'Indepth Working Capital'!$F64,'Jounal entries final'!$B:$B,R$1,'Jounal entries final'!$C:$C,'Indepth Working Capital'!$G$3)</f>
        <v>6970908.2199999988</v>
      </c>
    </row>
    <row r="65" spans="6:18">
      <c r="F65" s="119"/>
      <c r="G65" s="124"/>
      <c r="H65" s="124"/>
      <c r="I65" s="124"/>
      <c r="J65" s="124"/>
      <c r="K65" s="124"/>
      <c r="L65" s="124"/>
      <c r="M65" s="124"/>
      <c r="N65" s="124"/>
      <c r="O65" s="124"/>
      <c r="P65" s="124"/>
      <c r="Q65" s="124"/>
      <c r="R65" s="124"/>
    </row>
    <row r="66" spans="6:18">
      <c r="F66" s="118" t="s">
        <v>3</v>
      </c>
      <c r="G66" s="124">
        <f>SUMIFS('Jounal entries final'!$H:$H,'Jounal entries final'!$E:$E,'Indepth Working Capital'!$F$64,'Jounal entries final'!$L:$L,'Indepth Working Capital'!$F66,'Jounal entries final'!$B:$B,G$1,'Jounal entries final'!$C:$C,'Indepth Working Capital'!$G$3)</f>
        <v>158330.79999999993</v>
      </c>
      <c r="H66" s="124">
        <f>SUMIFS('Jounal entries final'!$H:$H,'Jounal entries final'!$E:$E,'Indepth Working Capital'!$F$64,'Jounal entries final'!$L:$L,'Indepth Working Capital'!$F66,'Jounal entries final'!$B:$B,H$1,'Jounal entries final'!$C:$C,'Indepth Working Capital'!$G$3)</f>
        <v>30415.999999999884</v>
      </c>
      <c r="I66" s="124">
        <f>SUMIFS('Jounal entries final'!$H:$H,'Jounal entries final'!$E:$E,'Indepth Working Capital'!$F$64,'Jounal entries final'!$L:$L,'Indepth Working Capital'!$F66,'Jounal entries final'!$B:$B,I$1,'Jounal entries final'!$C:$C,'Indepth Working Capital'!$G$3)</f>
        <v>385540.39999999991</v>
      </c>
      <c r="J66" s="124">
        <f>SUMIFS('Jounal entries final'!$H:$H,'Jounal entries final'!$E:$E,'Indepth Working Capital'!$F$64,'Jounal entries final'!$L:$L,'Indepth Working Capital'!$F66,'Jounal entries final'!$B:$B,J$1,'Jounal entries final'!$C:$C,'Indepth Working Capital'!$G$3)</f>
        <v>426927.99999999977</v>
      </c>
      <c r="K66" s="124">
        <f>SUMIFS('Jounal entries final'!$H:$H,'Jounal entries final'!$E:$E,'Indepth Working Capital'!$F$64,'Jounal entries final'!$L:$L,'Indepth Working Capital'!$F66,'Jounal entries final'!$B:$B,K$1,'Jounal entries final'!$C:$C,'Indepth Working Capital'!$G$3)</f>
        <v>485344.7999999997</v>
      </c>
      <c r="L66" s="124">
        <f>SUMIFS('Jounal entries final'!$H:$H,'Jounal entries final'!$E:$E,'Indepth Working Capital'!$F$64,'Jounal entries final'!$L:$L,'Indepth Working Capital'!$F66,'Jounal entries final'!$B:$B,L$1,'Jounal entries final'!$C:$C,'Indepth Working Capital'!$G$3)</f>
        <v>721887.99999999965</v>
      </c>
      <c r="M66" s="124">
        <f>SUMIFS('Jounal entries final'!$H:$H,'Jounal entries final'!$E:$E,'Indepth Working Capital'!$F$64,'Jounal entries final'!$L:$L,'Indepth Working Capital'!$F66,'Jounal entries final'!$B:$B,M$1,'Jounal entries final'!$C:$C,'Indepth Working Capital'!$G$3)</f>
        <v>777343.19999999972</v>
      </c>
      <c r="N66" s="124">
        <f>SUMIFS('Jounal entries final'!$H:$H,'Jounal entries final'!$E:$E,'Indepth Working Capital'!$F$64,'Jounal entries final'!$L:$L,'Indepth Working Capital'!$F66,'Jounal entries final'!$B:$B,N$1,'Jounal entries final'!$C:$C,'Indepth Working Capital'!$G$3)</f>
        <v>848263.99999999977</v>
      </c>
      <c r="O66" s="124">
        <f>SUMIFS('Jounal entries final'!$H:$H,'Jounal entries final'!$E:$E,'Indepth Working Capital'!$F$64,'Jounal entries final'!$L:$L,'Indepth Working Capital'!$F66,'Jounal entries final'!$B:$B,O$1,'Jounal entries final'!$C:$C,'Indepth Working Capital'!$G$3)</f>
        <v>972703.19999999972</v>
      </c>
      <c r="P66" s="124">
        <f>SUMIFS('Jounal entries final'!$H:$H,'Jounal entries final'!$E:$E,'Indepth Working Capital'!$F$64,'Jounal entries final'!$L:$L,'Indepth Working Capital'!$F66,'Jounal entries final'!$B:$B,P$1,'Jounal entries final'!$C:$C,'Indepth Working Capital'!$G$3)</f>
        <v>841701.59999999986</v>
      </c>
      <c r="Q66" s="124">
        <f>SUMIFS('Jounal entries final'!$H:$H,'Jounal entries final'!$E:$E,'Indepth Working Capital'!$F$64,'Jounal entries final'!$L:$L,'Indepth Working Capital'!$F66,'Jounal entries final'!$B:$B,Q$1,'Jounal entries final'!$C:$C,'Indepth Working Capital'!$G$3)</f>
        <v>1085339.2</v>
      </c>
      <c r="R66" s="124">
        <f>SUMIFS('Jounal entries final'!$H:$H,'Jounal entries final'!$E:$E,'Indepth Working Capital'!$F$64,'Jounal entries final'!$L:$L,'Indepth Working Capital'!$F66,'Jounal entries final'!$B:$B,R$1,'Jounal entries final'!$C:$C,'Indepth Working Capital'!$G$3)</f>
        <v>886895.99999999977</v>
      </c>
    </row>
    <row r="67" spans="6:18">
      <c r="F67" s="118" t="s">
        <v>4</v>
      </c>
      <c r="G67" s="124">
        <f>SUMIFS('Jounal entries final'!$H:$H,'Jounal entries final'!$E:$E,'Indepth Working Capital'!$F$64,'Jounal entries final'!$L:$L,'Indepth Working Capital'!$F67,'Jounal entries final'!$B:$B,G$1,'Jounal entries final'!$C:$C,'Indepth Working Capital'!$G$3)</f>
        <v>416425.31999999995</v>
      </c>
      <c r="H67" s="124">
        <f>SUMIFS('Jounal entries final'!$H:$H,'Jounal entries final'!$E:$E,'Indepth Working Capital'!$F$64,'Jounal entries final'!$L:$L,'Indepth Working Capital'!$F67,'Jounal entries final'!$B:$B,H$1,'Jounal entries final'!$C:$C,'Indepth Working Capital'!$G$3)</f>
        <v>435593.76000000013</v>
      </c>
      <c r="I67" s="124">
        <f>SUMIFS('Jounal entries final'!$H:$H,'Jounal entries final'!$E:$E,'Indepth Working Capital'!$F$64,'Jounal entries final'!$L:$L,'Indepth Working Capital'!$F67,'Jounal entries final'!$B:$B,I$1,'Jounal entries final'!$C:$C,'Indepth Working Capital'!$G$3)</f>
        <v>459795.06000000017</v>
      </c>
      <c r="J67" s="124">
        <f>SUMIFS('Jounal entries final'!$H:$H,'Jounal entries final'!$E:$E,'Indepth Working Capital'!$F$64,'Jounal entries final'!$L:$L,'Indepth Working Capital'!$F67,'Jounal entries final'!$B:$B,J$1,'Jounal entries final'!$C:$C,'Indepth Working Capital'!$G$3)</f>
        <v>415182.18000000017</v>
      </c>
      <c r="K67" s="124">
        <f>SUMIFS('Jounal entries final'!$H:$H,'Jounal entries final'!$E:$E,'Indepth Working Capital'!$F$64,'Jounal entries final'!$L:$L,'Indepth Working Capital'!$F67,'Jounal entries final'!$B:$B,K$1,'Jounal entries final'!$C:$C,'Indepth Working Capital'!$G$3)</f>
        <v>402234.42000000027</v>
      </c>
      <c r="L67" s="124">
        <f>SUMIFS('Jounal entries final'!$H:$H,'Jounal entries final'!$E:$E,'Indepth Working Capital'!$F$64,'Jounal entries final'!$L:$L,'Indepth Working Capital'!$F67,'Jounal entries final'!$B:$B,L$1,'Jounal entries final'!$C:$C,'Indepth Working Capital'!$G$3)</f>
        <v>373452.48000000033</v>
      </c>
      <c r="M67" s="124">
        <f>SUMIFS('Jounal entries final'!$H:$H,'Jounal entries final'!$E:$E,'Indepth Working Capital'!$F$64,'Jounal entries final'!$L:$L,'Indepth Working Capital'!$F67,'Jounal entries final'!$B:$B,M$1,'Jounal entries final'!$C:$C,'Indepth Working Capital'!$G$3)</f>
        <v>338635.60000000021</v>
      </c>
      <c r="N67" s="124">
        <f>SUMIFS('Jounal entries final'!$H:$H,'Jounal entries final'!$E:$E,'Indepth Working Capital'!$F$64,'Jounal entries final'!$L:$L,'Indepth Working Capital'!$F67,'Jounal entries final'!$B:$B,N$1,'Jounal entries final'!$C:$C,'Indepth Working Capital'!$G$3)</f>
        <v>325975.68000000028</v>
      </c>
      <c r="O67" s="124">
        <f>SUMIFS('Jounal entries final'!$H:$H,'Jounal entries final'!$E:$E,'Indepth Working Capital'!$F$64,'Jounal entries final'!$L:$L,'Indepth Working Capital'!$F67,'Jounal entries final'!$B:$B,O$1,'Jounal entries final'!$C:$C,'Indepth Working Capital'!$G$3)</f>
        <v>427551.18000000028</v>
      </c>
      <c r="P67" s="124">
        <f>SUMIFS('Jounal entries final'!$H:$H,'Jounal entries final'!$E:$E,'Indepth Working Capital'!$F$64,'Jounal entries final'!$L:$L,'Indepth Working Capital'!$F67,'Jounal entries final'!$B:$B,P$1,'Jounal entries final'!$C:$C,'Indepth Working Capital'!$G$3)</f>
        <v>431522.30000000016</v>
      </c>
      <c r="Q67" s="124">
        <f>SUMIFS('Jounal entries final'!$H:$H,'Jounal entries final'!$E:$E,'Indepth Working Capital'!$F$64,'Jounal entries final'!$L:$L,'Indepth Working Capital'!$F67,'Jounal entries final'!$B:$B,Q$1,'Jounal entries final'!$C:$C,'Indepth Working Capital'!$G$3)</f>
        <v>405619.66000000027</v>
      </c>
      <c r="R67" s="124">
        <f>SUMIFS('Jounal entries final'!$H:$H,'Jounal entries final'!$E:$E,'Indepth Working Capital'!$F$64,'Jounal entries final'!$L:$L,'Indepth Working Capital'!$F67,'Jounal entries final'!$B:$B,R$1,'Jounal entries final'!$C:$C,'Indepth Working Capital'!$G$3)</f>
        <v>569764.36000000022</v>
      </c>
    </row>
    <row r="68" spans="6:18">
      <c r="F68" s="118" t="s">
        <v>5</v>
      </c>
      <c r="G68" s="124">
        <f>SUMIFS('Jounal entries final'!$H:$H,'Jounal entries final'!$E:$E,'Indepth Working Capital'!$F$64,'Jounal entries final'!$L:$L,'Indepth Working Capital'!$F68,'Jounal entries final'!$B:$B,G$1,'Jounal entries final'!$C:$C,'Indepth Working Capital'!$G$3)</f>
        <v>309794.04999999981</v>
      </c>
      <c r="H68" s="124">
        <f>SUMIFS('Jounal entries final'!$H:$H,'Jounal entries final'!$E:$E,'Indepth Working Capital'!$F$64,'Jounal entries final'!$L:$L,'Indepth Working Capital'!$F68,'Jounal entries final'!$B:$B,H$1,'Jounal entries final'!$C:$C,'Indepth Working Capital'!$G$3)</f>
        <v>155025.17999999993</v>
      </c>
      <c r="I68" s="124">
        <f>SUMIFS('Jounal entries final'!$H:$H,'Jounal entries final'!$E:$E,'Indepth Working Capital'!$F$64,'Jounal entries final'!$L:$L,'Indepth Working Capital'!$F68,'Jounal entries final'!$B:$B,I$1,'Jounal entries final'!$C:$C,'Indepth Working Capital'!$G$3)</f>
        <v>132180.59999999986</v>
      </c>
      <c r="J68" s="124">
        <f>SUMIFS('Jounal entries final'!$H:$H,'Jounal entries final'!$E:$E,'Indepth Working Capital'!$F$64,'Jounal entries final'!$L:$L,'Indepth Working Capital'!$F68,'Jounal entries final'!$B:$B,J$1,'Jounal entries final'!$C:$C,'Indepth Working Capital'!$G$3)</f>
        <v>229372.36999999988</v>
      </c>
      <c r="K68" s="124">
        <f>SUMIFS('Jounal entries final'!$H:$H,'Jounal entries final'!$E:$E,'Indepth Working Capital'!$F$64,'Jounal entries final'!$L:$L,'Indepth Working Capital'!$F68,'Jounal entries final'!$B:$B,K$1,'Jounal entries final'!$C:$C,'Indepth Working Capital'!$G$3)</f>
        <v>66159.059999999823</v>
      </c>
      <c r="L68" s="124">
        <f>SUMIFS('Jounal entries final'!$H:$H,'Jounal entries final'!$E:$E,'Indepth Working Capital'!$F$64,'Jounal entries final'!$L:$L,'Indepth Working Capital'!$F68,'Jounal entries final'!$B:$B,L$1,'Jounal entries final'!$C:$C,'Indepth Working Capital'!$G$3)</f>
        <v>481405.99999999953</v>
      </c>
      <c r="M68" s="124">
        <f>SUMIFS('Jounal entries final'!$H:$H,'Jounal entries final'!$E:$E,'Indepth Working Capital'!$F$64,'Jounal entries final'!$L:$L,'Indepth Working Capital'!$F68,'Jounal entries final'!$B:$B,M$1,'Jounal entries final'!$C:$C,'Indepth Working Capital'!$G$3)</f>
        <v>230813.51999999909</v>
      </c>
      <c r="N68" s="124">
        <f>SUMIFS('Jounal entries final'!$H:$H,'Jounal entries final'!$E:$E,'Indepth Working Capital'!$F$64,'Jounal entries final'!$L:$L,'Indepth Working Capital'!$F68,'Jounal entries final'!$B:$B,N$1,'Jounal entries final'!$C:$C,'Indepth Working Capital'!$G$3)</f>
        <v>262236.59999999916</v>
      </c>
      <c r="O68" s="124">
        <f>SUMIFS('Jounal entries final'!$H:$H,'Jounal entries final'!$E:$E,'Indepth Working Capital'!$F$64,'Jounal entries final'!$L:$L,'Indepth Working Capital'!$F68,'Jounal entries final'!$B:$B,O$1,'Jounal entries final'!$C:$C,'Indepth Working Capital'!$G$3)</f>
        <v>329941.47999999905</v>
      </c>
      <c r="P68" s="124">
        <f>SUMIFS('Jounal entries final'!$H:$H,'Jounal entries final'!$E:$E,'Indepth Working Capital'!$F$64,'Jounal entries final'!$L:$L,'Indepth Working Capital'!$F68,'Jounal entries final'!$B:$B,P$1,'Jounal entries final'!$C:$C,'Indepth Working Capital'!$G$3)</f>
        <v>357806.19999999925</v>
      </c>
      <c r="Q68" s="124">
        <f>SUMIFS('Jounal entries final'!$H:$H,'Jounal entries final'!$E:$E,'Indepth Working Capital'!$F$64,'Jounal entries final'!$L:$L,'Indepth Working Capital'!$F68,'Jounal entries final'!$B:$B,Q$1,'Jounal entries final'!$C:$C,'Indepth Working Capital'!$G$3)</f>
        <v>226366.37999999896</v>
      </c>
      <c r="R68" s="124">
        <f>SUMIFS('Jounal entries final'!$H:$H,'Jounal entries final'!$E:$E,'Indepth Working Capital'!$F$64,'Jounal entries final'!$L:$L,'Indepth Working Capital'!$F68,'Jounal entries final'!$B:$B,R$1,'Jounal entries final'!$C:$C,'Indepth Working Capital'!$G$3)</f>
        <v>247645.25999999908</v>
      </c>
    </row>
    <row r="69" spans="6:18">
      <c r="F69" s="118" t="s">
        <v>6</v>
      </c>
      <c r="G69" s="124">
        <f>SUMIFS('Jounal entries final'!$H:$H,'Jounal entries final'!$E:$E,'Indepth Working Capital'!$F$64,'Jounal entries final'!$L:$L,'Indepth Working Capital'!$F69,'Jounal entries final'!$B:$B,G$1,'Jounal entries final'!$C:$C,'Indepth Working Capital'!$G$3)</f>
        <v>329406</v>
      </c>
      <c r="H69" s="124">
        <f>SUMIFS('Jounal entries final'!$H:$H,'Jounal entries final'!$E:$E,'Indepth Working Capital'!$F$64,'Jounal entries final'!$L:$L,'Indepth Working Capital'!$F69,'Jounal entries final'!$B:$B,H$1,'Jounal entries final'!$C:$C,'Indepth Working Capital'!$G$3)</f>
        <v>155790</v>
      </c>
      <c r="I69" s="124">
        <f>SUMIFS('Jounal entries final'!$H:$H,'Jounal entries final'!$E:$E,'Indepth Working Capital'!$F$64,'Jounal entries final'!$L:$L,'Indepth Working Capital'!$F69,'Jounal entries final'!$B:$B,I$1,'Jounal entries final'!$C:$C,'Indepth Working Capital'!$G$3)</f>
        <v>1180476</v>
      </c>
      <c r="J69" s="124">
        <f>SUMIFS('Jounal entries final'!$H:$H,'Jounal entries final'!$E:$E,'Indepth Working Capital'!$F$64,'Jounal entries final'!$L:$L,'Indepth Working Capital'!$F69,'Jounal entries final'!$B:$B,J$1,'Jounal entries final'!$C:$C,'Indepth Working Capital'!$G$3)</f>
        <v>1720818</v>
      </c>
      <c r="K69" s="124">
        <f>SUMIFS('Jounal entries final'!$H:$H,'Jounal entries final'!$E:$E,'Indepth Working Capital'!$F$64,'Jounal entries final'!$L:$L,'Indepth Working Capital'!$F69,'Jounal entries final'!$B:$B,K$1,'Jounal entries final'!$C:$C,'Indepth Working Capital'!$G$3)</f>
        <v>2045240</v>
      </c>
      <c r="L69" s="124">
        <f>SUMIFS('Jounal entries final'!$H:$H,'Jounal entries final'!$E:$E,'Indepth Working Capital'!$F$64,'Jounal entries final'!$L:$L,'Indepth Working Capital'!$F69,'Jounal entries final'!$B:$B,L$1,'Jounal entries final'!$C:$C,'Indepth Working Capital'!$G$3)</f>
        <v>2971958</v>
      </c>
      <c r="M69" s="124">
        <f>SUMIFS('Jounal entries final'!$H:$H,'Jounal entries final'!$E:$E,'Indepth Working Capital'!$F$64,'Jounal entries final'!$L:$L,'Indepth Working Capital'!$F69,'Jounal entries final'!$B:$B,M$1,'Jounal entries final'!$C:$C,'Indepth Working Capital'!$G$3)</f>
        <v>3299835</v>
      </c>
      <c r="N69" s="124">
        <f>SUMIFS('Jounal entries final'!$H:$H,'Jounal entries final'!$E:$E,'Indepth Working Capital'!$F$64,'Jounal entries final'!$L:$L,'Indepth Working Capital'!$F69,'Jounal entries final'!$B:$B,N$1,'Jounal entries final'!$C:$C,'Indepth Working Capital'!$G$3)</f>
        <v>3246834</v>
      </c>
      <c r="O69" s="124">
        <f>SUMIFS('Jounal entries final'!$H:$H,'Jounal entries final'!$E:$E,'Indepth Working Capital'!$F$64,'Jounal entries final'!$L:$L,'Indepth Working Capital'!$F69,'Jounal entries final'!$B:$B,O$1,'Jounal entries final'!$C:$C,'Indepth Working Capital'!$G$3)</f>
        <v>3813020</v>
      </c>
      <c r="P69" s="124">
        <f>SUMIFS('Jounal entries final'!$H:$H,'Jounal entries final'!$E:$E,'Indepth Working Capital'!$F$64,'Jounal entries final'!$L:$L,'Indepth Working Capital'!$F69,'Jounal entries final'!$B:$B,P$1,'Jounal entries final'!$C:$C,'Indepth Working Capital'!$G$3)</f>
        <v>4236876</v>
      </c>
      <c r="Q69" s="124">
        <f>SUMIFS('Jounal entries final'!$H:$H,'Jounal entries final'!$E:$E,'Indepth Working Capital'!$F$64,'Jounal entries final'!$L:$L,'Indepth Working Capital'!$F69,'Jounal entries final'!$B:$B,Q$1,'Jounal entries final'!$C:$C,'Indepth Working Capital'!$G$3)</f>
        <v>4145553</v>
      </c>
      <c r="R69" s="124">
        <f>SUMIFS('Jounal entries final'!$H:$H,'Jounal entries final'!$E:$E,'Indepth Working Capital'!$F$64,'Jounal entries final'!$L:$L,'Indepth Working Capital'!$F69,'Jounal entries final'!$B:$B,R$1,'Jounal entries final'!$C:$C,'Indepth Working Capital'!$G$3)</f>
        <v>4788693</v>
      </c>
    </row>
    <row r="70" spans="6:18">
      <c r="F70" s="118" t="s">
        <v>11</v>
      </c>
      <c r="G70" s="124">
        <f>SUMIFS('Jounal entries final'!$H:$H,'Jounal entries final'!$E:$E,'Indepth Working Capital'!$F$64,'Jounal entries final'!$L:$L,'Indepth Working Capital'!$F70,'Jounal entries final'!$B:$B,G$1,'Jounal entries final'!$C:$C,'Indepth Working Capital'!$G$3)</f>
        <v>2062.7999999999302</v>
      </c>
      <c r="H70" s="124">
        <f>SUMIFS('Jounal entries final'!$H:$H,'Jounal entries final'!$E:$E,'Indepth Working Capital'!$F$64,'Jounal entries final'!$L:$L,'Indepth Working Capital'!$F70,'Jounal entries final'!$B:$B,H$1,'Jounal entries final'!$C:$C,'Indepth Working Capital'!$G$3)</f>
        <v>60780.04999999993</v>
      </c>
      <c r="I70" s="124">
        <f>SUMIFS('Jounal entries final'!$H:$H,'Jounal entries final'!$E:$E,'Indepth Working Capital'!$F$64,'Jounal entries final'!$L:$L,'Indepth Working Capital'!$F70,'Jounal entries final'!$B:$B,I$1,'Jounal entries final'!$C:$C,'Indepth Working Capital'!$G$3)</f>
        <v>82298.699999999953</v>
      </c>
      <c r="J70" s="124">
        <f>SUMIFS('Jounal entries final'!$H:$H,'Jounal entries final'!$E:$E,'Indepth Working Capital'!$F$64,'Jounal entries final'!$L:$L,'Indepth Working Capital'!$F70,'Jounal entries final'!$B:$B,J$1,'Jounal entries final'!$C:$C,'Indepth Working Capital'!$G$3)</f>
        <v>76952.199999999953</v>
      </c>
      <c r="K70" s="124">
        <f>SUMIFS('Jounal entries final'!$H:$H,'Jounal entries final'!$E:$E,'Indepth Working Capital'!$F$64,'Jounal entries final'!$L:$L,'Indepth Working Capital'!$F70,'Jounal entries final'!$B:$B,K$1,'Jounal entries final'!$C:$C,'Indepth Working Capital'!$G$3)</f>
        <v>67582.199999999953</v>
      </c>
      <c r="L70" s="124">
        <f>SUMIFS('Jounal entries final'!$H:$H,'Jounal entries final'!$E:$E,'Indepth Working Capital'!$F$64,'Jounal entries final'!$L:$L,'Indepth Working Capital'!$F70,'Jounal entries final'!$B:$B,L$1,'Jounal entries final'!$C:$C,'Indepth Working Capital'!$G$3)</f>
        <v>57456.600000000093</v>
      </c>
      <c r="M70" s="124">
        <f>SUMIFS('Jounal entries final'!$H:$H,'Jounal entries final'!$E:$E,'Indepth Working Capital'!$F$64,'Jounal entries final'!$L:$L,'Indepth Working Capital'!$F70,'Jounal entries final'!$B:$B,M$1,'Jounal entries final'!$C:$C,'Indepth Working Capital'!$G$3)</f>
        <v>312893.00000000023</v>
      </c>
      <c r="N70" s="124">
        <f>SUMIFS('Jounal entries final'!$H:$H,'Jounal entries final'!$E:$E,'Indepth Working Capital'!$F$64,'Jounal entries final'!$L:$L,'Indepth Working Capital'!$F70,'Jounal entries final'!$B:$B,N$1,'Jounal entries final'!$C:$C,'Indepth Working Capital'!$G$3)</f>
        <v>275113.30000000016</v>
      </c>
      <c r="O70" s="124">
        <f>SUMIFS('Jounal entries final'!$H:$H,'Jounal entries final'!$E:$E,'Indepth Working Capital'!$F$64,'Jounal entries final'!$L:$L,'Indepth Working Capital'!$F70,'Jounal entries final'!$B:$B,O$1,'Jounal entries final'!$C:$C,'Indepth Working Capital'!$G$3)</f>
        <v>149955.30000000016</v>
      </c>
      <c r="P70" s="124">
        <f>SUMIFS('Jounal entries final'!$H:$H,'Jounal entries final'!$E:$E,'Indepth Working Capital'!$F$64,'Jounal entries final'!$L:$L,'Indepth Working Capital'!$F70,'Jounal entries final'!$B:$B,P$1,'Jounal entries final'!$C:$C,'Indepth Working Capital'!$G$3)</f>
        <v>159932.00000000012</v>
      </c>
      <c r="Q70" s="124">
        <f>SUMIFS('Jounal entries final'!$H:$H,'Jounal entries final'!$E:$E,'Indepth Working Capital'!$F$64,'Jounal entries final'!$L:$L,'Indepth Working Capital'!$F70,'Jounal entries final'!$B:$B,Q$1,'Jounal entries final'!$C:$C,'Indepth Working Capital'!$G$3)</f>
        <v>39506.000000000116</v>
      </c>
      <c r="R70" s="124">
        <f>SUMIFS('Jounal entries final'!$H:$H,'Jounal entries final'!$E:$E,'Indepth Working Capital'!$F$64,'Jounal entries final'!$L:$L,'Indepth Working Capital'!$F70,'Jounal entries final'!$B:$B,R$1,'Jounal entries final'!$C:$C,'Indepth Working Capital'!$G$3)</f>
        <v>23754.60000000021</v>
      </c>
    </row>
    <row r="71" spans="6:18">
      <c r="F71" s="118" t="s">
        <v>12</v>
      </c>
      <c r="G71" s="124">
        <f>SUMIFS('Jounal entries final'!$H:$H,'Jounal entries final'!$E:$E,'Indepth Working Capital'!$F$64,'Jounal entries final'!$L:$L,'Indepth Working Capital'!$F71,'Jounal entries final'!$B:$B,G$1,'Jounal entries final'!$C:$C,'Indepth Working Capital'!$G$3)</f>
        <v>1330</v>
      </c>
      <c r="H71" s="124">
        <f>SUMIFS('Jounal entries final'!$H:$H,'Jounal entries final'!$E:$E,'Indepth Working Capital'!$F$64,'Jounal entries final'!$L:$L,'Indepth Working Capital'!$F71,'Jounal entries final'!$B:$B,H$1,'Jounal entries final'!$C:$C,'Indepth Working Capital'!$G$3)</f>
        <v>127827</v>
      </c>
      <c r="I71" s="124">
        <f>SUMIFS('Jounal entries final'!$H:$H,'Jounal entries final'!$E:$E,'Indepth Working Capital'!$F$64,'Jounal entries final'!$L:$L,'Indepth Working Capital'!$F71,'Jounal entries final'!$B:$B,I$1,'Jounal entries final'!$C:$C,'Indepth Working Capital'!$G$3)</f>
        <v>447238</v>
      </c>
      <c r="J71" s="124">
        <f>SUMIFS('Jounal entries final'!$H:$H,'Jounal entries final'!$E:$E,'Indepth Working Capital'!$F$64,'Jounal entries final'!$L:$L,'Indepth Working Capital'!$F71,'Jounal entries final'!$B:$B,J$1,'Jounal entries final'!$C:$C,'Indepth Working Capital'!$G$3)</f>
        <v>57266</v>
      </c>
      <c r="K71" s="124">
        <f>SUMIFS('Jounal entries final'!$H:$H,'Jounal entries final'!$E:$E,'Indepth Working Capital'!$F$64,'Jounal entries final'!$L:$L,'Indepth Working Capital'!$F71,'Jounal entries final'!$B:$B,K$1,'Jounal entries final'!$C:$C,'Indepth Working Capital'!$G$3)</f>
        <v>220837</v>
      </c>
      <c r="L71" s="124">
        <f>SUMIFS('Jounal entries final'!$H:$H,'Jounal entries final'!$E:$E,'Indepth Working Capital'!$F$64,'Jounal entries final'!$L:$L,'Indepth Working Capital'!$F71,'Jounal entries final'!$B:$B,L$1,'Jounal entries final'!$C:$C,'Indepth Working Capital'!$G$3)</f>
        <v>25381</v>
      </c>
      <c r="M71" s="124">
        <f>SUMIFS('Jounal entries final'!$H:$H,'Jounal entries final'!$E:$E,'Indepth Working Capital'!$F$64,'Jounal entries final'!$L:$L,'Indepth Working Capital'!$F71,'Jounal entries final'!$B:$B,M$1,'Jounal entries final'!$C:$C,'Indepth Working Capital'!$G$3)</f>
        <v>128486</v>
      </c>
      <c r="N71" s="124">
        <f>SUMIFS('Jounal entries final'!$H:$H,'Jounal entries final'!$E:$E,'Indepth Working Capital'!$F$64,'Jounal entries final'!$L:$L,'Indepth Working Capital'!$F71,'Jounal entries final'!$B:$B,N$1,'Jounal entries final'!$C:$C,'Indepth Working Capital'!$G$3)</f>
        <v>189441</v>
      </c>
      <c r="O71" s="124">
        <f>SUMIFS('Jounal entries final'!$H:$H,'Jounal entries final'!$E:$E,'Indepth Working Capital'!$F$64,'Jounal entries final'!$L:$L,'Indepth Working Capital'!$F71,'Jounal entries final'!$B:$B,O$1,'Jounal entries final'!$C:$C,'Indepth Working Capital'!$G$3)</f>
        <v>158814</v>
      </c>
      <c r="P71" s="124">
        <f>SUMIFS('Jounal entries final'!$H:$H,'Jounal entries final'!$E:$E,'Indepth Working Capital'!$F$64,'Jounal entries final'!$L:$L,'Indepth Working Capital'!$F71,'Jounal entries final'!$B:$B,P$1,'Jounal entries final'!$C:$C,'Indepth Working Capital'!$G$3)</f>
        <v>356972</v>
      </c>
      <c r="Q71" s="124">
        <f>SUMIFS('Jounal entries final'!$H:$H,'Jounal entries final'!$E:$E,'Indepth Working Capital'!$F$64,'Jounal entries final'!$L:$L,'Indepth Working Capital'!$F71,'Jounal entries final'!$B:$B,Q$1,'Jounal entries final'!$C:$C,'Indepth Working Capital'!$G$3)</f>
        <v>296412</v>
      </c>
      <c r="R71" s="124">
        <f>SUMIFS('Jounal entries final'!$H:$H,'Jounal entries final'!$E:$E,'Indepth Working Capital'!$F$64,'Jounal entries final'!$L:$L,'Indepth Working Capital'!$F71,'Jounal entries final'!$B:$B,R$1,'Jounal entries final'!$C:$C,'Indepth Working Capital'!$G$3)</f>
        <v>454155</v>
      </c>
    </row>
    <row r="73" spans="6:18">
      <c r="F73" s="118" t="s">
        <v>3</v>
      </c>
      <c r="G73" s="124">
        <f>SUMIFS('Jounal entries final'!$F:$F,'Jounal entries final'!$E:$E,'Indepth Working Capital'!$F$63,'Jounal entries final'!$M:$M,'Indepth Working Capital'!$F73,'Jounal entries final'!$B:$B,G$1,'Jounal entries final'!$C:$C,'Indepth Working Capital'!$G$3)</f>
        <v>858169.20000000007</v>
      </c>
      <c r="H73" s="124">
        <f>SUMIFS('Jounal entries final'!$F:$F,'Jounal entries final'!$E:$E,'Indepth Working Capital'!$F$63,'Jounal entries final'!$M:$M,'Indepth Working Capital'!$F73,'Jounal entries final'!$B:$B,H$1,'Jounal entries final'!$C:$C,'Indepth Working Capital'!$G$3)</f>
        <v>927914.8</v>
      </c>
      <c r="I73" s="124">
        <f>SUMIFS('Jounal entries final'!$F:$F,'Jounal entries final'!$E:$E,'Indepth Working Capital'!$F$63,'Jounal entries final'!$M:$M,'Indepth Working Capital'!$F73,'Jounal entries final'!$B:$B,I$1,'Jounal entries final'!$C:$C,'Indepth Working Capital'!$G$3)</f>
        <v>404875.6</v>
      </c>
      <c r="J73" s="124">
        <f>SUMIFS('Jounal entries final'!$F:$F,'Jounal entries final'!$E:$E,'Indepth Working Capital'!$F$63,'Jounal entries final'!$M:$M,'Indepth Working Capital'!$F73,'Jounal entries final'!$B:$B,J$1,'Jounal entries final'!$C:$C,'Indepth Working Capital'!$G$3)</f>
        <v>758612.40000000014</v>
      </c>
      <c r="K73" s="124">
        <f>SUMIFS('Jounal entries final'!$F:$F,'Jounal entries final'!$E:$E,'Indepth Working Capital'!$F$63,'Jounal entries final'!$M:$M,'Indepth Working Capital'!$F73,'Jounal entries final'!$B:$B,K$1,'Jounal entries final'!$C:$C,'Indepth Working Capital'!$G$3)</f>
        <v>661583.20000000007</v>
      </c>
      <c r="L73" s="124">
        <f>SUMIFS('Jounal entries final'!$F:$F,'Jounal entries final'!$E:$E,'Indepth Working Capital'!$F$63,'Jounal entries final'!$M:$M,'Indepth Working Capital'!$F73,'Jounal entries final'!$B:$B,L$1,'Jounal entries final'!$C:$C,'Indepth Working Capital'!$G$3)</f>
        <v>563456.80000000005</v>
      </c>
      <c r="M73" s="124">
        <f>SUMIFS('Jounal entries final'!$F:$F,'Jounal entries final'!$E:$E,'Indepth Working Capital'!$F$63,'Jounal entries final'!$M:$M,'Indepth Working Capital'!$F73,'Jounal entries final'!$B:$B,M$1,'Jounal entries final'!$C:$C,'Indepth Working Capital'!$G$3)</f>
        <v>704544.79999999993</v>
      </c>
      <c r="N73" s="124">
        <f>SUMIFS('Jounal entries final'!$F:$F,'Jounal entries final'!$E:$E,'Indepth Working Capital'!$F$63,'Jounal entries final'!$M:$M,'Indepth Working Capital'!$F73,'Jounal entries final'!$B:$B,N$1,'Jounal entries final'!$C:$C,'Indepth Working Capital'!$G$3)</f>
        <v>729079.2</v>
      </c>
      <c r="O73" s="124">
        <f>SUMIFS('Jounal entries final'!$F:$F,'Jounal entries final'!$E:$E,'Indepth Working Capital'!$F$63,'Jounal entries final'!$M:$M,'Indepth Working Capital'!$F73,'Jounal entries final'!$B:$B,O$1,'Jounal entries final'!$C:$C,'Indepth Working Capital'!$G$3)</f>
        <v>715560.8</v>
      </c>
      <c r="P73" s="124">
        <f>SUMIFS('Jounal entries final'!$F:$F,'Jounal entries final'!$E:$E,'Indepth Working Capital'!$F$63,'Jounal entries final'!$M:$M,'Indepth Working Capital'!$F73,'Jounal entries final'!$B:$B,P$1,'Jounal entries final'!$C:$C,'Indepth Working Capital'!$G$3)</f>
        <v>851001.59999999986</v>
      </c>
      <c r="Q73" s="124">
        <f>SUMIFS('Jounal entries final'!$F:$F,'Jounal entries final'!$E:$E,'Indepth Working Capital'!$F$63,'Jounal entries final'!$M:$M,'Indepth Working Capital'!$F73,'Jounal entries final'!$B:$B,Q$1,'Jounal entries final'!$C:$C,'Indepth Working Capital'!$G$3)</f>
        <v>636362.39999999991</v>
      </c>
      <c r="R73" s="124">
        <f>SUMIFS('Jounal entries final'!$F:$F,'Jounal entries final'!$E:$E,'Indepth Working Capital'!$F$63,'Jounal entries final'!$M:$M,'Indepth Working Capital'!$F73,'Jounal entries final'!$B:$B,R$1,'Jounal entries final'!$C:$C,'Indepth Working Capital'!$G$3)</f>
        <v>918443.20000000019</v>
      </c>
    </row>
    <row r="74" spans="6:18">
      <c r="F74" s="118" t="s">
        <v>4</v>
      </c>
      <c r="G74" s="124">
        <f>SUMIFS('Jounal entries final'!$F:$F,'Jounal entries final'!$E:$E,'Indepth Working Capital'!$F$63,'Jounal entries final'!$M:$M,'Indepth Working Capital'!$F74,'Jounal entries final'!$B:$B,G$1,'Jounal entries final'!$C:$C,'Indepth Working Capital'!$G$3)</f>
        <v>975874.68</v>
      </c>
      <c r="H74" s="124">
        <f>SUMIFS('Jounal entries final'!$F:$F,'Jounal entries final'!$E:$E,'Indepth Working Capital'!$F$63,'Jounal entries final'!$M:$M,'Indepth Working Capital'!$F74,'Jounal entries final'!$B:$B,H$1,'Jounal entries final'!$C:$C,'Indepth Working Capital'!$G$3)</f>
        <v>925831.55999999982</v>
      </c>
      <c r="I74" s="124">
        <f>SUMIFS('Jounal entries final'!$F:$F,'Jounal entries final'!$E:$E,'Indepth Working Capital'!$F$63,'Jounal entries final'!$M:$M,'Indepth Working Capital'!$F74,'Jounal entries final'!$B:$B,I$1,'Jounal entries final'!$C:$C,'Indepth Working Capital'!$G$3)</f>
        <v>830798.7</v>
      </c>
      <c r="J74" s="124">
        <f>SUMIFS('Jounal entries final'!$F:$F,'Jounal entries final'!$E:$E,'Indepth Working Capital'!$F$63,'Jounal entries final'!$M:$M,'Indepth Working Capital'!$F74,'Jounal entries final'!$B:$B,J$1,'Jounal entries final'!$C:$C,'Indepth Working Capital'!$G$3)</f>
        <v>989612.88</v>
      </c>
      <c r="K74" s="124">
        <f>SUMIFS('Jounal entries final'!$F:$F,'Jounal entries final'!$E:$E,'Indepth Working Capital'!$F$63,'Jounal entries final'!$M:$M,'Indepth Working Capital'!$F74,'Jounal entries final'!$B:$B,K$1,'Jounal entries final'!$C:$C,'Indepth Working Capital'!$G$3)</f>
        <v>957947.75999999989</v>
      </c>
      <c r="L74" s="124">
        <f>SUMIFS('Jounal entries final'!$F:$F,'Jounal entries final'!$E:$E,'Indepth Working Capital'!$F$63,'Jounal entries final'!$M:$M,'Indepth Working Capital'!$F74,'Jounal entries final'!$B:$B,L$1,'Jounal entries final'!$C:$C,'Indepth Working Capital'!$G$3)</f>
        <v>838781.94</v>
      </c>
      <c r="M74" s="124">
        <f>SUMIFS('Jounal entries final'!$F:$F,'Jounal entries final'!$E:$E,'Indepth Working Capital'!$F$63,'Jounal entries final'!$M:$M,'Indepth Working Capital'!$F74,'Jounal entries final'!$B:$B,M$1,'Jounal entries final'!$C:$C,'Indepth Working Capital'!$G$3)</f>
        <v>934816.88000000012</v>
      </c>
      <c r="N74" s="124">
        <f>SUMIFS('Jounal entries final'!$F:$F,'Jounal entries final'!$E:$E,'Indepth Working Capital'!$F$63,'Jounal entries final'!$M:$M,'Indepth Working Capital'!$F74,'Jounal entries final'!$B:$B,N$1,'Jounal entries final'!$C:$C,'Indepth Working Capital'!$G$3)</f>
        <v>822659.91999999993</v>
      </c>
      <c r="O74" s="124">
        <f>SUMIFS('Jounal entries final'!$F:$F,'Jounal entries final'!$E:$E,'Indepth Working Capital'!$F$63,'Jounal entries final'!$M:$M,'Indepth Working Capital'!$F74,'Jounal entries final'!$B:$B,O$1,'Jounal entries final'!$C:$C,'Indepth Working Capital'!$G$3)</f>
        <v>843424.5</v>
      </c>
      <c r="P74" s="124">
        <f>SUMIFS('Jounal entries final'!$F:$F,'Jounal entries final'!$E:$E,'Indepth Working Capital'!$F$63,'Jounal entries final'!$M:$M,'Indepth Working Capital'!$F74,'Jounal entries final'!$B:$B,P$1,'Jounal entries final'!$C:$C,'Indepth Working Capital'!$G$3)</f>
        <v>851028.88000000012</v>
      </c>
      <c r="Q74" s="124">
        <f>SUMIFS('Jounal entries final'!$F:$F,'Jounal entries final'!$E:$E,'Indepth Working Capital'!$F$63,'Jounal entries final'!$M:$M,'Indepth Working Capital'!$F74,'Jounal entries final'!$B:$B,Q$1,'Jounal entries final'!$C:$C,'Indepth Working Capital'!$G$3)</f>
        <v>790902.6399999999</v>
      </c>
      <c r="R74" s="124">
        <f>SUMIFS('Jounal entries final'!$F:$F,'Jounal entries final'!$E:$E,'Indepth Working Capital'!$F$63,'Jounal entries final'!$M:$M,'Indepth Working Capital'!$F74,'Jounal entries final'!$B:$B,R$1,'Jounal entries final'!$C:$C,'Indepth Working Capital'!$G$3)</f>
        <v>825855.3</v>
      </c>
    </row>
    <row r="75" spans="6:18">
      <c r="F75" s="118" t="s">
        <v>5</v>
      </c>
      <c r="G75" s="124">
        <f>SUMIFS('Jounal entries final'!$F:$F,'Jounal entries final'!$E:$E,'Indepth Working Capital'!$F$63,'Jounal entries final'!$M:$M,'Indepth Working Capital'!$F75,'Jounal entries final'!$B:$B,G$1,'Jounal entries final'!$C:$C,'Indepth Working Capital'!$G$3)</f>
        <v>2491318.9500000002</v>
      </c>
      <c r="H75" s="124">
        <f>SUMIFS('Jounal entries final'!$F:$F,'Jounal entries final'!$E:$E,'Indepth Working Capital'!$F$63,'Jounal entries final'!$M:$M,'Indepth Working Capital'!$F75,'Jounal entries final'!$B:$B,H$1,'Jounal entries final'!$C:$C,'Indepth Working Capital'!$G$3)</f>
        <v>1954768.8699999999</v>
      </c>
      <c r="I75" s="124">
        <f>SUMIFS('Jounal entries final'!$F:$F,'Jounal entries final'!$E:$E,'Indepth Working Capital'!$F$63,'Jounal entries final'!$M:$M,'Indepth Working Capital'!$F75,'Jounal entries final'!$B:$B,I$1,'Jounal entries final'!$C:$C,'Indepth Working Capital'!$G$3)</f>
        <v>2022844.58</v>
      </c>
      <c r="J75" s="124">
        <f>SUMIFS('Jounal entries final'!$F:$F,'Jounal entries final'!$E:$E,'Indepth Working Capital'!$F$63,'Jounal entries final'!$M:$M,'Indepth Working Capital'!$F75,'Jounal entries final'!$B:$B,J$1,'Jounal entries final'!$C:$C,'Indepth Working Capital'!$G$3)</f>
        <v>2277808.23</v>
      </c>
      <c r="K75" s="124">
        <f>SUMIFS('Jounal entries final'!$F:$F,'Jounal entries final'!$E:$E,'Indepth Working Capital'!$F$63,'Jounal entries final'!$M:$M,'Indepth Working Capital'!$F75,'Jounal entries final'!$B:$B,K$1,'Jounal entries final'!$C:$C,'Indepth Working Capital'!$G$3)</f>
        <v>2363213.31</v>
      </c>
      <c r="L75" s="124">
        <f>SUMIFS('Jounal entries final'!$F:$F,'Jounal entries final'!$E:$E,'Indepth Working Capital'!$F$63,'Jounal entries final'!$M:$M,'Indepth Working Capital'!$F75,'Jounal entries final'!$B:$B,L$1,'Jounal entries final'!$C:$C,'Indepth Working Capital'!$G$3)</f>
        <v>1794753.0600000003</v>
      </c>
      <c r="M75" s="124">
        <f>SUMIFS('Jounal entries final'!$F:$F,'Jounal entries final'!$E:$E,'Indepth Working Capital'!$F$63,'Jounal entries final'!$M:$M,'Indepth Working Capital'!$F75,'Jounal entries final'!$B:$B,M$1,'Jounal entries final'!$C:$C,'Indepth Working Capital'!$G$3)</f>
        <v>2350592.4800000004</v>
      </c>
      <c r="N75" s="124">
        <f>SUMIFS('Jounal entries final'!$F:$F,'Jounal entries final'!$E:$E,'Indepth Working Capital'!$F$63,'Jounal entries final'!$M:$M,'Indepth Working Capital'!$F75,'Jounal entries final'!$B:$B,N$1,'Jounal entries final'!$C:$C,'Indepth Working Capital'!$G$3)</f>
        <v>1968576.92</v>
      </c>
      <c r="O75" s="124">
        <f>SUMIFS('Jounal entries final'!$F:$F,'Jounal entries final'!$E:$E,'Indepth Working Capital'!$F$63,'Jounal entries final'!$M:$M,'Indepth Working Capital'!$F75,'Jounal entries final'!$B:$B,O$1,'Jounal entries final'!$C:$C,'Indepth Working Capital'!$G$3)</f>
        <v>2132295.12</v>
      </c>
      <c r="P75" s="124">
        <f>SUMIFS('Jounal entries final'!$F:$F,'Jounal entries final'!$E:$E,'Indepth Working Capital'!$F$63,'Jounal entries final'!$M:$M,'Indepth Working Capital'!$F75,'Jounal entries final'!$B:$B,P$1,'Jounal entries final'!$C:$C,'Indepth Working Capital'!$G$3)</f>
        <v>1972135.2799999998</v>
      </c>
      <c r="Q75" s="124">
        <f>SUMIFS('Jounal entries final'!$F:$F,'Jounal entries final'!$E:$E,'Indepth Working Capital'!$F$63,'Jounal entries final'!$M:$M,'Indepth Working Capital'!$F75,'Jounal entries final'!$B:$B,Q$1,'Jounal entries final'!$C:$C,'Indepth Working Capital'!$G$3)</f>
        <v>1931439.8200000003</v>
      </c>
      <c r="R75" s="124">
        <f>SUMIFS('Jounal entries final'!$F:$F,'Jounal entries final'!$E:$E,'Indepth Working Capital'!$F$63,'Jounal entries final'!$M:$M,'Indepth Working Capital'!$F75,'Jounal entries final'!$B:$B,R$1,'Jounal entries final'!$C:$C,'Indepth Working Capital'!$G$3)</f>
        <v>1778721.1199999999</v>
      </c>
    </row>
    <row r="76" spans="6:18">
      <c r="F76" s="118" t="s">
        <v>6</v>
      </c>
      <c r="G76" s="124">
        <f>SUMIFS('Jounal entries final'!$F:$F,'Jounal entries final'!$E:$E,'Indepth Working Capital'!$F$63,'Jounal entries final'!$M:$M,'Indepth Working Capital'!$F76,'Jounal entries final'!$B:$B,G$1,'Jounal entries final'!$C:$C,'Indepth Working Capital'!$G$3)</f>
        <v>2371257</v>
      </c>
      <c r="H76" s="124">
        <f>SUMIFS('Jounal entries final'!$F:$F,'Jounal entries final'!$E:$E,'Indepth Working Capital'!$F$63,'Jounal entries final'!$M:$M,'Indepth Working Capital'!$F76,'Jounal entries final'!$B:$B,H$1,'Jounal entries final'!$C:$C,'Indepth Working Capital'!$G$3)</f>
        <v>2153616</v>
      </c>
      <c r="I76" s="124">
        <f>SUMIFS('Jounal entries final'!$F:$F,'Jounal entries final'!$E:$E,'Indepth Working Capital'!$F$63,'Jounal entries final'!$M:$M,'Indepth Working Capital'!$F76,'Jounal entries final'!$B:$B,I$1,'Jounal entries final'!$C:$C,'Indepth Working Capital'!$G$3)</f>
        <v>955314</v>
      </c>
      <c r="J76" s="124">
        <f>SUMIFS('Jounal entries final'!$F:$F,'Jounal entries final'!$E:$E,'Indepth Working Capital'!$F$63,'Jounal entries final'!$M:$M,'Indepth Working Capital'!$F76,'Jounal entries final'!$B:$B,J$1,'Jounal entries final'!$C:$C,'Indepth Working Capital'!$G$3)</f>
        <v>1879658</v>
      </c>
      <c r="K76" s="124">
        <f>SUMIFS('Jounal entries final'!$F:$F,'Jounal entries final'!$E:$E,'Indepth Working Capital'!$F$63,'Jounal entries final'!$M:$M,'Indepth Working Capital'!$F76,'Jounal entries final'!$B:$B,K$1,'Jounal entries final'!$C:$C,'Indepth Working Capital'!$G$3)</f>
        <v>1875578</v>
      </c>
      <c r="L76" s="124">
        <f>SUMIFS('Jounal entries final'!$F:$F,'Jounal entries final'!$E:$E,'Indepth Working Capital'!$F$63,'Jounal entries final'!$M:$M,'Indepth Working Capital'!$F76,'Jounal entries final'!$B:$B,L$1,'Jounal entries final'!$C:$C,'Indepth Working Capital'!$G$3)</f>
        <v>1493282</v>
      </c>
      <c r="M76" s="124">
        <f>SUMIFS('Jounal entries final'!$F:$F,'Jounal entries final'!$E:$E,'Indepth Working Capital'!$F$63,'Jounal entries final'!$M:$M,'Indepth Working Capital'!$F76,'Jounal entries final'!$B:$B,M$1,'Jounal entries final'!$C:$C,'Indepth Working Capital'!$G$3)</f>
        <v>1982123</v>
      </c>
      <c r="N76" s="124">
        <f>SUMIFS('Jounal entries final'!$F:$F,'Jounal entries final'!$E:$E,'Indepth Working Capital'!$F$63,'Jounal entries final'!$M:$M,'Indepth Working Capital'!$F76,'Jounal entries final'!$B:$B,N$1,'Jounal entries final'!$C:$C,'Indepth Working Capital'!$G$3)</f>
        <v>2143001</v>
      </c>
      <c r="O76" s="124">
        <f>SUMIFS('Jounal entries final'!$F:$F,'Jounal entries final'!$E:$E,'Indepth Working Capital'!$F$63,'Jounal entries final'!$M:$M,'Indepth Working Capital'!$F76,'Jounal entries final'!$B:$B,O$1,'Jounal entries final'!$C:$C,'Indepth Working Capital'!$G$3)</f>
        <v>1633814</v>
      </c>
      <c r="P76" s="124">
        <f>SUMIFS('Jounal entries final'!$F:$F,'Jounal entries final'!$E:$E,'Indepth Working Capital'!$F$63,'Jounal entries final'!$M:$M,'Indepth Working Capital'!$F76,'Jounal entries final'!$B:$B,P$1,'Jounal entries final'!$C:$C,'Indepth Working Capital'!$G$3)</f>
        <v>1886144</v>
      </c>
      <c r="Q76" s="124">
        <f>SUMIFS('Jounal entries final'!$F:$F,'Jounal entries final'!$E:$E,'Indepth Working Capital'!$F$63,'Jounal entries final'!$M:$M,'Indepth Working Capital'!$F76,'Jounal entries final'!$B:$B,Q$1,'Jounal entries final'!$C:$C,'Indepth Working Capital'!$G$3)</f>
        <v>2181323</v>
      </c>
      <c r="R76" s="124">
        <f>SUMIFS('Jounal entries final'!$F:$F,'Jounal entries final'!$E:$E,'Indepth Working Capital'!$F$63,'Jounal entries final'!$M:$M,'Indepth Working Capital'!$F76,'Jounal entries final'!$B:$B,R$1,'Jounal entries final'!$C:$C,'Indepth Working Capital'!$G$3)</f>
        <v>1666860</v>
      </c>
    </row>
    <row r="77" spans="6:18">
      <c r="F77" s="118" t="s">
        <v>11</v>
      </c>
      <c r="G77" s="124">
        <f>SUMIFS('Jounal entries final'!$F:$F,'Jounal entries final'!$E:$E,'Indepth Working Capital'!$F$63,'Jounal entries final'!$M:$M,'Indepth Working Capital'!$F77,'Jounal entries final'!$B:$B,G$1,'Jounal entries final'!$C:$C,'Indepth Working Capital'!$G$3)</f>
        <v>1048003.2000000001</v>
      </c>
      <c r="H77" s="124">
        <f>SUMIFS('Jounal entries final'!$F:$F,'Jounal entries final'!$E:$E,'Indepth Working Capital'!$F$63,'Jounal entries final'!$M:$M,'Indepth Working Capital'!$F77,'Jounal entries final'!$B:$B,H$1,'Jounal entries final'!$C:$C,'Indepth Working Capital'!$G$3)</f>
        <v>796282.75</v>
      </c>
      <c r="I77" s="124">
        <f>SUMIFS('Jounal entries final'!$F:$F,'Jounal entries final'!$E:$E,'Indepth Working Capital'!$F$63,'Jounal entries final'!$M:$M,'Indepth Working Capital'!$F77,'Jounal entries final'!$B:$B,I$1,'Jounal entries final'!$C:$C,'Indepth Working Capital'!$G$3)</f>
        <v>998481.35</v>
      </c>
      <c r="J77" s="124">
        <f>SUMIFS('Jounal entries final'!$F:$F,'Jounal entries final'!$E:$E,'Indepth Working Capital'!$F$63,'Jounal entries final'!$M:$M,'Indepth Working Capital'!$F77,'Jounal entries final'!$B:$B,J$1,'Jounal entries final'!$C:$C,'Indepth Working Capital'!$G$3)</f>
        <v>940346.5</v>
      </c>
      <c r="K77" s="124">
        <f>SUMIFS('Jounal entries final'!$F:$F,'Jounal entries final'!$E:$E,'Indepth Working Capital'!$F$63,'Jounal entries final'!$M:$M,'Indepth Working Capital'!$F77,'Jounal entries final'!$B:$B,K$1,'Jounal entries final'!$C:$C,'Indepth Working Capital'!$G$3)</f>
        <v>1080370</v>
      </c>
      <c r="L77" s="124">
        <f>SUMIFS('Jounal entries final'!$F:$F,'Jounal entries final'!$E:$E,'Indepth Working Capital'!$F$63,'Jounal entries final'!$M:$M,'Indepth Working Capital'!$F77,'Jounal entries final'!$B:$B,L$1,'Jounal entries final'!$C:$C,'Indepth Working Capital'!$G$3)</f>
        <v>894125.59999999986</v>
      </c>
      <c r="M77" s="124">
        <f>SUMIFS('Jounal entries final'!$F:$F,'Jounal entries final'!$E:$E,'Indepth Working Capital'!$F$63,'Jounal entries final'!$M:$M,'Indepth Working Capital'!$F77,'Jounal entries final'!$B:$B,M$1,'Jounal entries final'!$C:$C,'Indepth Working Capital'!$G$3)</f>
        <v>1144563.5999999999</v>
      </c>
      <c r="N77" s="124">
        <f>SUMIFS('Jounal entries final'!$F:$F,'Jounal entries final'!$E:$E,'Indepth Working Capital'!$F$63,'Jounal entries final'!$M:$M,'Indepth Working Capital'!$F77,'Jounal entries final'!$B:$B,N$1,'Jounal entries final'!$C:$C,'Indepth Working Capital'!$G$3)</f>
        <v>917779.70000000007</v>
      </c>
      <c r="O77" s="124">
        <f>SUMIFS('Jounal entries final'!$F:$F,'Jounal entries final'!$E:$E,'Indepth Working Capital'!$F$63,'Jounal entries final'!$M:$M,'Indepth Working Capital'!$F77,'Jounal entries final'!$B:$B,O$1,'Jounal entries final'!$C:$C,'Indepth Working Capital'!$G$3)</f>
        <v>845158</v>
      </c>
      <c r="P77" s="124">
        <f>SUMIFS('Jounal entries final'!$F:$F,'Jounal entries final'!$E:$E,'Indepth Working Capital'!$F$63,'Jounal entries final'!$M:$M,'Indepth Working Capital'!$F77,'Jounal entries final'!$B:$B,P$1,'Jounal entries final'!$C:$C,'Indepth Working Capital'!$G$3)</f>
        <v>790023.3</v>
      </c>
      <c r="Q77" s="124">
        <f>SUMIFS('Jounal entries final'!$F:$F,'Jounal entries final'!$E:$E,'Indepth Working Capital'!$F$63,'Jounal entries final'!$M:$M,'Indepth Working Capital'!$F77,'Jounal entries final'!$B:$B,Q$1,'Jounal entries final'!$C:$C,'Indepth Working Capital'!$G$3)</f>
        <v>920426</v>
      </c>
      <c r="R77" s="124">
        <f>SUMIFS('Jounal entries final'!$F:$F,'Jounal entries final'!$E:$E,'Indepth Working Capital'!$F$63,'Jounal entries final'!$M:$M,'Indepth Working Capital'!$F77,'Jounal entries final'!$B:$B,R$1,'Jounal entries final'!$C:$C,'Indepth Working Capital'!$G$3)</f>
        <v>735751.39999999991</v>
      </c>
    </row>
    <row r="78" spans="6:18">
      <c r="F78" s="118" t="s">
        <v>12</v>
      </c>
      <c r="G78" s="124">
        <f>SUMIFS('Jounal entries final'!$F:$F,'Jounal entries final'!$E:$E,'Indepth Working Capital'!$F$63,'Jounal entries final'!$M:$M,'Indepth Working Capital'!$F78,'Jounal entries final'!$B:$B,G$1,'Jounal entries final'!$C:$C,'Indepth Working Capital'!$G$3)</f>
        <v>2536804</v>
      </c>
      <c r="H78" s="124">
        <f>SUMIFS('Jounal entries final'!$F:$F,'Jounal entries final'!$E:$E,'Indepth Working Capital'!$F$63,'Jounal entries final'!$M:$M,'Indepth Working Capital'!$F78,'Jounal entries final'!$B:$B,H$1,'Jounal entries final'!$C:$C,'Indepth Working Capital'!$G$3)</f>
        <v>2066008</v>
      </c>
      <c r="I78" s="124">
        <f>SUMIFS('Jounal entries final'!$F:$F,'Jounal entries final'!$E:$E,'Indepth Working Capital'!$F$63,'Jounal entries final'!$M:$M,'Indepth Working Capital'!$F78,'Jounal entries final'!$B:$B,I$1,'Jounal entries final'!$C:$C,'Indepth Working Capital'!$G$3)</f>
        <v>2980589</v>
      </c>
      <c r="J78" s="124">
        <f>SUMIFS('Jounal entries final'!$F:$F,'Jounal entries final'!$E:$E,'Indepth Working Capital'!$F$63,'Jounal entries final'!$M:$M,'Indepth Working Capital'!$F78,'Jounal entries final'!$B:$B,J$1,'Jounal entries final'!$C:$C,'Indepth Working Capital'!$G$3)</f>
        <v>2479972</v>
      </c>
      <c r="K78" s="124">
        <f>SUMIFS('Jounal entries final'!$F:$F,'Jounal entries final'!$E:$E,'Indepth Working Capital'!$F$63,'Jounal entries final'!$M:$M,'Indepth Working Capital'!$F78,'Jounal entries final'!$B:$B,K$1,'Jounal entries final'!$C:$C,'Indepth Working Capital'!$G$3)</f>
        <v>2306429</v>
      </c>
      <c r="L78" s="124">
        <f>SUMIFS('Jounal entries final'!$F:$F,'Jounal entries final'!$E:$E,'Indepth Working Capital'!$F$63,'Jounal entries final'!$M:$M,'Indepth Working Capital'!$F78,'Jounal entries final'!$B:$B,L$1,'Jounal entries final'!$C:$C,'Indepth Working Capital'!$G$3)</f>
        <v>2065456</v>
      </c>
      <c r="M78" s="124">
        <f>SUMIFS('Jounal entries final'!$F:$F,'Jounal entries final'!$E:$E,'Indepth Working Capital'!$F$63,'Jounal entries final'!$M:$M,'Indepth Working Capital'!$F78,'Jounal entries final'!$B:$B,M$1,'Jounal entries final'!$C:$C,'Indepth Working Capital'!$G$3)</f>
        <v>2276895</v>
      </c>
      <c r="N78" s="124">
        <f>SUMIFS('Jounal entries final'!$F:$F,'Jounal entries final'!$E:$E,'Indepth Working Capital'!$F$63,'Jounal entries final'!$M:$M,'Indepth Working Capital'!$F78,'Jounal entries final'!$B:$B,N$1,'Jounal entries final'!$C:$C,'Indepth Working Capital'!$G$3)</f>
        <v>2131550</v>
      </c>
      <c r="O78" s="124">
        <f>SUMIFS('Jounal entries final'!$F:$F,'Jounal entries final'!$E:$E,'Indepth Working Capital'!$F$63,'Jounal entries final'!$M:$M,'Indepth Working Capital'!$F78,'Jounal entries final'!$B:$B,O$1,'Jounal entries final'!$C:$C,'Indepth Working Capital'!$G$3)</f>
        <v>1805512</v>
      </c>
      <c r="P78" s="124">
        <f>SUMIFS('Jounal entries final'!$F:$F,'Jounal entries final'!$E:$E,'Indepth Working Capital'!$F$63,'Jounal entries final'!$M:$M,'Indepth Working Capital'!$F78,'Jounal entries final'!$B:$B,P$1,'Jounal entries final'!$C:$C,'Indepth Working Capital'!$G$3)</f>
        <v>1785537</v>
      </c>
      <c r="Q78" s="124">
        <f>SUMIFS('Jounal entries final'!$F:$F,'Jounal entries final'!$E:$E,'Indepth Working Capital'!$F$63,'Jounal entries final'!$M:$M,'Indepth Working Capital'!$F78,'Jounal entries final'!$B:$B,Q$1,'Jounal entries final'!$C:$C,'Indepth Working Capital'!$G$3)</f>
        <v>1835445</v>
      </c>
      <c r="R78" s="124">
        <f>SUMIFS('Jounal entries final'!$F:$F,'Jounal entries final'!$E:$E,'Indepth Working Capital'!$F$63,'Jounal entries final'!$M:$M,'Indepth Working Capital'!$F78,'Jounal entries final'!$B:$B,R$1,'Jounal entries final'!$C:$C,'Indepth Working Capital'!$G$3)</f>
        <v>1617142</v>
      </c>
    </row>
    <row r="80" spans="6:18" ht="16" thickBot="1"/>
    <row r="81" spans="6:18">
      <c r="F81" s="193" t="s">
        <v>3</v>
      </c>
      <c r="G81" s="180">
        <f t="shared" ref="G81:G86" si="17">G66/G73*30</f>
        <v>5.5349504503307712</v>
      </c>
      <c r="H81" s="180">
        <f t="shared" ref="H81:H86" si="18">(H66/SUM(G73:H73))*60</f>
        <v>1.0217660535562678</v>
      </c>
      <c r="I81" s="180">
        <f t="shared" ref="I81:R86" si="19">(I66/(SUM(G73:I73))*90)</f>
        <v>15.837186591665128</v>
      </c>
      <c r="J81" s="180">
        <f t="shared" si="19"/>
        <v>18.372128028134981</v>
      </c>
      <c r="K81" s="180">
        <f t="shared" si="19"/>
        <v>23.933878305679237</v>
      </c>
      <c r="L81" s="180">
        <f t="shared" si="19"/>
        <v>32.752673805148504</v>
      </c>
      <c r="M81" s="180">
        <f t="shared" si="19"/>
        <v>36.256964710750196</v>
      </c>
      <c r="N81" s="180">
        <f t="shared" si="19"/>
        <v>38.22767711752072</v>
      </c>
      <c r="O81" s="180">
        <f t="shared" si="19"/>
        <v>40.733252905939025</v>
      </c>
      <c r="P81" s="180">
        <f t="shared" si="19"/>
        <v>32.998680630286543</v>
      </c>
      <c r="Q81" s="180">
        <f t="shared" si="19"/>
        <v>44.341290270099101</v>
      </c>
      <c r="R81" s="181">
        <f t="shared" si="19"/>
        <v>33.178319526186456</v>
      </c>
    </row>
    <row r="82" spans="6:18">
      <c r="F82" s="194" t="s">
        <v>4</v>
      </c>
      <c r="G82" s="161">
        <f t="shared" si="17"/>
        <v>12.801602353285769</v>
      </c>
      <c r="H82" s="161">
        <f t="shared" si="18"/>
        <v>13.743250692599091</v>
      </c>
      <c r="I82" s="161">
        <f t="shared" si="19"/>
        <v>15.144183197707237</v>
      </c>
      <c r="J82" s="161">
        <f t="shared" si="19"/>
        <v>13.606368516955138</v>
      </c>
      <c r="K82" s="161">
        <f t="shared" si="19"/>
        <v>13.029667285585898</v>
      </c>
      <c r="L82" s="161">
        <f t="shared" si="19"/>
        <v>12.062667182870252</v>
      </c>
      <c r="M82" s="161">
        <f t="shared" si="19"/>
        <v>11.157490127808847</v>
      </c>
      <c r="N82" s="161">
        <f t="shared" si="19"/>
        <v>11.300033678461503</v>
      </c>
      <c r="O82" s="161">
        <f t="shared" si="19"/>
        <v>14.794719891908251</v>
      </c>
      <c r="P82" s="161">
        <f t="shared" si="19"/>
        <v>15.429185090714835</v>
      </c>
      <c r="Q82" s="161">
        <f t="shared" si="19"/>
        <v>14.688346098600402</v>
      </c>
      <c r="R82" s="171">
        <f t="shared" si="19"/>
        <v>20.77926342114106</v>
      </c>
    </row>
    <row r="83" spans="6:18">
      <c r="F83" s="194" t="s">
        <v>5</v>
      </c>
      <c r="G83" s="161">
        <f t="shared" si="17"/>
        <v>3.730482401701313</v>
      </c>
      <c r="H83" s="161">
        <f t="shared" si="18"/>
        <v>2.0920663685855838</v>
      </c>
      <c r="I83" s="161">
        <f t="shared" si="19"/>
        <v>1.8389825808042122</v>
      </c>
      <c r="J83" s="161">
        <f t="shared" si="19"/>
        <v>3.3000993947381643</v>
      </c>
      <c r="K83" s="161">
        <f t="shared" si="19"/>
        <v>0.89352266278722647</v>
      </c>
      <c r="L83" s="161">
        <f t="shared" si="19"/>
        <v>6.7321406812475928</v>
      </c>
      <c r="M83" s="161">
        <f t="shared" si="19"/>
        <v>3.1916768794369763</v>
      </c>
      <c r="N83" s="161">
        <f t="shared" si="19"/>
        <v>3.8602540602060436</v>
      </c>
      <c r="O83" s="161">
        <f t="shared" si="19"/>
        <v>4.6027895073969827</v>
      </c>
      <c r="P83" s="161">
        <f t="shared" si="19"/>
        <v>5.3025719060058591</v>
      </c>
      <c r="Q83" s="161">
        <f t="shared" si="19"/>
        <v>3.3753168072589714</v>
      </c>
      <c r="R83" s="171">
        <f t="shared" si="19"/>
        <v>3.9223709108216673</v>
      </c>
    </row>
    <row r="84" spans="6:18">
      <c r="F84" s="194" t="s">
        <v>6</v>
      </c>
      <c r="G84" s="161">
        <f t="shared" si="17"/>
        <v>4.1674858524402874</v>
      </c>
      <c r="H84" s="161">
        <f t="shared" si="18"/>
        <v>2.0657817357525836</v>
      </c>
      <c r="I84" s="161">
        <f t="shared" si="19"/>
        <v>19.386718007980384</v>
      </c>
      <c r="J84" s="161">
        <f t="shared" si="19"/>
        <v>31.045582437355019</v>
      </c>
      <c r="K84" s="161">
        <f t="shared" si="19"/>
        <v>39.076456040165162</v>
      </c>
      <c r="L84" s="161">
        <f t="shared" si="19"/>
        <v>50.962237340140589</v>
      </c>
      <c r="M84" s="161">
        <f t="shared" si="19"/>
        <v>55.501045321952986</v>
      </c>
      <c r="N84" s="161">
        <f t="shared" si="19"/>
        <v>52.010313957375097</v>
      </c>
      <c r="O84" s="161">
        <f t="shared" si="19"/>
        <v>59.589424300105335</v>
      </c>
      <c r="P84" s="161">
        <f t="shared" si="19"/>
        <v>67.335617298306417</v>
      </c>
      <c r="Q84" s="161">
        <f t="shared" si="19"/>
        <v>65.44139290801489</v>
      </c>
      <c r="R84" s="171">
        <f t="shared" si="19"/>
        <v>75.158317619486994</v>
      </c>
    </row>
    <row r="85" spans="6:18">
      <c r="F85" s="194" t="s">
        <v>11</v>
      </c>
      <c r="G85" s="161">
        <f t="shared" si="17"/>
        <v>5.9049438016981148E-2</v>
      </c>
      <c r="H85" s="161">
        <f t="shared" si="18"/>
        <v>1.9773522647071053</v>
      </c>
      <c r="I85" s="161">
        <f t="shared" si="19"/>
        <v>2.6055185733985313</v>
      </c>
      <c r="J85" s="161">
        <f t="shared" si="19"/>
        <v>2.5321455008071685</v>
      </c>
      <c r="K85" s="161">
        <f t="shared" si="19"/>
        <v>2.0145741690959391</v>
      </c>
      <c r="L85" s="161">
        <f t="shared" si="19"/>
        <v>1.7740563030841392</v>
      </c>
      <c r="M85" s="161">
        <f t="shared" si="19"/>
        <v>9.0284820499720002</v>
      </c>
      <c r="N85" s="161">
        <f t="shared" si="19"/>
        <v>8.3749221918079417</v>
      </c>
      <c r="O85" s="161">
        <f t="shared" si="19"/>
        <v>4.6417784920680916</v>
      </c>
      <c r="P85" s="161">
        <f t="shared" si="19"/>
        <v>5.6381119805590494</v>
      </c>
      <c r="Q85" s="161">
        <f t="shared" si="19"/>
        <v>1.3912700906747335</v>
      </c>
      <c r="R85" s="171">
        <f t="shared" si="19"/>
        <v>0.87397325983923502</v>
      </c>
    </row>
    <row r="86" spans="6:18" ht="16" thickBot="1">
      <c r="F86" s="194" t="s">
        <v>12</v>
      </c>
      <c r="G86" s="161">
        <f t="shared" si="17"/>
        <v>1.5728452020731597E-2</v>
      </c>
      <c r="H86" s="161">
        <f t="shared" si="18"/>
        <v>1.6662900852783038</v>
      </c>
      <c r="I86" s="161">
        <f t="shared" si="19"/>
        <v>5.3078321982445607</v>
      </c>
      <c r="J86" s="161">
        <f t="shared" si="19"/>
        <v>0.68476619293598451</v>
      </c>
      <c r="K86" s="161">
        <f t="shared" si="19"/>
        <v>2.5589488334605814</v>
      </c>
      <c r="L86" s="161">
        <f t="shared" si="19"/>
        <v>0.33338261437738703</v>
      </c>
      <c r="M86" s="161">
        <f t="shared" si="19"/>
        <v>1.7392273469719255</v>
      </c>
      <c r="N86" s="161">
        <f t="shared" si="19"/>
        <v>2.6336037576107514</v>
      </c>
      <c r="O86" s="161">
        <f t="shared" si="19"/>
        <v>2.3001864995203536</v>
      </c>
      <c r="P86" s="161">
        <f t="shared" si="19"/>
        <v>5.6141414067279571</v>
      </c>
      <c r="Q86" s="161">
        <f t="shared" si="19"/>
        <v>4.9160802536591763</v>
      </c>
      <c r="R86" s="171">
        <f t="shared" si="19"/>
        <v>7.8031657898896629</v>
      </c>
    </row>
    <row r="87" spans="6:18" ht="16" thickBot="1">
      <c r="F87" s="185" t="s">
        <v>235</v>
      </c>
      <c r="G87" s="186">
        <f>+(G64/G63)*30</f>
        <v>3.4574436467379317</v>
      </c>
      <c r="H87" s="187">
        <f>(H64/SUM(G63:H63))*60</f>
        <v>2.9574454265189423</v>
      </c>
      <c r="I87" s="187">
        <f t="shared" ref="I87:R87" si="20">I64/SUM(G63:I63)*90</f>
        <v>8.6400221933191972</v>
      </c>
      <c r="J87" s="187">
        <f t="shared" si="20"/>
        <v>9.749733152862559</v>
      </c>
      <c r="K87" s="187">
        <f t="shared" si="20"/>
        <v>10.769308056263759</v>
      </c>
      <c r="L87" s="187">
        <f t="shared" si="20"/>
        <v>15.473041292314146</v>
      </c>
      <c r="M87" s="187">
        <f t="shared" si="20"/>
        <v>16.957495586848911</v>
      </c>
      <c r="N87" s="187">
        <f t="shared" si="20"/>
        <v>17.508267053999926</v>
      </c>
      <c r="O87" s="187">
        <f t="shared" si="20"/>
        <v>19.663390809157995</v>
      </c>
      <c r="P87" s="187">
        <f t="shared" si="20"/>
        <v>22.538998297104317</v>
      </c>
      <c r="Q87" s="187">
        <f t="shared" si="20"/>
        <v>22.245852573598167</v>
      </c>
      <c r="R87" s="187">
        <f t="shared" si="20"/>
        <v>25.455140366169701</v>
      </c>
    </row>
  </sheetData>
  <phoneticPr fontId="6" type="noConversion"/>
  <conditionalFormatting sqref="F10:G10">
    <cfRule type="cellIs" dxfId="46" priority="18" operator="lessThan">
      <formula>0</formula>
    </cfRule>
  </conditionalFormatting>
  <conditionalFormatting sqref="F9:R9">
    <cfRule type="cellIs" dxfId="45" priority="21" operator="lessThan">
      <formula>0</formula>
    </cfRule>
  </conditionalFormatting>
  <conditionalFormatting sqref="F46:R47">
    <cfRule type="cellIs" dxfId="44" priority="19" operator="lessThan">
      <formula>0</formula>
    </cfRule>
  </conditionalFormatting>
  <conditionalFormatting sqref="F63:R64">
    <cfRule type="cellIs" dxfId="43" priority="20" operator="lessThan">
      <formula>0</formula>
    </cfRule>
  </conditionalFormatting>
  <conditionalFormatting sqref="G11:R20">
    <cfRule type="cellIs" dxfId="42" priority="15" operator="lessThan">
      <formula>0</formula>
    </cfRule>
  </conditionalFormatting>
  <conditionalFormatting sqref="G22:R31">
    <cfRule type="cellIs" dxfId="41" priority="10" operator="lessThan">
      <formula>0</formula>
    </cfRule>
  </conditionalFormatting>
  <conditionalFormatting sqref="G49:R51">
    <cfRule type="cellIs" dxfId="40" priority="14" operator="lessThan">
      <formula>0</formula>
    </cfRule>
  </conditionalFormatting>
  <conditionalFormatting sqref="G53:R55">
    <cfRule type="cellIs" dxfId="39" priority="13" operator="lessThan">
      <formula>0</formula>
    </cfRule>
  </conditionalFormatting>
  <conditionalFormatting sqref="G66:R71">
    <cfRule type="cellIs" dxfId="38" priority="7" operator="lessThan">
      <formula>0</formula>
    </cfRule>
  </conditionalFormatting>
  <conditionalFormatting sqref="G73:R78">
    <cfRule type="cellIs" dxfId="37" priority="1" operator="lessThan">
      <formula>0</formula>
    </cfRule>
  </conditionalFormatting>
  <conditionalFormatting sqref="L34:L43">
    <cfRule type="cellIs" dxfId="36" priority="8" operator="greaterThan">
      <formula>79</formula>
    </cfRule>
  </conditionalFormatting>
  <conditionalFormatting sqref="L81:L86">
    <cfRule type="cellIs" dxfId="35" priority="5" operator="greaterThan">
      <formula>79</formula>
    </cfRule>
  </conditionalFormatting>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07D44-FF41-40CB-A255-98A52121330B}">
  <sheetPr codeName="Sheet46"/>
  <dimension ref="A3:L18"/>
  <sheetViews>
    <sheetView topLeftCell="A16" workbookViewId="0">
      <selection activeCell="N8" sqref="N8:P8"/>
    </sheetView>
  </sheetViews>
  <sheetFormatPr baseColWidth="10" defaultColWidth="8.83203125" defaultRowHeight="15"/>
  <cols>
    <col min="1" max="1" width="8" style="581" customWidth="1"/>
    <col min="2" max="2" width="23.83203125" style="29" customWidth="1"/>
    <col min="3" max="4" width="8.33203125" style="29" customWidth="1"/>
    <col min="5" max="9" width="23.83203125" style="29" customWidth="1"/>
  </cols>
  <sheetData>
    <row r="3" spans="1:12">
      <c r="B3" s="40"/>
      <c r="C3" s="40"/>
      <c r="D3" s="40"/>
      <c r="E3" s="40"/>
      <c r="F3" s="40"/>
      <c r="G3" s="40"/>
      <c r="H3" s="40"/>
      <c r="I3" s="40"/>
    </row>
    <row r="4" spans="1:12">
      <c r="B4" s="581"/>
      <c r="C4" s="581"/>
      <c r="D4" s="581"/>
      <c r="E4" s="581"/>
      <c r="F4" s="581"/>
      <c r="G4" s="581"/>
      <c r="H4" s="581"/>
      <c r="I4" s="581"/>
    </row>
    <row r="5" spans="1:12" ht="129" customHeight="1">
      <c r="B5" s="40" t="s">
        <v>174</v>
      </c>
      <c r="C5" s="40" t="s">
        <v>161</v>
      </c>
      <c r="D5" s="40" t="s">
        <v>806</v>
      </c>
      <c r="E5" s="40" t="s">
        <v>807</v>
      </c>
      <c r="F5" s="40" t="s">
        <v>829</v>
      </c>
      <c r="G5" s="40" t="s">
        <v>830</v>
      </c>
      <c r="H5" s="600"/>
      <c r="I5" s="600"/>
    </row>
    <row r="6" spans="1:12" ht="176">
      <c r="A6" s="581">
        <v>1</v>
      </c>
      <c r="B6" s="572" t="s">
        <v>17</v>
      </c>
      <c r="C6" s="581">
        <v>3</v>
      </c>
      <c r="D6" s="581">
        <v>3</v>
      </c>
      <c r="E6" s="571" t="s">
        <v>808</v>
      </c>
      <c r="F6" s="571" t="s">
        <v>831</v>
      </c>
      <c r="G6" s="571" t="s">
        <v>832</v>
      </c>
      <c r="H6" s="84"/>
      <c r="I6" s="84"/>
    </row>
    <row r="7" spans="1:12" ht="163.25" customHeight="1">
      <c r="A7" s="581">
        <v>2</v>
      </c>
      <c r="B7" s="572" t="s">
        <v>18</v>
      </c>
      <c r="C7" s="581">
        <v>3</v>
      </c>
      <c r="D7" s="581">
        <v>3</v>
      </c>
      <c r="E7" s="571" t="s">
        <v>809</v>
      </c>
      <c r="F7" s="571" t="s">
        <v>833</v>
      </c>
      <c r="G7" s="571" t="s">
        <v>834</v>
      </c>
      <c r="H7" s="600"/>
      <c r="I7" s="600"/>
      <c r="J7" s="572"/>
      <c r="K7" s="572"/>
      <c r="L7" s="572"/>
    </row>
    <row r="8" spans="1:12" ht="163.25" customHeight="1">
      <c r="A8" s="581">
        <v>3</v>
      </c>
      <c r="B8" s="572" t="s">
        <v>19</v>
      </c>
      <c r="C8" s="581">
        <v>9</v>
      </c>
      <c r="D8" s="581">
        <v>5</v>
      </c>
      <c r="E8" s="571" t="s">
        <v>810</v>
      </c>
      <c r="F8" s="571" t="s">
        <v>835</v>
      </c>
      <c r="G8" s="571" t="s">
        <v>836</v>
      </c>
      <c r="H8" s="600"/>
      <c r="I8" s="600"/>
    </row>
    <row r="9" spans="1:12" ht="97.25" customHeight="1">
      <c r="A9" s="581">
        <v>4</v>
      </c>
      <c r="B9" s="572" t="s">
        <v>20</v>
      </c>
      <c r="C9" s="581">
        <v>10</v>
      </c>
      <c r="D9" s="581" t="s">
        <v>811</v>
      </c>
      <c r="E9" s="571" t="s">
        <v>812</v>
      </c>
      <c r="F9" s="571" t="s">
        <v>837</v>
      </c>
      <c r="G9" s="571" t="s">
        <v>838</v>
      </c>
    </row>
    <row r="10" spans="1:12" ht="192">
      <c r="A10" s="581">
        <v>5</v>
      </c>
      <c r="B10" s="572" t="s">
        <v>21</v>
      </c>
      <c r="C10" s="581">
        <v>11</v>
      </c>
      <c r="D10" s="581" t="s">
        <v>813</v>
      </c>
      <c r="E10" s="571" t="s">
        <v>814</v>
      </c>
      <c r="F10" s="571" t="s">
        <v>839</v>
      </c>
      <c r="G10" s="571" t="s">
        <v>840</v>
      </c>
    </row>
    <row r="11" spans="1:12" ht="176">
      <c r="A11" s="581">
        <v>6</v>
      </c>
      <c r="B11" s="572" t="s">
        <v>22</v>
      </c>
      <c r="C11" s="581">
        <v>15</v>
      </c>
      <c r="D11" s="581" t="s">
        <v>815</v>
      </c>
      <c r="E11" s="571" t="s">
        <v>816</v>
      </c>
      <c r="F11" s="571" t="s">
        <v>841</v>
      </c>
      <c r="G11" s="571" t="s">
        <v>842</v>
      </c>
    </row>
    <row r="12" spans="1:12" ht="176">
      <c r="A12" s="581">
        <v>7</v>
      </c>
      <c r="B12" s="572" t="s">
        <v>23</v>
      </c>
      <c r="C12" s="581">
        <v>17</v>
      </c>
      <c r="D12" s="581" t="s">
        <v>817</v>
      </c>
      <c r="E12" s="571" t="s">
        <v>818</v>
      </c>
      <c r="F12" s="571" t="s">
        <v>843</v>
      </c>
      <c r="G12" s="571" t="s">
        <v>844</v>
      </c>
    </row>
    <row r="13" spans="1:12" ht="192">
      <c r="A13" s="581">
        <v>8</v>
      </c>
      <c r="B13" s="572" t="s">
        <v>24</v>
      </c>
      <c r="C13" s="581">
        <v>18</v>
      </c>
      <c r="D13" s="581" t="s">
        <v>819</v>
      </c>
      <c r="E13" s="571" t="s">
        <v>820</v>
      </c>
      <c r="F13" s="571" t="s">
        <v>845</v>
      </c>
      <c r="G13" s="571" t="s">
        <v>846</v>
      </c>
    </row>
    <row r="14" spans="1:12" ht="176">
      <c r="A14" s="581">
        <v>9</v>
      </c>
      <c r="B14" s="572" t="s">
        <v>25</v>
      </c>
      <c r="C14" s="581">
        <v>20</v>
      </c>
      <c r="D14" s="581" t="s">
        <v>821</v>
      </c>
      <c r="E14" s="571" t="s">
        <v>822</v>
      </c>
      <c r="F14" s="571" t="s">
        <v>847</v>
      </c>
      <c r="G14" s="571" t="s">
        <v>848</v>
      </c>
    </row>
    <row r="15" spans="1:12" ht="192">
      <c r="A15" s="581">
        <v>10</v>
      </c>
      <c r="B15" s="572" t="s">
        <v>26</v>
      </c>
      <c r="C15" s="581">
        <v>23</v>
      </c>
      <c r="D15" s="581" t="s">
        <v>823</v>
      </c>
      <c r="E15" s="571" t="s">
        <v>824</v>
      </c>
      <c r="F15" s="571" t="s">
        <v>849</v>
      </c>
      <c r="G15" s="571" t="s">
        <v>850</v>
      </c>
    </row>
    <row r="16" spans="1:12" ht="192">
      <c r="A16" s="581">
        <v>11</v>
      </c>
      <c r="B16" s="572" t="s">
        <v>27</v>
      </c>
      <c r="C16" s="581">
        <v>22</v>
      </c>
      <c r="D16" s="581" t="s">
        <v>825</v>
      </c>
      <c r="E16" s="571" t="s">
        <v>826</v>
      </c>
      <c r="F16" s="571" t="s">
        <v>851</v>
      </c>
      <c r="G16" s="571" t="s">
        <v>852</v>
      </c>
    </row>
    <row r="17" spans="1:7" ht="192">
      <c r="A17" s="581">
        <v>12</v>
      </c>
      <c r="B17" s="572" t="s">
        <v>28</v>
      </c>
      <c r="C17" s="581">
        <v>25</v>
      </c>
      <c r="D17" s="581" t="s">
        <v>827</v>
      </c>
      <c r="E17" s="571" t="s">
        <v>828</v>
      </c>
      <c r="F17" s="571" t="s">
        <v>853</v>
      </c>
      <c r="G17" s="571" t="s">
        <v>854</v>
      </c>
    </row>
    <row r="18" spans="1:7">
      <c r="B18" s="572"/>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053E5-4588-4C77-AFC4-6A3E39589DE8}">
  <sheetPr codeName="Sheet47"/>
  <dimension ref="A2:P18"/>
  <sheetViews>
    <sheetView topLeftCell="F8" workbookViewId="0">
      <selection activeCell="N8" sqref="N8:P8"/>
    </sheetView>
  </sheetViews>
  <sheetFormatPr baseColWidth="10" defaultColWidth="8.83203125" defaultRowHeight="15"/>
  <cols>
    <col min="1" max="1" width="8" style="581" customWidth="1"/>
    <col min="2" max="13" width="23.83203125" style="29" customWidth="1"/>
  </cols>
  <sheetData>
    <row r="2" spans="1:16">
      <c r="B2" s="29">
        <v>1</v>
      </c>
      <c r="C2" s="29">
        <v>2</v>
      </c>
      <c r="D2" s="29">
        <v>3</v>
      </c>
      <c r="E2" s="29">
        <v>4</v>
      </c>
      <c r="F2" s="29">
        <v>5</v>
      </c>
      <c r="G2" s="29">
        <v>6</v>
      </c>
      <c r="H2" s="29">
        <v>7</v>
      </c>
      <c r="I2" s="29">
        <v>8</v>
      </c>
      <c r="J2" s="29">
        <v>9</v>
      </c>
      <c r="K2" s="29">
        <v>10</v>
      </c>
      <c r="L2" s="29">
        <v>11</v>
      </c>
      <c r="M2" s="29">
        <v>12</v>
      </c>
    </row>
    <row r="3" spans="1:16" ht="16">
      <c r="B3" s="40" t="s">
        <v>17</v>
      </c>
      <c r="C3" s="40" t="s">
        <v>18</v>
      </c>
      <c r="D3" s="40" t="s">
        <v>19</v>
      </c>
      <c r="E3" s="40" t="s">
        <v>20</v>
      </c>
      <c r="F3" s="40" t="s">
        <v>21</v>
      </c>
      <c r="G3" s="40" t="s">
        <v>22</v>
      </c>
      <c r="H3" s="40" t="s">
        <v>23</v>
      </c>
      <c r="I3" s="40" t="s">
        <v>24</v>
      </c>
      <c r="J3" s="40" t="s">
        <v>25</v>
      </c>
      <c r="K3" s="40" t="s">
        <v>26</v>
      </c>
      <c r="L3" s="40" t="s">
        <v>27</v>
      </c>
      <c r="M3" s="40" t="s">
        <v>28</v>
      </c>
    </row>
    <row r="4" spans="1:16">
      <c r="B4" s="581">
        <v>62</v>
      </c>
      <c r="C4" s="581">
        <v>91</v>
      </c>
      <c r="D4" s="581">
        <v>102</v>
      </c>
      <c r="E4" s="581">
        <v>111</v>
      </c>
      <c r="F4" s="581">
        <v>95</v>
      </c>
      <c r="G4" s="581">
        <v>89</v>
      </c>
      <c r="H4" s="581">
        <v>109</v>
      </c>
      <c r="I4" s="581">
        <v>122</v>
      </c>
      <c r="J4" s="581">
        <v>80</v>
      </c>
      <c r="K4" s="581">
        <v>109</v>
      </c>
      <c r="L4" s="581">
        <v>110</v>
      </c>
      <c r="M4" s="581">
        <v>101</v>
      </c>
    </row>
    <row r="5" spans="1:16" ht="129" customHeight="1">
      <c r="B5" s="600" t="s">
        <v>766</v>
      </c>
      <c r="C5" s="600" t="s">
        <v>767</v>
      </c>
      <c r="D5" s="600" t="s">
        <v>768</v>
      </c>
      <c r="E5" s="600" t="s">
        <v>769</v>
      </c>
      <c r="F5" s="600" t="s">
        <v>770</v>
      </c>
      <c r="G5" s="600" t="s">
        <v>771</v>
      </c>
      <c r="H5" s="600" t="s">
        <v>772</v>
      </c>
      <c r="I5" s="600" t="s">
        <v>773</v>
      </c>
      <c r="J5" s="600" t="s">
        <v>774</v>
      </c>
      <c r="K5" s="600" t="s">
        <v>775</v>
      </c>
      <c r="L5" s="600" t="s">
        <v>776</v>
      </c>
      <c r="M5" s="600" t="s">
        <v>777</v>
      </c>
    </row>
    <row r="6" spans="1:16">
      <c r="B6" s="582"/>
      <c r="C6" s="600"/>
      <c r="D6" s="600"/>
      <c r="E6" s="84"/>
      <c r="F6" s="84"/>
      <c r="G6" s="84"/>
      <c r="H6" s="84"/>
      <c r="I6" s="84"/>
      <c r="J6" s="84"/>
      <c r="K6" s="84"/>
      <c r="L6" s="84"/>
      <c r="M6" s="84"/>
    </row>
    <row r="7" spans="1:16" ht="163.25" customHeight="1">
      <c r="A7" s="581" t="s">
        <v>804</v>
      </c>
      <c r="B7" s="600" t="s">
        <v>780</v>
      </c>
      <c r="C7" s="600" t="s">
        <v>782</v>
      </c>
      <c r="D7" s="600" t="s">
        <v>784</v>
      </c>
      <c r="E7" s="600" t="s">
        <v>786</v>
      </c>
      <c r="F7" s="600" t="s">
        <v>788</v>
      </c>
      <c r="G7" s="600" t="s">
        <v>790</v>
      </c>
      <c r="H7" s="600" t="s">
        <v>792</v>
      </c>
      <c r="I7" s="600" t="s">
        <v>794</v>
      </c>
      <c r="J7" s="600" t="s">
        <v>796</v>
      </c>
      <c r="K7" s="600" t="s">
        <v>798</v>
      </c>
      <c r="L7" s="600" t="s">
        <v>800</v>
      </c>
      <c r="M7" s="600" t="s">
        <v>802</v>
      </c>
      <c r="N7" s="572"/>
      <c r="O7" s="572"/>
      <c r="P7" s="572"/>
    </row>
    <row r="8" spans="1:16" ht="163.25" customHeight="1">
      <c r="A8" s="581" t="s">
        <v>297</v>
      </c>
      <c r="B8" s="600" t="s">
        <v>781</v>
      </c>
      <c r="C8" s="600" t="s">
        <v>783</v>
      </c>
      <c r="D8" s="600" t="s">
        <v>785</v>
      </c>
      <c r="E8" s="600" t="s">
        <v>787</v>
      </c>
      <c r="F8" s="600" t="s">
        <v>789</v>
      </c>
      <c r="G8" s="600" t="s">
        <v>791</v>
      </c>
      <c r="H8" s="600" t="s">
        <v>793</v>
      </c>
      <c r="I8" s="600" t="s">
        <v>795</v>
      </c>
      <c r="J8" s="600" t="s">
        <v>797</v>
      </c>
      <c r="K8" s="600" t="s">
        <v>799</v>
      </c>
      <c r="L8" s="600" t="s">
        <v>801</v>
      </c>
      <c r="M8" s="600" t="s">
        <v>803</v>
      </c>
    </row>
    <row r="9" spans="1:16" ht="97.25" customHeight="1">
      <c r="A9" s="601" t="s">
        <v>558</v>
      </c>
      <c r="B9" s="602" t="s">
        <v>805</v>
      </c>
      <c r="C9" s="571"/>
      <c r="D9" s="571"/>
    </row>
    <row r="10" spans="1:16">
      <c r="B10" s="572"/>
      <c r="C10" s="571"/>
      <c r="D10" s="571"/>
    </row>
    <row r="11" spans="1:16">
      <c r="B11" s="572"/>
      <c r="C11" s="571"/>
      <c r="D11" s="571"/>
    </row>
    <row r="12" spans="1:16">
      <c r="B12" s="572"/>
      <c r="C12" s="571"/>
      <c r="D12" s="571"/>
    </row>
    <row r="13" spans="1:16">
      <c r="B13" s="572"/>
      <c r="C13" s="571"/>
      <c r="D13" s="571"/>
    </row>
    <row r="14" spans="1:16">
      <c r="B14" s="572"/>
      <c r="C14" s="571"/>
      <c r="D14" s="571"/>
    </row>
    <row r="15" spans="1:16">
      <c r="B15" s="572"/>
      <c r="C15" s="571"/>
      <c r="D15" s="571"/>
    </row>
    <row r="16" spans="1:16">
      <c r="B16" s="572"/>
      <c r="C16" s="571"/>
      <c r="D16" s="571"/>
    </row>
    <row r="17" spans="2:4">
      <c r="B17" s="572"/>
      <c r="C17" s="571"/>
      <c r="D17" s="571"/>
    </row>
    <row r="18" spans="2:4">
      <c r="B18" s="572"/>
      <c r="C18" s="571"/>
      <c r="D18" s="57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E697D-B2E2-4C12-8726-3C12BB556305}">
  <sheetPr codeName="Sheet48">
    <tabColor rgb="FFFFFF00"/>
  </sheetPr>
  <dimension ref="A4:M23"/>
  <sheetViews>
    <sheetView topLeftCell="G7" workbookViewId="0">
      <selection activeCell="B12" sqref="B12"/>
    </sheetView>
  </sheetViews>
  <sheetFormatPr baseColWidth="10" defaultColWidth="24" defaultRowHeight="15"/>
  <cols>
    <col min="1" max="1" width="11.5" style="2" customWidth="1"/>
  </cols>
  <sheetData>
    <row r="4" spans="1:13">
      <c r="A4" s="2" t="s">
        <v>160</v>
      </c>
      <c r="B4" s="571">
        <v>1</v>
      </c>
      <c r="C4" s="571">
        <v>2</v>
      </c>
      <c r="D4" s="571">
        <v>3</v>
      </c>
      <c r="E4" s="571">
        <v>4</v>
      </c>
      <c r="F4" s="571">
        <v>5</v>
      </c>
      <c r="G4" s="571">
        <v>6</v>
      </c>
      <c r="H4" s="571">
        <v>7</v>
      </c>
      <c r="I4" s="571">
        <v>8</v>
      </c>
      <c r="J4" s="571">
        <v>9</v>
      </c>
      <c r="K4" s="571">
        <v>10</v>
      </c>
      <c r="L4" s="571">
        <v>11</v>
      </c>
      <c r="M4" s="571">
        <v>12</v>
      </c>
    </row>
    <row r="5" spans="1:13">
      <c r="A5" s="2" t="s">
        <v>160</v>
      </c>
      <c r="B5" s="571">
        <v>34</v>
      </c>
      <c r="C5" s="571">
        <v>63</v>
      </c>
      <c r="D5" s="571">
        <v>84</v>
      </c>
      <c r="E5" s="571">
        <v>64</v>
      </c>
      <c r="F5" s="571">
        <v>70</v>
      </c>
      <c r="G5" s="571">
        <v>79</v>
      </c>
      <c r="H5" s="571">
        <v>75</v>
      </c>
      <c r="I5" s="571">
        <v>78</v>
      </c>
      <c r="J5" s="571">
        <v>80</v>
      </c>
      <c r="K5" s="571">
        <v>69</v>
      </c>
      <c r="L5" s="571">
        <v>74</v>
      </c>
      <c r="M5" s="571">
        <v>69</v>
      </c>
    </row>
    <row r="6" spans="1:13" ht="108.5" customHeight="1">
      <c r="A6" s="2" t="s">
        <v>160</v>
      </c>
      <c r="B6" s="571" t="s">
        <v>726</v>
      </c>
      <c r="C6" s="571" t="s">
        <v>727</v>
      </c>
      <c r="D6" s="571" t="s">
        <v>728</v>
      </c>
      <c r="E6" s="571" t="s">
        <v>729</v>
      </c>
      <c r="F6" s="571" t="s">
        <v>730</v>
      </c>
      <c r="G6" s="571" t="s">
        <v>731</v>
      </c>
      <c r="H6" s="571" t="s">
        <v>732</v>
      </c>
      <c r="I6" s="571" t="s">
        <v>733</v>
      </c>
      <c r="J6" s="571" t="s">
        <v>734</v>
      </c>
      <c r="K6" s="571" t="s">
        <v>735</v>
      </c>
      <c r="L6" s="571" t="s">
        <v>736</v>
      </c>
      <c r="M6" s="571" t="s">
        <v>737</v>
      </c>
    </row>
    <row r="7" spans="1:13" ht="108.5" customHeight="1">
      <c r="A7" s="599" t="s">
        <v>558</v>
      </c>
      <c r="B7" s="578" t="s">
        <v>738</v>
      </c>
    </row>
    <row r="8" spans="1:13" ht="108.5" customHeight="1">
      <c r="A8" s="596" t="s">
        <v>763</v>
      </c>
      <c r="B8" s="597" t="s">
        <v>739</v>
      </c>
      <c r="C8" s="597" t="s">
        <v>741</v>
      </c>
      <c r="D8" s="597" t="s">
        <v>743</v>
      </c>
      <c r="E8" s="597" t="s">
        <v>745</v>
      </c>
      <c r="F8" s="597" t="s">
        <v>747</v>
      </c>
      <c r="G8" s="597" t="s">
        <v>749</v>
      </c>
      <c r="H8" s="597" t="s">
        <v>751</v>
      </c>
      <c r="I8" s="597" t="s">
        <v>753</v>
      </c>
      <c r="J8" s="597" t="s">
        <v>755</v>
      </c>
      <c r="K8" s="597" t="s">
        <v>757</v>
      </c>
      <c r="L8" s="597" t="s">
        <v>759</v>
      </c>
      <c r="M8" s="597" t="s">
        <v>760</v>
      </c>
    </row>
    <row r="9" spans="1:13" ht="108.5" customHeight="1">
      <c r="A9" s="596" t="s">
        <v>764</v>
      </c>
      <c r="B9" s="428" t="s">
        <v>740</v>
      </c>
      <c r="C9" s="428" t="s">
        <v>742</v>
      </c>
      <c r="D9" s="428" t="s">
        <v>744</v>
      </c>
      <c r="E9" s="428" t="s">
        <v>746</v>
      </c>
      <c r="F9" s="428" t="s">
        <v>748</v>
      </c>
      <c r="G9" s="428" t="s">
        <v>750</v>
      </c>
      <c r="H9" s="428" t="s">
        <v>752</v>
      </c>
      <c r="I9" s="428" t="s">
        <v>754</v>
      </c>
      <c r="J9" s="428" t="s">
        <v>756</v>
      </c>
      <c r="K9" s="428" t="s">
        <v>758</v>
      </c>
      <c r="L9" s="428" t="s">
        <v>761</v>
      </c>
      <c r="M9" s="428" t="s">
        <v>762</v>
      </c>
    </row>
    <row r="11" spans="1:13" ht="16.75" customHeight="1">
      <c r="A11" s="599" t="s">
        <v>558</v>
      </c>
      <c r="B11" s="428" t="s">
        <v>765</v>
      </c>
    </row>
    <row r="13" spans="1:13">
      <c r="B13" s="40"/>
      <c r="C13" s="40"/>
      <c r="D13" s="40"/>
      <c r="E13" s="40"/>
    </row>
    <row r="14" spans="1:13">
      <c r="B14" s="572"/>
      <c r="C14" s="571"/>
      <c r="D14" s="572"/>
      <c r="E14" s="571"/>
    </row>
    <row r="15" spans="1:13">
      <c r="B15" s="572"/>
      <c r="C15" s="571"/>
      <c r="D15" s="572"/>
      <c r="E15" s="571"/>
    </row>
    <row r="16" spans="1:13">
      <c r="B16" s="572"/>
      <c r="C16" s="571"/>
      <c r="D16" s="572"/>
      <c r="E16" s="571"/>
    </row>
    <row r="17" spans="2:5">
      <c r="B17" s="572"/>
      <c r="C17" s="571"/>
      <c r="D17" s="572"/>
      <c r="E17" s="571"/>
    </row>
    <row r="18" spans="2:5">
      <c r="B18" s="572"/>
      <c r="C18" s="571"/>
      <c r="D18" s="572"/>
      <c r="E18" s="571"/>
    </row>
    <row r="19" spans="2:5">
      <c r="B19" s="572"/>
      <c r="C19" s="571"/>
      <c r="D19" s="572"/>
      <c r="E19" s="571"/>
    </row>
    <row r="20" spans="2:5">
      <c r="B20" s="572"/>
      <c r="C20" s="571"/>
      <c r="D20" s="572"/>
      <c r="E20" s="571"/>
    </row>
    <row r="21" spans="2:5">
      <c r="B21" s="572"/>
      <c r="C21" s="571"/>
      <c r="D21" s="572"/>
      <c r="E21" s="571"/>
    </row>
    <row r="22" spans="2:5">
      <c r="B22" s="572"/>
      <c r="C22" s="571"/>
      <c r="D22" s="572"/>
      <c r="E22" s="571"/>
    </row>
    <row r="23" spans="2:5">
      <c r="B23" s="572"/>
      <c r="C23" s="571"/>
      <c r="D23" s="572"/>
      <c r="E23" s="57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99A92-6299-406C-920D-88329C95C060}">
  <sheetPr codeName="Sheet52"/>
  <dimension ref="A4:M6"/>
  <sheetViews>
    <sheetView workbookViewId="0">
      <selection activeCell="M5" sqref="M5"/>
    </sheetView>
  </sheetViews>
  <sheetFormatPr baseColWidth="10" defaultColWidth="8.83203125" defaultRowHeight="15"/>
  <sheetData>
    <row r="4" spans="1:13">
      <c r="B4">
        <v>1</v>
      </c>
      <c r="C4">
        <v>2</v>
      </c>
      <c r="D4">
        <v>3</v>
      </c>
      <c r="E4">
        <v>4</v>
      </c>
      <c r="F4">
        <v>5</v>
      </c>
      <c r="G4">
        <v>6</v>
      </c>
      <c r="H4">
        <v>7</v>
      </c>
      <c r="I4">
        <v>8</v>
      </c>
      <c r="J4">
        <v>9</v>
      </c>
      <c r="K4">
        <v>10</v>
      </c>
      <c r="L4">
        <v>11</v>
      </c>
      <c r="M4">
        <v>12</v>
      </c>
    </row>
    <row r="5" spans="1:13" s="50" customFormat="1" ht="61.75" customHeight="1">
      <c r="A5" s="50" t="s">
        <v>974</v>
      </c>
      <c r="B5" s="571" t="s">
        <v>988</v>
      </c>
      <c r="C5" s="571" t="s">
        <v>990</v>
      </c>
      <c r="D5" s="571" t="s">
        <v>991</v>
      </c>
      <c r="E5" s="571" t="s">
        <v>992</v>
      </c>
      <c r="F5" s="571" t="s">
        <v>993</v>
      </c>
      <c r="G5" s="571" t="s">
        <v>994</v>
      </c>
      <c r="H5" s="571" t="s">
        <v>995</v>
      </c>
      <c r="I5" s="571" t="s">
        <v>996</v>
      </c>
      <c r="J5" s="571" t="s">
        <v>997</v>
      </c>
      <c r="K5" s="571" t="s">
        <v>998</v>
      </c>
      <c r="L5" s="571" t="s">
        <v>999</v>
      </c>
      <c r="M5" s="571" t="s">
        <v>989</v>
      </c>
    </row>
    <row r="6" spans="1:13" ht="22.75" customHeight="1">
      <c r="A6" t="s">
        <v>973</v>
      </c>
      <c r="B6" t="s">
        <v>972</v>
      </c>
      <c r="C6" t="s">
        <v>975</v>
      </c>
      <c r="D6" s="578" t="s">
        <v>976</v>
      </c>
      <c r="E6" t="s">
        <v>977</v>
      </c>
      <c r="F6" t="s">
        <v>978</v>
      </c>
      <c r="G6" t="s">
        <v>979</v>
      </c>
      <c r="H6" t="s">
        <v>980</v>
      </c>
      <c r="I6" t="s">
        <v>981</v>
      </c>
      <c r="J6" t="s">
        <v>982</v>
      </c>
      <c r="K6" t="s">
        <v>983</v>
      </c>
      <c r="L6" t="s">
        <v>984</v>
      </c>
      <c r="M6" t="s">
        <v>985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4BF6D-983E-4A38-8EAB-F459B6F3A778}">
  <sheetPr codeName="Sheet110">
    <tabColor theme="4"/>
  </sheetPr>
  <dimension ref="A1"/>
  <sheetViews>
    <sheetView workbookViewId="0">
      <selection activeCell="A28" sqref="A28"/>
    </sheetView>
  </sheetViews>
  <sheetFormatPr baseColWidth="10" defaultColWidth="8.83203125" defaultRowHeight="15"/>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C6808-E2E6-4BCD-8940-959F100D142C}">
  <sheetPr codeName="Sheet24"/>
  <dimension ref="A1:O23"/>
  <sheetViews>
    <sheetView workbookViewId="0"/>
  </sheetViews>
  <sheetFormatPr baseColWidth="10" defaultColWidth="8.83203125" defaultRowHeight="15"/>
  <cols>
    <col min="1" max="1" width="10" customWidth="1"/>
    <col min="2" max="2" width="23.5" bestFit="1" customWidth="1"/>
    <col min="3" max="3" width="12.1640625" bestFit="1" customWidth="1"/>
    <col min="4" max="15" width="12.5" style="29" customWidth="1"/>
  </cols>
  <sheetData>
    <row r="1" spans="1:15">
      <c r="D1" s="29">
        <v>3</v>
      </c>
      <c r="E1" s="29">
        <v>4</v>
      </c>
      <c r="F1" s="29">
        <v>5</v>
      </c>
      <c r="G1" s="29">
        <v>6</v>
      </c>
      <c r="H1" s="29">
        <v>7</v>
      </c>
      <c r="I1" s="29">
        <v>8</v>
      </c>
      <c r="J1" s="29">
        <v>9</v>
      </c>
      <c r="K1" s="29">
        <v>10</v>
      </c>
      <c r="L1" s="29">
        <v>11</v>
      </c>
      <c r="M1" s="29">
        <v>12</v>
      </c>
      <c r="N1" s="29">
        <v>13</v>
      </c>
      <c r="O1" s="29">
        <v>14</v>
      </c>
    </row>
    <row r="2" spans="1:15">
      <c r="A2" s="5" t="s">
        <v>0</v>
      </c>
      <c r="B2" s="5" t="s">
        <v>1</v>
      </c>
      <c r="C2" s="5" t="s">
        <v>16</v>
      </c>
      <c r="D2" s="6">
        <v>44562</v>
      </c>
      <c r="E2" s="6">
        <v>44593</v>
      </c>
      <c r="F2" s="6">
        <v>44621</v>
      </c>
      <c r="G2" s="6">
        <v>44652</v>
      </c>
      <c r="H2" s="6">
        <v>44682</v>
      </c>
      <c r="I2" s="6">
        <v>44713</v>
      </c>
      <c r="J2" s="6">
        <v>44743</v>
      </c>
      <c r="K2" s="6">
        <v>44774</v>
      </c>
      <c r="L2" s="6">
        <v>44805</v>
      </c>
      <c r="M2" s="6">
        <v>44835</v>
      </c>
      <c r="N2" s="6">
        <v>44866</v>
      </c>
      <c r="O2" s="6">
        <v>44896</v>
      </c>
    </row>
    <row r="3" spans="1:15">
      <c r="A3" s="7" t="s">
        <v>2</v>
      </c>
      <c r="B3" t="s">
        <v>3</v>
      </c>
      <c r="C3">
        <v>0.4</v>
      </c>
      <c r="D3" s="139">
        <v>19</v>
      </c>
      <c r="E3" s="139">
        <v>20</v>
      </c>
      <c r="F3" s="139">
        <v>19</v>
      </c>
      <c r="G3" s="139">
        <v>20</v>
      </c>
      <c r="H3" s="139">
        <v>18</v>
      </c>
      <c r="I3" s="139">
        <v>20</v>
      </c>
      <c r="J3" s="139">
        <v>19</v>
      </c>
      <c r="K3" s="139">
        <v>20</v>
      </c>
      <c r="L3" s="139">
        <v>21</v>
      </c>
      <c r="M3" s="139">
        <v>18</v>
      </c>
      <c r="N3" s="139">
        <v>22</v>
      </c>
      <c r="O3" s="139">
        <v>18</v>
      </c>
    </row>
    <row r="4" spans="1:15">
      <c r="A4" s="7" t="s">
        <v>2</v>
      </c>
      <c r="B4" t="s">
        <v>4</v>
      </c>
      <c r="C4">
        <v>0.22</v>
      </c>
      <c r="D4" s="139">
        <v>18</v>
      </c>
      <c r="E4" s="139">
        <v>21</v>
      </c>
      <c r="F4" s="139">
        <v>19</v>
      </c>
      <c r="G4" s="139">
        <v>21</v>
      </c>
      <c r="H4" s="139">
        <v>21</v>
      </c>
      <c r="I4" s="139">
        <v>18</v>
      </c>
      <c r="J4" s="139">
        <v>20</v>
      </c>
      <c r="K4" s="139">
        <v>18</v>
      </c>
      <c r="L4" s="139">
        <v>21</v>
      </c>
      <c r="M4" s="139">
        <v>19</v>
      </c>
      <c r="N4" s="139">
        <v>17</v>
      </c>
      <c r="O4" s="139">
        <v>22</v>
      </c>
    </row>
    <row r="5" spans="1:15">
      <c r="A5" s="7" t="s">
        <v>2</v>
      </c>
      <c r="B5" t="s">
        <v>5</v>
      </c>
      <c r="C5">
        <v>0.45</v>
      </c>
      <c r="D5" s="139">
        <v>19</v>
      </c>
      <c r="E5" s="139">
        <v>18</v>
      </c>
      <c r="F5" s="139">
        <v>20</v>
      </c>
      <c r="G5" s="139">
        <v>19</v>
      </c>
      <c r="H5" s="139">
        <v>22</v>
      </c>
      <c r="I5" s="139">
        <v>17</v>
      </c>
      <c r="J5" s="139">
        <v>21</v>
      </c>
      <c r="K5" s="139">
        <v>20</v>
      </c>
      <c r="L5" s="139">
        <v>22</v>
      </c>
      <c r="M5" s="139">
        <v>20</v>
      </c>
      <c r="N5" s="139">
        <v>18</v>
      </c>
      <c r="O5" s="139">
        <v>18</v>
      </c>
    </row>
    <row r="6" spans="1:15">
      <c r="A6" s="7" t="s">
        <v>2</v>
      </c>
      <c r="B6" t="s">
        <v>6</v>
      </c>
      <c r="C6">
        <v>1</v>
      </c>
      <c r="D6" s="139">
        <v>21</v>
      </c>
      <c r="E6" s="139">
        <v>18</v>
      </c>
      <c r="F6" s="139">
        <v>18</v>
      </c>
      <c r="G6" s="139">
        <v>22</v>
      </c>
      <c r="H6" s="139">
        <v>20</v>
      </c>
      <c r="I6" s="139">
        <v>22</v>
      </c>
      <c r="J6" s="139">
        <v>21</v>
      </c>
      <c r="K6" s="139">
        <v>19</v>
      </c>
      <c r="L6" s="139">
        <v>20</v>
      </c>
      <c r="M6" s="139">
        <v>21</v>
      </c>
      <c r="N6" s="139">
        <v>19</v>
      </c>
      <c r="O6" s="139">
        <v>21</v>
      </c>
    </row>
    <row r="7" spans="1:15">
      <c r="A7" s="7" t="s">
        <v>2</v>
      </c>
      <c r="B7" t="s">
        <v>7</v>
      </c>
      <c r="C7">
        <v>1.4E-2</v>
      </c>
      <c r="D7" s="139">
        <v>28</v>
      </c>
      <c r="E7" s="139">
        <v>28</v>
      </c>
      <c r="F7" s="139">
        <v>28</v>
      </c>
      <c r="G7" s="139">
        <v>28</v>
      </c>
      <c r="H7" s="139">
        <v>28</v>
      </c>
      <c r="I7" s="139">
        <v>28</v>
      </c>
      <c r="J7" s="139">
        <v>28</v>
      </c>
      <c r="K7" s="139">
        <v>28</v>
      </c>
      <c r="L7" s="139">
        <v>28</v>
      </c>
      <c r="M7" s="139">
        <v>28</v>
      </c>
      <c r="N7" s="139">
        <v>28</v>
      </c>
      <c r="O7" s="139">
        <v>28</v>
      </c>
    </row>
    <row r="8" spans="1:15">
      <c r="A8" s="7" t="s">
        <v>2</v>
      </c>
      <c r="B8" t="s">
        <v>8</v>
      </c>
      <c r="C8">
        <v>0.03</v>
      </c>
      <c r="D8" s="139">
        <v>25</v>
      </c>
      <c r="E8" s="139">
        <v>25</v>
      </c>
      <c r="F8" s="139">
        <v>25</v>
      </c>
      <c r="G8" s="139">
        <v>25</v>
      </c>
      <c r="H8" s="139">
        <v>25</v>
      </c>
      <c r="I8" s="139">
        <v>25</v>
      </c>
      <c r="J8" s="139">
        <v>25</v>
      </c>
      <c r="K8" s="139">
        <v>25</v>
      </c>
      <c r="L8" s="139">
        <v>25</v>
      </c>
      <c r="M8" s="139">
        <v>25</v>
      </c>
      <c r="N8" s="139">
        <v>25</v>
      </c>
      <c r="O8" s="139">
        <v>25</v>
      </c>
    </row>
    <row r="9" spans="1:15">
      <c r="A9" s="3" t="s">
        <v>2</v>
      </c>
      <c r="B9" s="3" t="s">
        <v>2</v>
      </c>
      <c r="C9" s="3"/>
      <c r="D9" s="140">
        <f>$C$3*D3+$C$4*D4+$C$5*D5+$C$6*D6+$C$7*D7+$C$8*D8</f>
        <v>42.252000000000002</v>
      </c>
      <c r="E9" s="140">
        <f t="shared" ref="E9:O9" si="0">$C$3*E3+$C$4*E4+$C$5*E5+$C$6*E6+$C$7*E7+$C$8*E8</f>
        <v>39.862000000000002</v>
      </c>
      <c r="F9" s="140">
        <f t="shared" si="0"/>
        <v>39.922000000000004</v>
      </c>
      <c r="G9" s="140">
        <f t="shared" si="0"/>
        <v>44.312000000000005</v>
      </c>
      <c r="H9" s="140">
        <f t="shared" si="0"/>
        <v>42.862000000000002</v>
      </c>
      <c r="I9" s="140">
        <f t="shared" si="0"/>
        <v>42.752000000000002</v>
      </c>
      <c r="J9" s="140">
        <f t="shared" si="0"/>
        <v>43.592000000000006</v>
      </c>
      <c r="K9" s="140">
        <f t="shared" si="0"/>
        <v>41.102000000000004</v>
      </c>
      <c r="L9" s="140">
        <f t="shared" si="0"/>
        <v>44.062000000000005</v>
      </c>
      <c r="M9" s="140">
        <f t="shared" si="0"/>
        <v>42.521999999999998</v>
      </c>
      <c r="N9" s="140">
        <f t="shared" si="0"/>
        <v>40.782000000000004</v>
      </c>
      <c r="O9" s="140">
        <f t="shared" si="0"/>
        <v>42.282000000000004</v>
      </c>
    </row>
    <row r="10" spans="1:15">
      <c r="A10" s="7" t="s">
        <v>10</v>
      </c>
      <c r="B10" t="s">
        <v>11</v>
      </c>
      <c r="C10">
        <v>0.4</v>
      </c>
      <c r="D10" s="139">
        <v>18</v>
      </c>
      <c r="E10" s="139">
        <v>19</v>
      </c>
      <c r="F10" s="139">
        <v>17</v>
      </c>
      <c r="G10" s="139">
        <v>17</v>
      </c>
      <c r="H10" s="139">
        <v>21</v>
      </c>
      <c r="I10" s="139">
        <v>17</v>
      </c>
      <c r="J10" s="139">
        <v>20</v>
      </c>
      <c r="K10" s="139">
        <v>22</v>
      </c>
      <c r="L10" s="139">
        <v>18</v>
      </c>
      <c r="M10" s="139">
        <v>20</v>
      </c>
      <c r="N10" s="139">
        <v>20</v>
      </c>
      <c r="O10" s="139">
        <v>18</v>
      </c>
    </row>
    <row r="11" spans="1:15">
      <c r="A11" s="7" t="s">
        <v>10</v>
      </c>
      <c r="B11" t="s">
        <v>4</v>
      </c>
      <c r="C11">
        <v>0.22</v>
      </c>
      <c r="D11" s="139">
        <v>18</v>
      </c>
      <c r="E11" s="139">
        <v>21</v>
      </c>
      <c r="F11" s="139">
        <v>19</v>
      </c>
      <c r="G11" s="139">
        <v>21</v>
      </c>
      <c r="H11" s="139">
        <v>21</v>
      </c>
      <c r="I11" s="139">
        <v>18</v>
      </c>
      <c r="J11" s="139">
        <v>20</v>
      </c>
      <c r="K11" s="139">
        <v>18</v>
      </c>
      <c r="L11" s="139">
        <v>21</v>
      </c>
      <c r="M11" s="139">
        <v>19</v>
      </c>
      <c r="N11" s="139">
        <v>17</v>
      </c>
      <c r="O11" s="139">
        <v>22</v>
      </c>
    </row>
    <row r="12" spans="1:15">
      <c r="A12" s="7" t="s">
        <v>10</v>
      </c>
      <c r="B12" t="s">
        <v>5</v>
      </c>
      <c r="C12">
        <v>0.45</v>
      </c>
      <c r="D12" s="139">
        <v>19</v>
      </c>
      <c r="E12" s="139">
        <v>18</v>
      </c>
      <c r="F12" s="139">
        <v>20</v>
      </c>
      <c r="G12" s="139">
        <v>19</v>
      </c>
      <c r="H12" s="139">
        <v>22</v>
      </c>
      <c r="I12" s="139">
        <v>17</v>
      </c>
      <c r="J12" s="139">
        <v>21</v>
      </c>
      <c r="K12" s="139">
        <v>20</v>
      </c>
      <c r="L12" s="139">
        <v>22</v>
      </c>
      <c r="M12" s="139">
        <v>20</v>
      </c>
      <c r="N12" s="139">
        <v>18</v>
      </c>
      <c r="O12" s="139">
        <v>18</v>
      </c>
    </row>
    <row r="13" spans="1:15">
      <c r="A13" s="7" t="s">
        <v>10</v>
      </c>
      <c r="B13" t="s">
        <v>12</v>
      </c>
      <c r="C13">
        <v>1</v>
      </c>
      <c r="D13" s="139">
        <v>19</v>
      </c>
      <c r="E13" s="139">
        <v>21</v>
      </c>
      <c r="F13" s="139">
        <v>22</v>
      </c>
      <c r="G13" s="139">
        <v>19</v>
      </c>
      <c r="H13" s="139">
        <v>19</v>
      </c>
      <c r="I13" s="139">
        <v>17</v>
      </c>
      <c r="J13" s="139">
        <v>17</v>
      </c>
      <c r="K13" s="139">
        <v>21</v>
      </c>
      <c r="L13" s="139">
        <v>17</v>
      </c>
      <c r="M13" s="139">
        <v>19</v>
      </c>
      <c r="N13" s="139">
        <v>17</v>
      </c>
      <c r="O13" s="139">
        <v>17</v>
      </c>
    </row>
    <row r="14" spans="1:15">
      <c r="A14" s="7" t="s">
        <v>10</v>
      </c>
      <c r="B14" t="s">
        <v>7</v>
      </c>
      <c r="C14">
        <v>1.4E-2</v>
      </c>
      <c r="D14" s="139">
        <v>28</v>
      </c>
      <c r="E14" s="139">
        <v>28</v>
      </c>
      <c r="F14" s="139">
        <v>28</v>
      </c>
      <c r="G14" s="139">
        <v>28</v>
      </c>
      <c r="H14" s="139">
        <v>28</v>
      </c>
      <c r="I14" s="139">
        <v>28</v>
      </c>
      <c r="J14" s="139">
        <v>28</v>
      </c>
      <c r="K14" s="139">
        <v>28</v>
      </c>
      <c r="L14" s="139">
        <v>28</v>
      </c>
      <c r="M14" s="139">
        <v>28</v>
      </c>
      <c r="N14" s="139">
        <v>28</v>
      </c>
      <c r="O14" s="139">
        <v>28</v>
      </c>
    </row>
    <row r="15" spans="1:15">
      <c r="A15" s="7" t="s">
        <v>10</v>
      </c>
      <c r="B15" t="s">
        <v>8</v>
      </c>
      <c r="C15">
        <v>0.03</v>
      </c>
      <c r="D15" s="139">
        <v>25</v>
      </c>
      <c r="E15" s="139">
        <v>25</v>
      </c>
      <c r="F15" s="139">
        <v>25</v>
      </c>
      <c r="G15" s="139">
        <v>25</v>
      </c>
      <c r="H15" s="139">
        <v>25</v>
      </c>
      <c r="I15" s="139">
        <v>25</v>
      </c>
      <c r="J15" s="139">
        <v>25</v>
      </c>
      <c r="K15" s="139">
        <v>25</v>
      </c>
      <c r="L15" s="139">
        <v>25</v>
      </c>
      <c r="M15" s="139">
        <v>25</v>
      </c>
      <c r="N15" s="139">
        <v>25</v>
      </c>
      <c r="O15" s="139">
        <v>25</v>
      </c>
    </row>
    <row r="16" spans="1:15">
      <c r="A16" s="3" t="s">
        <v>10</v>
      </c>
      <c r="B16" s="4" t="s">
        <v>10</v>
      </c>
      <c r="C16" s="4"/>
      <c r="D16" s="141">
        <f>$C$10*D10+$C$11*D11+$C$12*D12+$C$13*D13+$C$14*D14+$C$15*D15</f>
        <v>39.852000000000004</v>
      </c>
      <c r="E16" s="141">
        <f t="shared" ref="E16:O16" si="1">$C$10*E10+$C$11*E11+$C$12*E12+$C$13*E13+$C$14*E14+$C$15*E15</f>
        <v>42.462000000000003</v>
      </c>
      <c r="F16" s="141">
        <f t="shared" si="1"/>
        <v>43.122000000000007</v>
      </c>
      <c r="G16" s="141">
        <f t="shared" si="1"/>
        <v>40.112000000000002</v>
      </c>
      <c r="H16" s="141">
        <f t="shared" si="1"/>
        <v>43.062000000000005</v>
      </c>
      <c r="I16" s="141">
        <f t="shared" si="1"/>
        <v>36.552000000000007</v>
      </c>
      <c r="J16" s="141">
        <f t="shared" si="1"/>
        <v>39.992000000000004</v>
      </c>
      <c r="K16" s="141">
        <f t="shared" si="1"/>
        <v>43.902000000000008</v>
      </c>
      <c r="L16" s="141">
        <f t="shared" si="1"/>
        <v>39.862000000000002</v>
      </c>
      <c r="M16" s="141">
        <f t="shared" si="1"/>
        <v>41.322000000000003</v>
      </c>
      <c r="N16" s="141">
        <f t="shared" si="1"/>
        <v>37.982000000000006</v>
      </c>
      <c r="O16" s="141">
        <f t="shared" si="1"/>
        <v>38.282000000000004</v>
      </c>
    </row>
    <row r="17" spans="1:15">
      <c r="A17" s="7" t="s">
        <v>14</v>
      </c>
      <c r="B17" t="s">
        <v>11</v>
      </c>
      <c r="C17">
        <v>0.45</v>
      </c>
      <c r="D17" s="139">
        <v>18</v>
      </c>
      <c r="E17" s="139">
        <v>19</v>
      </c>
      <c r="F17" s="139">
        <v>17</v>
      </c>
      <c r="G17" s="139">
        <v>17</v>
      </c>
      <c r="H17" s="139">
        <v>21</v>
      </c>
      <c r="I17" s="139">
        <v>17</v>
      </c>
      <c r="J17" s="139">
        <v>20</v>
      </c>
      <c r="K17" s="139">
        <v>22</v>
      </c>
      <c r="L17" s="139">
        <v>18</v>
      </c>
      <c r="M17" s="139">
        <v>20</v>
      </c>
      <c r="N17" s="139">
        <v>20</v>
      </c>
      <c r="O17" s="139">
        <v>18</v>
      </c>
    </row>
    <row r="18" spans="1:15">
      <c r="A18" s="7" t="s">
        <v>14</v>
      </c>
      <c r="B18" t="s">
        <v>4</v>
      </c>
      <c r="C18">
        <v>0.22</v>
      </c>
      <c r="D18" s="139">
        <v>18</v>
      </c>
      <c r="E18" s="139">
        <v>21</v>
      </c>
      <c r="F18" s="139">
        <v>19</v>
      </c>
      <c r="G18" s="139">
        <v>21</v>
      </c>
      <c r="H18" s="139">
        <v>21</v>
      </c>
      <c r="I18" s="139">
        <v>18</v>
      </c>
      <c r="J18" s="139">
        <v>20</v>
      </c>
      <c r="K18" s="139">
        <v>18</v>
      </c>
      <c r="L18" s="139">
        <v>21</v>
      </c>
      <c r="M18" s="139">
        <v>19</v>
      </c>
      <c r="N18" s="139">
        <v>17</v>
      </c>
      <c r="O18" s="139">
        <v>22</v>
      </c>
    </row>
    <row r="19" spans="1:15">
      <c r="A19" s="7" t="s">
        <v>14</v>
      </c>
      <c r="B19" t="s">
        <v>5</v>
      </c>
      <c r="C19">
        <v>0.66</v>
      </c>
      <c r="D19" s="139">
        <v>19</v>
      </c>
      <c r="E19" s="139">
        <v>18</v>
      </c>
      <c r="F19" s="139">
        <v>20</v>
      </c>
      <c r="G19" s="139">
        <v>19</v>
      </c>
      <c r="H19" s="139">
        <v>22</v>
      </c>
      <c r="I19" s="139">
        <v>17</v>
      </c>
      <c r="J19" s="139">
        <v>21</v>
      </c>
      <c r="K19" s="139">
        <v>20</v>
      </c>
      <c r="L19" s="139">
        <v>22</v>
      </c>
      <c r="M19" s="139">
        <v>20</v>
      </c>
      <c r="N19" s="139">
        <v>18</v>
      </c>
      <c r="O19" s="139">
        <v>18</v>
      </c>
    </row>
    <row r="20" spans="1:15">
      <c r="A20" s="7" t="s">
        <v>14</v>
      </c>
      <c r="B20" t="s">
        <v>12</v>
      </c>
      <c r="C20">
        <v>1</v>
      </c>
      <c r="D20" s="139">
        <v>19</v>
      </c>
      <c r="E20" s="139">
        <v>21</v>
      </c>
      <c r="F20" s="139">
        <v>22</v>
      </c>
      <c r="G20" s="139">
        <v>19</v>
      </c>
      <c r="H20" s="139">
        <v>19</v>
      </c>
      <c r="I20" s="139">
        <v>17</v>
      </c>
      <c r="J20" s="139">
        <v>17</v>
      </c>
      <c r="K20" s="139">
        <v>21</v>
      </c>
      <c r="L20" s="139">
        <v>17</v>
      </c>
      <c r="M20" s="139">
        <v>19</v>
      </c>
      <c r="N20" s="139">
        <v>17</v>
      </c>
      <c r="O20" s="139">
        <v>17</v>
      </c>
    </row>
    <row r="21" spans="1:15">
      <c r="A21" s="7" t="s">
        <v>14</v>
      </c>
      <c r="B21" t="s">
        <v>7</v>
      </c>
      <c r="C21">
        <v>1.4E-2</v>
      </c>
      <c r="D21" s="139">
        <v>28</v>
      </c>
      <c r="E21" s="139">
        <v>28</v>
      </c>
      <c r="F21" s="139">
        <v>28</v>
      </c>
      <c r="G21" s="139">
        <v>28</v>
      </c>
      <c r="H21" s="139">
        <v>28</v>
      </c>
      <c r="I21" s="139">
        <v>28</v>
      </c>
      <c r="J21" s="139">
        <v>28</v>
      </c>
      <c r="K21" s="139">
        <v>28</v>
      </c>
      <c r="L21" s="139">
        <v>28</v>
      </c>
      <c r="M21" s="139">
        <v>28</v>
      </c>
      <c r="N21" s="139">
        <v>28</v>
      </c>
      <c r="O21" s="139">
        <v>28</v>
      </c>
    </row>
    <row r="22" spans="1:15">
      <c r="A22" s="7" t="s">
        <v>14</v>
      </c>
      <c r="B22" t="s">
        <v>8</v>
      </c>
      <c r="C22">
        <v>0.03</v>
      </c>
      <c r="D22" s="139">
        <v>25</v>
      </c>
      <c r="E22" s="139">
        <v>25</v>
      </c>
      <c r="F22" s="139">
        <v>25</v>
      </c>
      <c r="G22" s="139">
        <v>25</v>
      </c>
      <c r="H22" s="139">
        <v>25</v>
      </c>
      <c r="I22" s="139">
        <v>25</v>
      </c>
      <c r="J22" s="139">
        <v>25</v>
      </c>
      <c r="K22" s="139">
        <v>25</v>
      </c>
      <c r="L22" s="139">
        <v>25</v>
      </c>
      <c r="M22" s="139">
        <v>25</v>
      </c>
      <c r="N22" s="139">
        <v>25</v>
      </c>
      <c r="O22" s="139">
        <v>25</v>
      </c>
    </row>
    <row r="23" spans="1:15">
      <c r="A23" s="3" t="s">
        <v>14</v>
      </c>
      <c r="B23" s="4" t="s">
        <v>14</v>
      </c>
      <c r="C23" s="4"/>
      <c r="D23" s="141">
        <f>$C$17*D17+$C$18*D18+$C$19*D19+$C$20*D20+$C$21*D21+$C$22*D22</f>
        <v>44.742000000000004</v>
      </c>
      <c r="E23" s="141">
        <f t="shared" ref="E23:O23" si="2">$C$17*E17+$C$18*E18+$C$19*E19+$C$20*E20+$C$21*E21+$C$22*E22</f>
        <v>47.192000000000007</v>
      </c>
      <c r="F23" s="141">
        <f t="shared" si="2"/>
        <v>48.172000000000004</v>
      </c>
      <c r="G23" s="141">
        <f t="shared" si="2"/>
        <v>44.952000000000005</v>
      </c>
      <c r="H23" s="141">
        <f t="shared" si="2"/>
        <v>48.732000000000006</v>
      </c>
      <c r="I23" s="141">
        <f t="shared" si="2"/>
        <v>40.972000000000001</v>
      </c>
      <c r="J23" s="141">
        <f t="shared" si="2"/>
        <v>45.402000000000008</v>
      </c>
      <c r="K23" s="141">
        <f t="shared" si="2"/>
        <v>49.202000000000005</v>
      </c>
      <c r="L23" s="141">
        <f t="shared" si="2"/>
        <v>45.382000000000005</v>
      </c>
      <c r="M23" s="141">
        <f t="shared" si="2"/>
        <v>46.522000000000006</v>
      </c>
      <c r="N23" s="141">
        <f t="shared" si="2"/>
        <v>42.762000000000008</v>
      </c>
      <c r="O23" s="141">
        <f t="shared" si="2"/>
        <v>42.962000000000003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4A0C1-A3A9-40BB-B071-CE318D9EC34C}">
  <sheetPr codeName="Sheet43"/>
  <dimension ref="A1:N89"/>
  <sheetViews>
    <sheetView topLeftCell="A2" workbookViewId="0"/>
  </sheetViews>
  <sheetFormatPr baseColWidth="10" defaultColWidth="14.1640625" defaultRowHeight="11"/>
  <cols>
    <col min="1" max="1" width="14.1640625" style="95"/>
    <col min="2" max="2" width="17" style="95" bestFit="1" customWidth="1"/>
    <col min="3" max="3" width="14.1640625" style="45" bestFit="1" customWidth="1"/>
    <col min="4" max="4" width="16" style="45" bestFit="1" customWidth="1"/>
    <col min="5" max="5" width="15.33203125" style="45" bestFit="1" customWidth="1"/>
    <col min="6" max="6" width="14.1640625" style="45"/>
    <col min="7" max="7" width="14.33203125" style="45" bestFit="1" customWidth="1"/>
    <col min="8" max="8" width="14.1640625" style="45"/>
    <col min="9" max="9" width="16" style="45" bestFit="1" customWidth="1"/>
    <col min="10" max="10" width="14.1640625" style="45" bestFit="1" customWidth="1"/>
    <col min="11" max="11" width="16.33203125" style="45" bestFit="1" customWidth="1"/>
    <col min="12" max="16384" width="14.1640625" style="45"/>
  </cols>
  <sheetData>
    <row r="1" spans="1:14" s="29" customFormat="1" ht="15" hidden="1">
      <c r="C1" s="29">
        <v>3</v>
      </c>
      <c r="D1" s="29">
        <v>4</v>
      </c>
      <c r="E1" s="29">
        <v>5</v>
      </c>
      <c r="F1" s="29">
        <v>6</v>
      </c>
      <c r="G1" s="29">
        <v>7</v>
      </c>
      <c r="H1" s="29">
        <v>8</v>
      </c>
      <c r="I1" s="29">
        <v>9</v>
      </c>
      <c r="J1" s="29">
        <v>10</v>
      </c>
      <c r="K1" s="29">
        <v>11</v>
      </c>
      <c r="L1" s="29">
        <v>12</v>
      </c>
      <c r="M1" s="29">
        <v>13</v>
      </c>
      <c r="N1" s="29">
        <v>14</v>
      </c>
    </row>
    <row r="2" spans="1:14" s="41" customFormat="1" ht="15">
      <c r="A2" s="30"/>
      <c r="B2" s="30" t="s">
        <v>41</v>
      </c>
      <c r="C2" s="42">
        <v>44562</v>
      </c>
      <c r="D2" s="42">
        <v>44593</v>
      </c>
      <c r="E2" s="42">
        <v>44621</v>
      </c>
      <c r="F2" s="42">
        <v>44652</v>
      </c>
      <c r="G2" s="42">
        <v>44682</v>
      </c>
      <c r="H2" s="42">
        <v>44713</v>
      </c>
      <c r="I2" s="42">
        <v>44743</v>
      </c>
      <c r="J2" s="42">
        <v>44774</v>
      </c>
      <c r="K2" s="42">
        <v>44805</v>
      </c>
      <c r="L2" s="42">
        <v>44835</v>
      </c>
      <c r="M2" s="42">
        <v>44866</v>
      </c>
      <c r="N2" s="42">
        <v>44896</v>
      </c>
    </row>
    <row r="3" spans="1:14" s="33" customFormat="1" ht="15">
      <c r="A3" s="32" t="s">
        <v>3</v>
      </c>
      <c r="B3" s="32" t="str">
        <f>+VLOOKUP(A3,[1]Volumes!D:E,2,0)</f>
        <v>Supplier A</v>
      </c>
      <c r="C3" s="32">
        <v>40000</v>
      </c>
      <c r="D3" s="32">
        <v>40000</v>
      </c>
      <c r="E3" s="32">
        <v>40000</v>
      </c>
      <c r="F3" s="32">
        <v>40000</v>
      </c>
      <c r="G3" s="32">
        <v>40000</v>
      </c>
      <c r="H3" s="32">
        <v>40000</v>
      </c>
      <c r="I3" s="32">
        <v>40000</v>
      </c>
      <c r="J3" s="32">
        <v>40000</v>
      </c>
      <c r="K3" s="32">
        <v>40000</v>
      </c>
      <c r="L3" s="32">
        <v>40000</v>
      </c>
      <c r="M3" s="32">
        <v>40000</v>
      </c>
      <c r="N3" s="32">
        <v>40000</v>
      </c>
    </row>
    <row r="4" spans="1:14" s="33" customFormat="1" ht="15">
      <c r="A4" s="32" t="s">
        <v>4</v>
      </c>
      <c r="B4" s="32" t="str">
        <f>+VLOOKUP(A4,[1]Volumes!D:E,2,0)</f>
        <v>Supplier A</v>
      </c>
      <c r="C4" s="32">
        <v>45000</v>
      </c>
      <c r="D4" s="32">
        <v>45000</v>
      </c>
      <c r="E4" s="32">
        <v>45000</v>
      </c>
      <c r="F4" s="32">
        <v>45000</v>
      </c>
      <c r="G4" s="32">
        <v>45000</v>
      </c>
      <c r="H4" s="32">
        <v>45000</v>
      </c>
      <c r="I4" s="32">
        <v>45000</v>
      </c>
      <c r="J4" s="32">
        <v>45000</v>
      </c>
      <c r="K4" s="32">
        <v>45000</v>
      </c>
      <c r="L4" s="32">
        <v>45000</v>
      </c>
      <c r="M4" s="32">
        <v>45000</v>
      </c>
      <c r="N4" s="32">
        <v>45000</v>
      </c>
    </row>
    <row r="5" spans="1:14" s="33" customFormat="1" ht="15">
      <c r="A5" s="32" t="s">
        <v>5</v>
      </c>
      <c r="B5" s="32" t="str">
        <f>+VLOOKUP(A5,[1]Volumes!D:E,2,0)</f>
        <v>Supplier A</v>
      </c>
      <c r="C5" s="32">
        <v>100000</v>
      </c>
      <c r="D5" s="32">
        <v>100000</v>
      </c>
      <c r="E5" s="32">
        <v>100000</v>
      </c>
      <c r="F5" s="32">
        <v>125000</v>
      </c>
      <c r="G5" s="32">
        <v>100000</v>
      </c>
      <c r="H5" s="32">
        <v>130000</v>
      </c>
      <c r="I5" s="32">
        <v>100000</v>
      </c>
      <c r="J5" s="32">
        <v>100000</v>
      </c>
      <c r="K5" s="32">
        <v>100000</v>
      </c>
      <c r="L5" s="32">
        <v>100000</v>
      </c>
      <c r="M5" s="32">
        <v>100000</v>
      </c>
      <c r="N5" s="32">
        <v>100000</v>
      </c>
    </row>
    <row r="6" spans="1:14" s="33" customFormat="1" ht="15">
      <c r="A6" s="32" t="s">
        <v>6</v>
      </c>
      <c r="B6" s="32" t="str">
        <f>+VLOOKUP(A6,[1]Volumes!D:E,2,0)</f>
        <v>Supplier B</v>
      </c>
      <c r="C6" s="32">
        <v>110000</v>
      </c>
      <c r="D6" s="32">
        <v>110000</v>
      </c>
      <c r="E6" s="32">
        <v>110000</v>
      </c>
      <c r="F6" s="32">
        <v>110000</v>
      </c>
      <c r="G6" s="32">
        <v>110000</v>
      </c>
      <c r="H6" s="32">
        <v>110000</v>
      </c>
      <c r="I6" s="32">
        <v>110000</v>
      </c>
      <c r="J6" s="32">
        <v>110000</v>
      </c>
      <c r="K6" s="32">
        <v>110000</v>
      </c>
      <c r="L6" s="32">
        <v>110000</v>
      </c>
      <c r="M6" s="32">
        <v>110000</v>
      </c>
      <c r="N6" s="32">
        <v>110000</v>
      </c>
    </row>
    <row r="7" spans="1:14" s="33" customFormat="1" ht="15">
      <c r="A7" s="32" t="s">
        <v>11</v>
      </c>
      <c r="B7" s="32" t="str">
        <f>+VLOOKUP(A7,[1]Volumes!D:E,2,0)</f>
        <v>Supplier D</v>
      </c>
      <c r="C7" s="32">
        <v>40000</v>
      </c>
      <c r="D7" s="32">
        <v>45000</v>
      </c>
      <c r="E7" s="32">
        <v>60000</v>
      </c>
      <c r="F7" s="32">
        <v>55000</v>
      </c>
      <c r="G7" s="32">
        <v>51000</v>
      </c>
      <c r="H7" s="32">
        <v>52000</v>
      </c>
      <c r="I7" s="32">
        <v>70000</v>
      </c>
      <c r="J7" s="32">
        <v>40000</v>
      </c>
      <c r="K7" s="32">
        <v>40000</v>
      </c>
      <c r="L7" s="32">
        <v>40000</v>
      </c>
      <c r="M7" s="32">
        <v>40000</v>
      </c>
      <c r="N7" s="32">
        <v>40000</v>
      </c>
    </row>
    <row r="8" spans="1:14" s="33" customFormat="1" ht="15">
      <c r="A8" s="32" t="s">
        <v>12</v>
      </c>
      <c r="B8" s="32" t="str">
        <f>+VLOOKUP(A8,[1]Volumes!D:E,2,0)</f>
        <v>Supplier D</v>
      </c>
      <c r="C8" s="32">
        <v>104405</v>
      </c>
      <c r="D8" s="32">
        <v>104405</v>
      </c>
      <c r="E8" s="32">
        <v>150000</v>
      </c>
      <c r="F8" s="32">
        <v>110000</v>
      </c>
      <c r="G8" s="32">
        <v>130000</v>
      </c>
      <c r="H8" s="32">
        <v>110000</v>
      </c>
      <c r="I8" s="32">
        <v>140000</v>
      </c>
      <c r="J8" s="32">
        <v>104405</v>
      </c>
      <c r="K8" s="32">
        <v>104405</v>
      </c>
      <c r="L8" s="32">
        <v>104405</v>
      </c>
      <c r="M8" s="32">
        <v>104405</v>
      </c>
      <c r="N8" s="32">
        <v>104405</v>
      </c>
    </row>
    <row r="9" spans="1:14" customFormat="1" ht="4.25" customHeight="1">
      <c r="A9" s="29"/>
      <c r="B9" s="29"/>
    </row>
    <row r="10" spans="1:14" s="1" customFormat="1" ht="15">
      <c r="A10" s="30" t="s">
        <v>59</v>
      </c>
      <c r="B10" s="30" t="s">
        <v>42</v>
      </c>
      <c r="C10" s="43">
        <v>44563</v>
      </c>
      <c r="D10" s="43">
        <v>44596</v>
      </c>
      <c r="E10" s="43">
        <v>44624</v>
      </c>
      <c r="F10" s="43">
        <v>44658</v>
      </c>
      <c r="G10" s="43">
        <v>44682</v>
      </c>
      <c r="H10" s="43">
        <v>44717</v>
      </c>
      <c r="I10" s="43">
        <v>44746</v>
      </c>
      <c r="J10" s="43">
        <v>44774</v>
      </c>
      <c r="K10" s="43">
        <v>44810</v>
      </c>
      <c r="L10" s="43">
        <v>44837</v>
      </c>
      <c r="M10" s="43">
        <v>44866</v>
      </c>
      <c r="N10" s="43">
        <v>44900</v>
      </c>
    </row>
    <row r="11" spans="1:14" customFormat="1" ht="15">
      <c r="A11" s="31" t="s">
        <v>3</v>
      </c>
      <c r="B11" s="31" t="str">
        <f>+VLOOKUP(A11,[1]Volumes!D:E,2,0)</f>
        <v>Supplier A</v>
      </c>
      <c r="C11" s="27">
        <f>VLOOKUP(Purchases!$A$11,'Cost Structure'!$B:$O,C1,0)*C3</f>
        <v>760000</v>
      </c>
      <c r="D11" s="27">
        <f>VLOOKUP(Purchases!$A$11,'Cost Structure'!$B:$O,D1,0)*D3</f>
        <v>800000</v>
      </c>
      <c r="E11" s="27">
        <f>VLOOKUP(Purchases!$A$11,'Cost Structure'!$B:$O,E1,0)*E3</f>
        <v>760000</v>
      </c>
      <c r="F11" s="27">
        <f>VLOOKUP(Purchases!$A$11,'Cost Structure'!$B:$O,F1,0)*F3</f>
        <v>800000</v>
      </c>
      <c r="G11" s="27">
        <f>VLOOKUP(Purchases!$A$11,'Cost Structure'!$B:$O,G1,0)*G3</f>
        <v>720000</v>
      </c>
      <c r="H11" s="27">
        <f>VLOOKUP(Purchases!$A$11,'Cost Structure'!$B:$O,H1,0)*H3</f>
        <v>800000</v>
      </c>
      <c r="I11" s="27">
        <f>VLOOKUP(Purchases!$A$11,'Cost Structure'!$B:$O,I1,0)*I3</f>
        <v>760000</v>
      </c>
      <c r="J11" s="27">
        <f>VLOOKUP(Purchases!$A$11,'Cost Structure'!$B:$O,J1,0)*J3</f>
        <v>800000</v>
      </c>
      <c r="K11" s="27">
        <f>VLOOKUP(Purchases!$A$11,'Cost Structure'!$B:$O,K1,0)*K3</f>
        <v>840000</v>
      </c>
      <c r="L11" s="27">
        <f>VLOOKUP(Purchases!$A$11,'Cost Structure'!$B:$O,L1,0)*L3</f>
        <v>720000</v>
      </c>
      <c r="M11" s="27">
        <f>VLOOKUP(Purchases!$A$11,'Cost Structure'!$B:$O,M1,0)*M3</f>
        <v>880000</v>
      </c>
      <c r="N11" s="27">
        <f>VLOOKUP(Purchases!$A$11,'Cost Structure'!$B:$O,N1,0)*N3</f>
        <v>720000</v>
      </c>
    </row>
    <row r="12" spans="1:14" customFormat="1" ht="15">
      <c r="A12" s="31" t="s">
        <v>4</v>
      </c>
      <c r="B12" s="31" t="str">
        <f>+VLOOKUP(A12,[1]Volumes!D:E,2,0)</f>
        <v>Supplier A</v>
      </c>
      <c r="C12" s="27">
        <f>VLOOKUP(Purchases!$A$12,'Cost Structure'!$B:$O,C1,0)*C4</f>
        <v>810000</v>
      </c>
      <c r="D12" s="27">
        <f>VLOOKUP(Purchases!$A$12,'Cost Structure'!$B:$O,D1,0)*D4</f>
        <v>945000</v>
      </c>
      <c r="E12" s="27">
        <f>VLOOKUP(Purchases!$A$12,'Cost Structure'!$B:$O,E1,0)*E4</f>
        <v>855000</v>
      </c>
      <c r="F12" s="27">
        <f>VLOOKUP(Purchases!$A$12,'Cost Structure'!$B:$O,F1,0)*F4</f>
        <v>945000</v>
      </c>
      <c r="G12" s="27">
        <f>VLOOKUP(Purchases!$A$12,'Cost Structure'!$B:$O,G1,0)*G4</f>
        <v>945000</v>
      </c>
      <c r="H12" s="27">
        <f>VLOOKUP(Purchases!$A$12,'Cost Structure'!$B:$O,H1,0)*H4</f>
        <v>810000</v>
      </c>
      <c r="I12" s="27">
        <f>VLOOKUP(Purchases!$A$12,'Cost Structure'!$B:$O,I1,0)*I4</f>
        <v>900000</v>
      </c>
      <c r="J12" s="27">
        <f>VLOOKUP(Purchases!$A$12,'Cost Structure'!$B:$O,J1,0)*J4</f>
        <v>810000</v>
      </c>
      <c r="K12" s="27">
        <f>VLOOKUP(Purchases!$A$12,'Cost Structure'!$B:$O,K1,0)*K4</f>
        <v>945000</v>
      </c>
      <c r="L12" s="27">
        <f>VLOOKUP(Purchases!$A$12,'Cost Structure'!$B:$O,L1,0)*L4</f>
        <v>855000</v>
      </c>
      <c r="M12" s="27">
        <f>VLOOKUP(Purchases!$A$12,'Cost Structure'!$B:$O,M1,0)*M4</f>
        <v>765000</v>
      </c>
      <c r="N12" s="27">
        <f>VLOOKUP(Purchases!$A$12,'Cost Structure'!$B:$O,N1,0)*N4</f>
        <v>990000</v>
      </c>
    </row>
    <row r="13" spans="1:14" customFormat="1" ht="15">
      <c r="A13" s="31" t="s">
        <v>5</v>
      </c>
      <c r="B13" s="31" t="str">
        <f>+VLOOKUP(A13,[1]Volumes!D:E,2,0)</f>
        <v>Supplier A</v>
      </c>
      <c r="C13" s="27">
        <f>VLOOKUP(Purchases!$A$13,'Cost Structure'!$B:$O,C1,0)*C5</f>
        <v>1900000</v>
      </c>
      <c r="D13" s="27">
        <f>VLOOKUP(Purchases!$A$13,'Cost Structure'!$B:$O,D1,0)*D5</f>
        <v>1800000</v>
      </c>
      <c r="E13" s="27">
        <f>VLOOKUP(Purchases!$A$13,'Cost Structure'!$B:$O,E1,0)*E5</f>
        <v>2000000</v>
      </c>
      <c r="F13" s="27">
        <f>VLOOKUP(Purchases!$A$13,'Cost Structure'!$B:$O,F1,0)*F5</f>
        <v>2375000</v>
      </c>
      <c r="G13" s="27">
        <f>VLOOKUP(Purchases!$A$13,'Cost Structure'!$B:$O,G1,0)*G5</f>
        <v>2200000</v>
      </c>
      <c r="H13" s="27">
        <f>VLOOKUP(Purchases!$A$13,'Cost Structure'!$B:$O,H1,0)*H5</f>
        <v>2210000</v>
      </c>
      <c r="I13" s="27">
        <f>VLOOKUP(Purchases!$A$13,'Cost Structure'!$B:$O,I1,0)*I5</f>
        <v>2100000</v>
      </c>
      <c r="J13" s="27">
        <f>VLOOKUP(Purchases!$A$13,'Cost Structure'!$B:$O,J1,0)*J5</f>
        <v>2000000</v>
      </c>
      <c r="K13" s="27">
        <f>VLOOKUP(Purchases!$A$13,'Cost Structure'!$B:$O,K1,0)*K5</f>
        <v>2200000</v>
      </c>
      <c r="L13" s="27">
        <f>VLOOKUP(Purchases!$A$13,'Cost Structure'!$B:$O,L1,0)*L5</f>
        <v>2000000</v>
      </c>
      <c r="M13" s="27">
        <f>VLOOKUP(Purchases!$A$13,'Cost Structure'!$B:$O,M1,0)*M5</f>
        <v>1800000</v>
      </c>
      <c r="N13" s="27">
        <f>VLOOKUP(Purchases!$A$13,'Cost Structure'!$B:$O,N1,0)*N5</f>
        <v>1800000</v>
      </c>
    </row>
    <row r="14" spans="1:14" customFormat="1" ht="15">
      <c r="A14" s="31" t="s">
        <v>6</v>
      </c>
      <c r="B14" s="31" t="str">
        <f>+VLOOKUP(A14,[1]Volumes!D:E,2,0)</f>
        <v>Supplier B</v>
      </c>
      <c r="C14" s="27">
        <f>VLOOKUP(Purchases!$A$14,'Cost Structure'!$B:$O,C1,0)*C6</f>
        <v>2310000</v>
      </c>
      <c r="D14" s="27">
        <f>VLOOKUP(Purchases!$A$14,'Cost Structure'!$B:$O,D1,0)*D6</f>
        <v>1980000</v>
      </c>
      <c r="E14" s="27">
        <f>VLOOKUP(Purchases!$A$14,'Cost Structure'!$B:$O,E1,0)*E6</f>
        <v>1980000</v>
      </c>
      <c r="F14" s="27">
        <f>VLOOKUP(Purchases!$A$14,'Cost Structure'!$B:$O,F1,0)*F6</f>
        <v>2420000</v>
      </c>
      <c r="G14" s="27">
        <f>VLOOKUP(Purchases!$A$14,'Cost Structure'!$B:$O,G1,0)*G6</f>
        <v>2200000</v>
      </c>
      <c r="H14" s="27">
        <f>VLOOKUP(Purchases!$A$14,'Cost Structure'!$B:$O,H1,0)*H6</f>
        <v>2420000</v>
      </c>
      <c r="I14" s="27">
        <f>VLOOKUP(Purchases!$A$14,'Cost Structure'!$B:$O,I1,0)*I6</f>
        <v>2310000</v>
      </c>
      <c r="J14" s="27">
        <f>VLOOKUP(Purchases!$A$14,'Cost Structure'!$B:$O,J1,0)*J6</f>
        <v>2090000</v>
      </c>
      <c r="K14" s="27">
        <f>VLOOKUP(Purchases!$A$14,'Cost Structure'!$B:$O,K1,0)*K6</f>
        <v>2200000</v>
      </c>
      <c r="L14" s="27">
        <f>VLOOKUP(Purchases!$A$14,'Cost Structure'!$B:$O,L1,0)*L6</f>
        <v>2310000</v>
      </c>
      <c r="M14" s="27">
        <f>VLOOKUP(Purchases!$A$14,'Cost Structure'!$B:$O,M1,0)*M6</f>
        <v>2090000</v>
      </c>
      <c r="N14" s="27">
        <f>VLOOKUP(Purchases!$A$14,'Cost Structure'!$B:$O,N1,0)*N6</f>
        <v>2310000</v>
      </c>
    </row>
    <row r="15" spans="1:14" customFormat="1" ht="15">
      <c r="A15" s="31" t="s">
        <v>11</v>
      </c>
      <c r="B15" s="31" t="str">
        <f>+VLOOKUP(A15,[1]Volumes!D:E,2,0)</f>
        <v>Supplier D</v>
      </c>
      <c r="C15" s="27">
        <f>VLOOKUP(Purchases!$A$15,'Cost Structure'!$B:$O,C1,0)*C7</f>
        <v>720000</v>
      </c>
      <c r="D15" s="27">
        <f>VLOOKUP(Purchases!$A$15,'Cost Structure'!$B:$O,D1,0)*D7</f>
        <v>855000</v>
      </c>
      <c r="E15" s="27">
        <f>VLOOKUP(Purchases!$A$15,'Cost Structure'!$B:$O,E1,0)*E7</f>
        <v>1020000</v>
      </c>
      <c r="F15" s="27">
        <f>VLOOKUP(Purchases!$A$15,'Cost Structure'!$B:$O,F1,0)*F7</f>
        <v>935000</v>
      </c>
      <c r="G15" s="27">
        <f>VLOOKUP(Purchases!$A$15,'Cost Structure'!$B:$O,G1,0)*G7</f>
        <v>1071000</v>
      </c>
      <c r="H15" s="27">
        <f>VLOOKUP(Purchases!$A$15,'Cost Structure'!$B:$O,H1,0)*H7</f>
        <v>884000</v>
      </c>
      <c r="I15" s="27">
        <f>VLOOKUP(Purchases!$A$15,'Cost Structure'!$B:$O,I1,0)*I7</f>
        <v>1400000</v>
      </c>
      <c r="J15" s="27">
        <f>VLOOKUP(Purchases!$A$15,'Cost Structure'!$B:$O,J1,0)*J7</f>
        <v>880000</v>
      </c>
      <c r="K15" s="27">
        <f>VLOOKUP(Purchases!$A$15,'Cost Structure'!$B:$O,K1,0)*K7</f>
        <v>720000</v>
      </c>
      <c r="L15" s="27">
        <f>VLOOKUP(Purchases!$A$15,'Cost Structure'!$B:$O,L1,0)*L7</f>
        <v>800000</v>
      </c>
      <c r="M15" s="27">
        <f>VLOOKUP(Purchases!$A$15,'Cost Structure'!$B:$O,M1,0)*M7</f>
        <v>800000</v>
      </c>
      <c r="N15" s="27">
        <f>VLOOKUP(Purchases!$A$15,'Cost Structure'!$B:$O,N1,0)*N7</f>
        <v>720000</v>
      </c>
    </row>
    <row r="16" spans="1:14" customFormat="1" ht="15">
      <c r="A16" s="31" t="s">
        <v>12</v>
      </c>
      <c r="B16" s="31" t="str">
        <f>+VLOOKUP(A16,[1]Volumes!D:E,2,0)</f>
        <v>Supplier D</v>
      </c>
      <c r="C16" s="27">
        <f>VLOOKUP(Purchases!$A$16,'Cost Structure'!$B:$O,C1,0)*C8</f>
        <v>1983695</v>
      </c>
      <c r="D16" s="27">
        <f>VLOOKUP(Purchases!$A$16,'Cost Structure'!$B:$O,D1,0)*D8</f>
        <v>2192505</v>
      </c>
      <c r="E16" s="27">
        <f>VLOOKUP(Purchases!$A$16,'Cost Structure'!$B:$O,E1,0)*E8</f>
        <v>3300000</v>
      </c>
      <c r="F16" s="27">
        <f>VLOOKUP(Purchases!$A$16,'Cost Structure'!$B:$O,F1,0)*F8</f>
        <v>2090000</v>
      </c>
      <c r="G16" s="27">
        <f>VLOOKUP(Purchases!$A$16,'Cost Structure'!$B:$O,G1,0)*G8</f>
        <v>2470000</v>
      </c>
      <c r="H16" s="27">
        <f>VLOOKUP(Purchases!$A$16,'Cost Structure'!$B:$O,H1,0)*H8</f>
        <v>1870000</v>
      </c>
      <c r="I16" s="27">
        <f>VLOOKUP(Purchases!$A$16,'Cost Structure'!$B:$O,I1,0)*I8</f>
        <v>2380000</v>
      </c>
      <c r="J16" s="27">
        <f>VLOOKUP(Purchases!$A$16,'Cost Structure'!$B:$O,J1,0)*J8</f>
        <v>2192505</v>
      </c>
      <c r="K16" s="27">
        <f>VLOOKUP(Purchases!$A$16,'Cost Structure'!$B:$O,K1,0)*K8</f>
        <v>1774885</v>
      </c>
      <c r="L16" s="27">
        <f>VLOOKUP(Purchases!$A$16,'Cost Structure'!$B:$O,L1,0)*L8</f>
        <v>1983695</v>
      </c>
      <c r="M16" s="27">
        <f>VLOOKUP(Purchases!$A$16,'Cost Structure'!$B:$O,M1,0)*M8</f>
        <v>1774885</v>
      </c>
      <c r="N16" s="27">
        <f>VLOOKUP(Purchases!$A$16,'Cost Structure'!$B:$O,N1,0)*N8</f>
        <v>1774885</v>
      </c>
    </row>
    <row r="17" spans="3:14" hidden="1">
      <c r="C17" s="96">
        <f t="shared" ref="C17:C22" si="0">C$10</f>
        <v>44563</v>
      </c>
      <c r="E17" s="45" t="s">
        <v>68</v>
      </c>
      <c r="G17" s="97">
        <f>HLOOKUP(C17,$A$10:$N$16,2,0)</f>
        <v>760000</v>
      </c>
      <c r="H17" s="45" t="s">
        <v>3</v>
      </c>
      <c r="I17" s="45" t="s">
        <v>123</v>
      </c>
    </row>
    <row r="18" spans="3:14" hidden="1">
      <c r="C18" s="96">
        <f t="shared" si="0"/>
        <v>44563</v>
      </c>
      <c r="E18" s="45" t="s">
        <v>68</v>
      </c>
      <c r="G18" s="97">
        <f>HLOOKUP(C18,$A$10:$N$16,3,0)</f>
        <v>810000</v>
      </c>
      <c r="H18" s="45" t="s">
        <v>4</v>
      </c>
      <c r="I18" s="45" t="s">
        <v>123</v>
      </c>
    </row>
    <row r="19" spans="3:14" hidden="1">
      <c r="C19" s="96">
        <f t="shared" si="0"/>
        <v>44563</v>
      </c>
      <c r="E19" s="45" t="s">
        <v>68</v>
      </c>
      <c r="G19" s="97">
        <f>HLOOKUP(C19,$A$10:$N$16,4,0)</f>
        <v>1900000</v>
      </c>
      <c r="H19" s="45" t="s">
        <v>5</v>
      </c>
      <c r="I19" s="97" t="s">
        <v>123</v>
      </c>
      <c r="J19" s="47"/>
      <c r="K19" s="47">
        <f>+SUM(C11:N16)</f>
        <v>107532055</v>
      </c>
    </row>
    <row r="20" spans="3:14" hidden="1">
      <c r="C20" s="96">
        <f t="shared" si="0"/>
        <v>44563</v>
      </c>
      <c r="E20" s="45" t="s">
        <v>68</v>
      </c>
      <c r="G20" s="97">
        <f>HLOOKUP(C20,$A$10:$N$16,5,0)</f>
        <v>2310000</v>
      </c>
      <c r="H20" s="45" t="s">
        <v>6</v>
      </c>
      <c r="I20" s="45" t="s">
        <v>124</v>
      </c>
    </row>
    <row r="21" spans="3:14" hidden="1">
      <c r="C21" s="96">
        <f t="shared" si="0"/>
        <v>44563</v>
      </c>
      <c r="E21" s="45" t="s">
        <v>68</v>
      </c>
      <c r="G21" s="97">
        <f>HLOOKUP(C21,$A$10:$N$16,6,0)</f>
        <v>720000</v>
      </c>
      <c r="H21" s="45" t="s">
        <v>11</v>
      </c>
      <c r="I21" s="45" t="s">
        <v>125</v>
      </c>
    </row>
    <row r="22" spans="3:14" hidden="1">
      <c r="C22" s="96">
        <f t="shared" si="0"/>
        <v>44563</v>
      </c>
      <c r="E22" s="45" t="s">
        <v>68</v>
      </c>
      <c r="G22" s="97">
        <f>HLOOKUP(C22,$A$10:$N$16,7,0)</f>
        <v>1983695</v>
      </c>
      <c r="H22" s="45" t="s">
        <v>12</v>
      </c>
      <c r="I22" s="45" t="s">
        <v>125</v>
      </c>
    </row>
    <row r="23" spans="3:14" hidden="1">
      <c r="C23" s="96">
        <f t="shared" ref="C23:C28" si="1">D$10</f>
        <v>44596</v>
      </c>
      <c r="E23" s="45" t="s">
        <v>68</v>
      </c>
      <c r="G23" s="97">
        <f>HLOOKUP(C23,$A$10:$N$16,2,0)</f>
        <v>800000</v>
      </c>
      <c r="H23" s="45" t="s">
        <v>3</v>
      </c>
      <c r="I23" s="45" t="s">
        <v>123</v>
      </c>
    </row>
    <row r="24" spans="3:14" hidden="1">
      <c r="C24" s="96">
        <f t="shared" si="1"/>
        <v>44596</v>
      </c>
      <c r="E24" s="45" t="s">
        <v>68</v>
      </c>
      <c r="G24" s="97">
        <f>HLOOKUP(C24,$A$10:$N$16,3,0)</f>
        <v>945000</v>
      </c>
      <c r="H24" s="45" t="s">
        <v>4</v>
      </c>
      <c r="I24" s="45" t="s">
        <v>123</v>
      </c>
    </row>
    <row r="25" spans="3:14" hidden="1">
      <c r="C25" s="96">
        <f t="shared" si="1"/>
        <v>44596</v>
      </c>
      <c r="E25" s="45" t="s">
        <v>68</v>
      </c>
      <c r="G25" s="97">
        <f>HLOOKUP(C25,$A$10:$N$16,4,0)</f>
        <v>1800000</v>
      </c>
      <c r="H25" s="45" t="s">
        <v>5</v>
      </c>
      <c r="I25" s="97" t="s">
        <v>123</v>
      </c>
    </row>
    <row r="26" spans="3:14" hidden="1">
      <c r="C26" s="96">
        <f t="shared" si="1"/>
        <v>44596</v>
      </c>
      <c r="E26" s="45" t="s">
        <v>68</v>
      </c>
      <c r="G26" s="97">
        <f>HLOOKUP(C26,$A$10:$N$16,5,0)</f>
        <v>1980000</v>
      </c>
      <c r="H26" s="45" t="s">
        <v>6</v>
      </c>
      <c r="I26" s="45" t="s">
        <v>124</v>
      </c>
    </row>
    <row r="27" spans="3:14" hidden="1">
      <c r="C27" s="96">
        <f t="shared" si="1"/>
        <v>44596</v>
      </c>
      <c r="E27" s="45" t="s">
        <v>68</v>
      </c>
      <c r="G27" s="97">
        <f>HLOOKUP(C27,$A$10:$N$16,6,0)</f>
        <v>855000</v>
      </c>
      <c r="H27" s="45" t="s">
        <v>11</v>
      </c>
      <c r="I27" s="45" t="s">
        <v>125</v>
      </c>
      <c r="J27" s="47"/>
      <c r="K27" s="47"/>
      <c r="L27" s="47"/>
      <c r="M27" s="47"/>
      <c r="N27" s="47"/>
    </row>
    <row r="28" spans="3:14" hidden="1">
      <c r="C28" s="96">
        <f t="shared" si="1"/>
        <v>44596</v>
      </c>
      <c r="E28" s="45" t="s">
        <v>68</v>
      </c>
      <c r="G28" s="97">
        <f>HLOOKUP(C28,$A$10:$N$16,7,0)</f>
        <v>2192505</v>
      </c>
      <c r="H28" s="45" t="s">
        <v>12</v>
      </c>
      <c r="I28" s="45" t="s">
        <v>125</v>
      </c>
      <c r="J28" s="47"/>
      <c r="K28" s="47"/>
      <c r="L28" s="47"/>
      <c r="M28" s="47"/>
      <c r="N28" s="47"/>
    </row>
    <row r="29" spans="3:14" hidden="1">
      <c r="C29" s="96">
        <f t="shared" ref="C29:C34" si="2">E$10</f>
        <v>44624</v>
      </c>
      <c r="E29" s="45" t="s">
        <v>68</v>
      </c>
      <c r="G29" s="97">
        <f>HLOOKUP(C29,$A$10:$N$16,2,0)</f>
        <v>760000</v>
      </c>
      <c r="H29" s="45" t="s">
        <v>3</v>
      </c>
      <c r="I29" s="45" t="s">
        <v>123</v>
      </c>
      <c r="J29" s="47"/>
      <c r="K29" s="47"/>
      <c r="L29" s="47"/>
      <c r="M29" s="47"/>
      <c r="N29" s="47"/>
    </row>
    <row r="30" spans="3:14" hidden="1">
      <c r="C30" s="96">
        <f t="shared" si="2"/>
        <v>44624</v>
      </c>
      <c r="E30" s="45" t="s">
        <v>68</v>
      </c>
      <c r="G30" s="97">
        <f>HLOOKUP(C30,$A$10:$N$16,3,0)</f>
        <v>855000</v>
      </c>
      <c r="H30" s="45" t="s">
        <v>4</v>
      </c>
      <c r="I30" s="45" t="s">
        <v>123</v>
      </c>
      <c r="J30" s="47"/>
      <c r="K30" s="47"/>
      <c r="L30" s="47"/>
      <c r="M30" s="47"/>
      <c r="N30" s="47"/>
    </row>
    <row r="31" spans="3:14" hidden="1">
      <c r="C31" s="96">
        <f t="shared" si="2"/>
        <v>44624</v>
      </c>
      <c r="E31" s="45" t="s">
        <v>68</v>
      </c>
      <c r="G31" s="97">
        <f>HLOOKUP(C31,$A$10:$N$16,4,0)</f>
        <v>2000000</v>
      </c>
      <c r="H31" s="45" t="s">
        <v>5</v>
      </c>
      <c r="I31" s="97" t="s">
        <v>123</v>
      </c>
      <c r="J31" s="47"/>
      <c r="K31" s="47"/>
      <c r="L31" s="47"/>
      <c r="M31" s="47"/>
      <c r="N31" s="47"/>
    </row>
    <row r="32" spans="3:14" hidden="1">
      <c r="C32" s="96">
        <f t="shared" si="2"/>
        <v>44624</v>
      </c>
      <c r="E32" s="45" t="s">
        <v>68</v>
      </c>
      <c r="G32" s="97">
        <f>HLOOKUP(C32,$A$10:$N$16,5,0)</f>
        <v>1980000</v>
      </c>
      <c r="H32" s="45" t="s">
        <v>6</v>
      </c>
      <c r="I32" s="45" t="s">
        <v>124</v>
      </c>
      <c r="J32" s="47"/>
      <c r="K32" s="47"/>
      <c r="L32" s="47"/>
      <c r="M32" s="47"/>
      <c r="N32" s="47"/>
    </row>
    <row r="33" spans="3:14" hidden="1">
      <c r="C33" s="96">
        <f t="shared" si="2"/>
        <v>44624</v>
      </c>
      <c r="E33" s="45" t="s">
        <v>68</v>
      </c>
      <c r="G33" s="97">
        <f>HLOOKUP(C33,$A$10:$N$16,6,0)</f>
        <v>1020000</v>
      </c>
      <c r="H33" s="45" t="s">
        <v>11</v>
      </c>
      <c r="I33" s="45" t="s">
        <v>125</v>
      </c>
      <c r="J33" s="47"/>
      <c r="K33" s="47"/>
      <c r="L33" s="47"/>
      <c r="M33" s="47"/>
      <c r="N33" s="47"/>
    </row>
    <row r="34" spans="3:14" hidden="1">
      <c r="C34" s="96">
        <f t="shared" si="2"/>
        <v>44624</v>
      </c>
      <c r="E34" s="45" t="s">
        <v>68</v>
      </c>
      <c r="G34" s="97">
        <f>HLOOKUP(C34,$A$10:$N$16,7,0)</f>
        <v>3300000</v>
      </c>
      <c r="H34" s="45" t="s">
        <v>12</v>
      </c>
      <c r="I34" s="45" t="s">
        <v>125</v>
      </c>
      <c r="J34" s="47"/>
      <c r="K34" s="47"/>
      <c r="L34" s="47"/>
      <c r="M34" s="47"/>
      <c r="N34" s="47"/>
    </row>
    <row r="35" spans="3:14" hidden="1">
      <c r="C35" s="96">
        <f t="shared" ref="C35:C40" si="3">F$10</f>
        <v>44658</v>
      </c>
      <c r="E35" s="45" t="s">
        <v>68</v>
      </c>
      <c r="G35" s="97">
        <f>HLOOKUP(C35,$A$10:$N$16,2,0)</f>
        <v>800000</v>
      </c>
      <c r="H35" s="45" t="s">
        <v>3</v>
      </c>
      <c r="I35" s="45" t="s">
        <v>123</v>
      </c>
    </row>
    <row r="36" spans="3:14" hidden="1">
      <c r="C36" s="96">
        <f t="shared" si="3"/>
        <v>44658</v>
      </c>
      <c r="E36" s="45" t="s">
        <v>68</v>
      </c>
      <c r="G36" s="97">
        <f>HLOOKUP(C36,$A$10:$N$16,3,0)</f>
        <v>945000</v>
      </c>
      <c r="H36" s="45" t="s">
        <v>4</v>
      </c>
      <c r="I36" s="45" t="s">
        <v>123</v>
      </c>
    </row>
    <row r="37" spans="3:14" hidden="1">
      <c r="C37" s="96">
        <f t="shared" si="3"/>
        <v>44658</v>
      </c>
      <c r="E37" s="45" t="s">
        <v>68</v>
      </c>
      <c r="G37" s="97">
        <f>HLOOKUP(C37,$A$10:$N$16,4,0)</f>
        <v>2375000</v>
      </c>
      <c r="H37" s="45" t="s">
        <v>5</v>
      </c>
      <c r="I37" s="97" t="s">
        <v>123</v>
      </c>
    </row>
    <row r="38" spans="3:14" hidden="1">
      <c r="C38" s="96">
        <f t="shared" si="3"/>
        <v>44658</v>
      </c>
      <c r="E38" s="45" t="s">
        <v>68</v>
      </c>
      <c r="G38" s="97">
        <f>HLOOKUP(C38,$A$10:$N$16,5,0)</f>
        <v>2420000</v>
      </c>
      <c r="H38" s="45" t="s">
        <v>6</v>
      </c>
      <c r="I38" s="45" t="s">
        <v>124</v>
      </c>
    </row>
    <row r="39" spans="3:14" hidden="1">
      <c r="C39" s="96">
        <f t="shared" si="3"/>
        <v>44658</v>
      </c>
      <c r="E39" s="45" t="s">
        <v>68</v>
      </c>
      <c r="G39" s="97">
        <f>HLOOKUP(C39,$A$10:$N$16,6,0)</f>
        <v>935000</v>
      </c>
      <c r="H39" s="45" t="s">
        <v>11</v>
      </c>
      <c r="I39" s="45" t="s">
        <v>125</v>
      </c>
    </row>
    <row r="40" spans="3:14" hidden="1">
      <c r="C40" s="96">
        <f t="shared" si="3"/>
        <v>44658</v>
      </c>
      <c r="E40" s="45" t="s">
        <v>68</v>
      </c>
      <c r="G40" s="97">
        <f>HLOOKUP(C40,$A$10:$N$16,7,0)</f>
        <v>2090000</v>
      </c>
      <c r="H40" s="45" t="s">
        <v>12</v>
      </c>
      <c r="I40" s="45" t="s">
        <v>125</v>
      </c>
    </row>
    <row r="41" spans="3:14" hidden="1">
      <c r="C41" s="96">
        <f t="shared" ref="C41:C46" si="4">G$10</f>
        <v>44682</v>
      </c>
      <c r="E41" s="45" t="s">
        <v>68</v>
      </c>
      <c r="G41" s="97">
        <f>HLOOKUP(C41,$A$10:$N$16,2,0)</f>
        <v>720000</v>
      </c>
      <c r="H41" s="45" t="s">
        <v>3</v>
      </c>
      <c r="I41" s="45" t="s">
        <v>123</v>
      </c>
    </row>
    <row r="42" spans="3:14" hidden="1">
      <c r="C42" s="96">
        <f t="shared" si="4"/>
        <v>44682</v>
      </c>
      <c r="E42" s="45" t="s">
        <v>68</v>
      </c>
      <c r="G42" s="97">
        <f>HLOOKUP(C42,$A$10:$N$16,3,0)</f>
        <v>945000</v>
      </c>
      <c r="H42" s="45" t="s">
        <v>4</v>
      </c>
      <c r="I42" s="45" t="s">
        <v>123</v>
      </c>
    </row>
    <row r="43" spans="3:14" hidden="1">
      <c r="C43" s="96">
        <f t="shared" si="4"/>
        <v>44682</v>
      </c>
      <c r="E43" s="45" t="s">
        <v>68</v>
      </c>
      <c r="G43" s="97">
        <f>HLOOKUP(C43,$A$10:$N$16,4,0)</f>
        <v>2200000</v>
      </c>
      <c r="H43" s="45" t="s">
        <v>5</v>
      </c>
      <c r="I43" s="97" t="s">
        <v>123</v>
      </c>
    </row>
    <row r="44" spans="3:14" hidden="1">
      <c r="C44" s="96">
        <f t="shared" si="4"/>
        <v>44682</v>
      </c>
      <c r="E44" s="45" t="s">
        <v>68</v>
      </c>
      <c r="G44" s="97">
        <f>HLOOKUP(C44,$A$10:$N$16,5,0)</f>
        <v>2200000</v>
      </c>
      <c r="H44" s="45" t="s">
        <v>6</v>
      </c>
      <c r="I44" s="45" t="s">
        <v>124</v>
      </c>
    </row>
    <row r="45" spans="3:14" hidden="1">
      <c r="C45" s="96">
        <f t="shared" si="4"/>
        <v>44682</v>
      </c>
      <c r="E45" s="45" t="s">
        <v>68</v>
      </c>
      <c r="G45" s="97">
        <f>HLOOKUP(C45,$A$10:$N$16,6,0)</f>
        <v>1071000</v>
      </c>
      <c r="H45" s="45" t="s">
        <v>11</v>
      </c>
      <c r="I45" s="45" t="s">
        <v>125</v>
      </c>
    </row>
    <row r="46" spans="3:14" hidden="1">
      <c r="C46" s="96">
        <f t="shared" si="4"/>
        <v>44682</v>
      </c>
      <c r="E46" s="45" t="s">
        <v>68</v>
      </c>
      <c r="G46" s="97">
        <f>HLOOKUP(C46,$A$10:$N$16,7,0)</f>
        <v>2470000</v>
      </c>
      <c r="H46" s="45" t="s">
        <v>12</v>
      </c>
      <c r="I46" s="45" t="s">
        <v>125</v>
      </c>
    </row>
    <row r="47" spans="3:14" hidden="1">
      <c r="C47" s="96">
        <f t="shared" ref="C47:C52" si="5">H$10</f>
        <v>44717</v>
      </c>
      <c r="E47" s="45" t="s">
        <v>68</v>
      </c>
      <c r="G47" s="97">
        <f>HLOOKUP(C47,$A$10:$N$16,2,0)</f>
        <v>800000</v>
      </c>
      <c r="H47" s="45" t="s">
        <v>3</v>
      </c>
      <c r="I47" s="45" t="s">
        <v>123</v>
      </c>
    </row>
    <row r="48" spans="3:14" hidden="1">
      <c r="C48" s="96">
        <f t="shared" si="5"/>
        <v>44717</v>
      </c>
      <c r="E48" s="45" t="s">
        <v>68</v>
      </c>
      <c r="G48" s="97">
        <f>HLOOKUP(C48,$A$10:$N$16,3,0)</f>
        <v>810000</v>
      </c>
      <c r="H48" s="45" t="s">
        <v>4</v>
      </c>
      <c r="I48" s="45" t="s">
        <v>123</v>
      </c>
    </row>
    <row r="49" spans="3:9" hidden="1">
      <c r="C49" s="96">
        <f t="shared" si="5"/>
        <v>44717</v>
      </c>
      <c r="E49" s="45" t="s">
        <v>68</v>
      </c>
      <c r="G49" s="97">
        <f>HLOOKUP(C49,$A$10:$N$16,4,0)</f>
        <v>2210000</v>
      </c>
      <c r="H49" s="45" t="s">
        <v>5</v>
      </c>
      <c r="I49" s="97" t="s">
        <v>123</v>
      </c>
    </row>
    <row r="50" spans="3:9" hidden="1">
      <c r="C50" s="96">
        <f t="shared" si="5"/>
        <v>44717</v>
      </c>
      <c r="E50" s="45" t="s">
        <v>68</v>
      </c>
      <c r="G50" s="97">
        <f>HLOOKUP(C50,$A$10:$N$16,5,0)</f>
        <v>2420000</v>
      </c>
      <c r="H50" s="45" t="s">
        <v>6</v>
      </c>
      <c r="I50" s="45" t="s">
        <v>124</v>
      </c>
    </row>
    <row r="51" spans="3:9" hidden="1">
      <c r="C51" s="96">
        <f t="shared" si="5"/>
        <v>44717</v>
      </c>
      <c r="E51" s="45" t="s">
        <v>68</v>
      </c>
      <c r="G51" s="97">
        <f>HLOOKUP(C51,$A$10:$N$16,6,0)</f>
        <v>884000</v>
      </c>
      <c r="H51" s="45" t="s">
        <v>11</v>
      </c>
      <c r="I51" s="45" t="s">
        <v>125</v>
      </c>
    </row>
    <row r="52" spans="3:9" hidden="1">
      <c r="C52" s="96">
        <f t="shared" si="5"/>
        <v>44717</v>
      </c>
      <c r="E52" s="45" t="s">
        <v>68</v>
      </c>
      <c r="G52" s="97">
        <f>HLOOKUP(C52,$A$10:$N$16,7,0)</f>
        <v>1870000</v>
      </c>
      <c r="H52" s="45" t="s">
        <v>12</v>
      </c>
      <c r="I52" s="45" t="s">
        <v>125</v>
      </c>
    </row>
    <row r="53" spans="3:9" hidden="1">
      <c r="C53" s="96">
        <f t="shared" ref="C53:C58" si="6">I$10</f>
        <v>44746</v>
      </c>
      <c r="E53" s="45" t="s">
        <v>68</v>
      </c>
      <c r="G53" s="97">
        <f>HLOOKUP(C53,$A$10:$N$16,2,0)</f>
        <v>760000</v>
      </c>
      <c r="H53" s="45" t="s">
        <v>3</v>
      </c>
      <c r="I53" s="45" t="s">
        <v>123</v>
      </c>
    </row>
    <row r="54" spans="3:9" hidden="1">
      <c r="C54" s="96">
        <f t="shared" si="6"/>
        <v>44746</v>
      </c>
      <c r="E54" s="45" t="s">
        <v>68</v>
      </c>
      <c r="G54" s="97">
        <f>HLOOKUP(C54,$A$10:$N$16,3,0)</f>
        <v>900000</v>
      </c>
      <c r="H54" s="45" t="s">
        <v>4</v>
      </c>
      <c r="I54" s="45" t="s">
        <v>123</v>
      </c>
    </row>
    <row r="55" spans="3:9" hidden="1">
      <c r="C55" s="96">
        <f t="shared" si="6"/>
        <v>44746</v>
      </c>
      <c r="E55" s="45" t="s">
        <v>68</v>
      </c>
      <c r="G55" s="97">
        <f>HLOOKUP(C55,$A$10:$N$16,4,0)</f>
        <v>2100000</v>
      </c>
      <c r="H55" s="45" t="s">
        <v>5</v>
      </c>
      <c r="I55" s="97" t="s">
        <v>123</v>
      </c>
    </row>
    <row r="56" spans="3:9" hidden="1">
      <c r="C56" s="96">
        <f t="shared" si="6"/>
        <v>44746</v>
      </c>
      <c r="E56" s="45" t="s">
        <v>68</v>
      </c>
      <c r="G56" s="97">
        <f>HLOOKUP(C56,$A$10:$N$16,5,0)</f>
        <v>2310000</v>
      </c>
      <c r="H56" s="45" t="s">
        <v>6</v>
      </c>
      <c r="I56" s="45" t="s">
        <v>124</v>
      </c>
    </row>
    <row r="57" spans="3:9" hidden="1">
      <c r="C57" s="96">
        <f t="shared" si="6"/>
        <v>44746</v>
      </c>
      <c r="E57" s="45" t="s">
        <v>68</v>
      </c>
      <c r="G57" s="97">
        <f>HLOOKUP(C57,$A$10:$N$16,6,0)</f>
        <v>1400000</v>
      </c>
      <c r="H57" s="45" t="s">
        <v>11</v>
      </c>
      <c r="I57" s="45" t="s">
        <v>125</v>
      </c>
    </row>
    <row r="58" spans="3:9" hidden="1">
      <c r="C58" s="96">
        <f t="shared" si="6"/>
        <v>44746</v>
      </c>
      <c r="E58" s="45" t="s">
        <v>68</v>
      </c>
      <c r="G58" s="97">
        <f>HLOOKUP(C58,$A$10:$N$16,7,0)</f>
        <v>2380000</v>
      </c>
      <c r="H58" s="45" t="s">
        <v>12</v>
      </c>
      <c r="I58" s="45" t="s">
        <v>125</v>
      </c>
    </row>
    <row r="59" spans="3:9" hidden="1">
      <c r="C59" s="96">
        <f t="shared" ref="C59:C64" si="7">J$10</f>
        <v>44774</v>
      </c>
      <c r="E59" s="45" t="s">
        <v>68</v>
      </c>
      <c r="G59" s="97">
        <f>HLOOKUP(C59,$A$10:$N$16,2,0)</f>
        <v>800000</v>
      </c>
      <c r="H59" s="45" t="s">
        <v>3</v>
      </c>
      <c r="I59" s="45" t="s">
        <v>123</v>
      </c>
    </row>
    <row r="60" spans="3:9" hidden="1">
      <c r="C60" s="96">
        <f t="shared" si="7"/>
        <v>44774</v>
      </c>
      <c r="E60" s="45" t="s">
        <v>68</v>
      </c>
      <c r="G60" s="97">
        <f>HLOOKUP(C60,$A$10:$N$16,3,0)</f>
        <v>810000</v>
      </c>
      <c r="H60" s="45" t="s">
        <v>4</v>
      </c>
      <c r="I60" s="45" t="s">
        <v>123</v>
      </c>
    </row>
    <row r="61" spans="3:9" hidden="1">
      <c r="C61" s="96">
        <f t="shared" si="7"/>
        <v>44774</v>
      </c>
      <c r="E61" s="45" t="s">
        <v>68</v>
      </c>
      <c r="G61" s="97">
        <f>HLOOKUP(C61,$A$10:$N$16,4,0)</f>
        <v>2000000</v>
      </c>
      <c r="H61" s="45" t="s">
        <v>5</v>
      </c>
      <c r="I61" s="97" t="s">
        <v>123</v>
      </c>
    </row>
    <row r="62" spans="3:9" hidden="1">
      <c r="C62" s="96">
        <f t="shared" si="7"/>
        <v>44774</v>
      </c>
      <c r="E62" s="45" t="s">
        <v>68</v>
      </c>
      <c r="G62" s="97">
        <f>HLOOKUP(C62,$A$10:$N$16,5,0)</f>
        <v>2090000</v>
      </c>
      <c r="H62" s="45" t="s">
        <v>6</v>
      </c>
      <c r="I62" s="45" t="s">
        <v>124</v>
      </c>
    </row>
    <row r="63" spans="3:9" hidden="1">
      <c r="C63" s="96">
        <f t="shared" si="7"/>
        <v>44774</v>
      </c>
      <c r="E63" s="45" t="s">
        <v>68</v>
      </c>
      <c r="G63" s="97">
        <f>HLOOKUP(C63,$A$10:$N$16,6,0)</f>
        <v>880000</v>
      </c>
      <c r="H63" s="45" t="s">
        <v>11</v>
      </c>
      <c r="I63" s="45" t="s">
        <v>125</v>
      </c>
    </row>
    <row r="64" spans="3:9" hidden="1">
      <c r="C64" s="96">
        <f t="shared" si="7"/>
        <v>44774</v>
      </c>
      <c r="E64" s="45" t="s">
        <v>68</v>
      </c>
      <c r="G64" s="97">
        <f>HLOOKUP(C64,$A$10:$N$16,7,0)</f>
        <v>2192505</v>
      </c>
      <c r="H64" s="45" t="s">
        <v>12</v>
      </c>
      <c r="I64" s="45" t="s">
        <v>125</v>
      </c>
    </row>
    <row r="65" spans="3:9" hidden="1">
      <c r="C65" s="96">
        <f t="shared" ref="C65:C70" si="8">K$10</f>
        <v>44810</v>
      </c>
      <c r="E65" s="45" t="s">
        <v>68</v>
      </c>
      <c r="G65" s="97">
        <f>HLOOKUP(C65,$A$10:$N$16,2,0)</f>
        <v>840000</v>
      </c>
      <c r="H65" s="45" t="s">
        <v>3</v>
      </c>
      <c r="I65" s="45" t="s">
        <v>123</v>
      </c>
    </row>
    <row r="66" spans="3:9" hidden="1">
      <c r="C66" s="96">
        <f t="shared" si="8"/>
        <v>44810</v>
      </c>
      <c r="E66" s="45" t="s">
        <v>68</v>
      </c>
      <c r="G66" s="97">
        <f>HLOOKUP(C66,$A$10:$N$16,3,0)</f>
        <v>945000</v>
      </c>
      <c r="H66" s="45" t="s">
        <v>4</v>
      </c>
      <c r="I66" s="45" t="s">
        <v>123</v>
      </c>
    </row>
    <row r="67" spans="3:9" hidden="1">
      <c r="C67" s="96">
        <f t="shared" si="8"/>
        <v>44810</v>
      </c>
      <c r="E67" s="45" t="s">
        <v>68</v>
      </c>
      <c r="G67" s="97">
        <f>HLOOKUP(C67,$A$10:$N$16,4,0)</f>
        <v>2200000</v>
      </c>
      <c r="H67" s="45" t="s">
        <v>5</v>
      </c>
      <c r="I67" s="97" t="s">
        <v>123</v>
      </c>
    </row>
    <row r="68" spans="3:9" hidden="1">
      <c r="C68" s="96">
        <f t="shared" si="8"/>
        <v>44810</v>
      </c>
      <c r="E68" s="45" t="s">
        <v>68</v>
      </c>
      <c r="G68" s="97">
        <f>HLOOKUP(C68,$A$10:$N$16,5,0)</f>
        <v>2200000</v>
      </c>
      <c r="H68" s="45" t="s">
        <v>6</v>
      </c>
      <c r="I68" s="45" t="s">
        <v>124</v>
      </c>
    </row>
    <row r="69" spans="3:9" hidden="1">
      <c r="C69" s="96">
        <f t="shared" si="8"/>
        <v>44810</v>
      </c>
      <c r="E69" s="45" t="s">
        <v>68</v>
      </c>
      <c r="G69" s="97">
        <f>HLOOKUP(C69,$A$10:$N$16,6,0)</f>
        <v>720000</v>
      </c>
      <c r="H69" s="45" t="s">
        <v>11</v>
      </c>
      <c r="I69" s="45" t="s">
        <v>125</v>
      </c>
    </row>
    <row r="70" spans="3:9" hidden="1">
      <c r="C70" s="96">
        <f t="shared" si="8"/>
        <v>44810</v>
      </c>
      <c r="E70" s="45" t="s">
        <v>68</v>
      </c>
      <c r="G70" s="97">
        <f>HLOOKUP(C70,$A$10:$N$16,7,0)</f>
        <v>1774885</v>
      </c>
      <c r="H70" s="45" t="s">
        <v>12</v>
      </c>
      <c r="I70" s="45" t="s">
        <v>125</v>
      </c>
    </row>
    <row r="71" spans="3:9" hidden="1">
      <c r="C71" s="96">
        <f t="shared" ref="C71:C76" si="9">L$10</f>
        <v>44837</v>
      </c>
      <c r="E71" s="45" t="s">
        <v>68</v>
      </c>
      <c r="G71" s="97">
        <f>HLOOKUP(C71,$A$10:$N$16,2,0)</f>
        <v>720000</v>
      </c>
      <c r="H71" s="45" t="s">
        <v>3</v>
      </c>
      <c r="I71" s="45" t="s">
        <v>123</v>
      </c>
    </row>
    <row r="72" spans="3:9" hidden="1">
      <c r="C72" s="96">
        <f t="shared" si="9"/>
        <v>44837</v>
      </c>
      <c r="E72" s="45" t="s">
        <v>68</v>
      </c>
      <c r="G72" s="97">
        <f>HLOOKUP(C72,$A$10:$N$16,3,0)</f>
        <v>855000</v>
      </c>
      <c r="H72" s="45" t="s">
        <v>4</v>
      </c>
      <c r="I72" s="45" t="s">
        <v>123</v>
      </c>
    </row>
    <row r="73" spans="3:9" hidden="1">
      <c r="C73" s="96">
        <f t="shared" si="9"/>
        <v>44837</v>
      </c>
      <c r="E73" s="45" t="s">
        <v>68</v>
      </c>
      <c r="G73" s="97">
        <f>HLOOKUP(C73,$A$10:$N$16,4,0)</f>
        <v>2000000</v>
      </c>
      <c r="H73" s="45" t="s">
        <v>5</v>
      </c>
      <c r="I73" s="97" t="s">
        <v>123</v>
      </c>
    </row>
    <row r="74" spans="3:9" hidden="1">
      <c r="C74" s="96">
        <f t="shared" si="9"/>
        <v>44837</v>
      </c>
      <c r="E74" s="45" t="s">
        <v>68</v>
      </c>
      <c r="G74" s="97">
        <f>HLOOKUP(C74,$A$10:$N$16,5,0)</f>
        <v>2310000</v>
      </c>
      <c r="H74" s="45" t="s">
        <v>6</v>
      </c>
      <c r="I74" s="45" t="s">
        <v>124</v>
      </c>
    </row>
    <row r="75" spans="3:9" hidden="1">
      <c r="C75" s="96">
        <f t="shared" si="9"/>
        <v>44837</v>
      </c>
      <c r="E75" s="45" t="s">
        <v>68</v>
      </c>
      <c r="G75" s="97">
        <f>HLOOKUP(C75,$A$10:$N$16,6,0)</f>
        <v>800000</v>
      </c>
      <c r="H75" s="45" t="s">
        <v>11</v>
      </c>
      <c r="I75" s="45" t="s">
        <v>125</v>
      </c>
    </row>
    <row r="76" spans="3:9" hidden="1">
      <c r="C76" s="96">
        <f t="shared" si="9"/>
        <v>44837</v>
      </c>
      <c r="E76" s="45" t="s">
        <v>68</v>
      </c>
      <c r="G76" s="97">
        <f>HLOOKUP(C76,$A$10:$N$16,7,0)</f>
        <v>1983695</v>
      </c>
      <c r="H76" s="45" t="s">
        <v>12</v>
      </c>
      <c r="I76" s="45" t="s">
        <v>125</v>
      </c>
    </row>
    <row r="77" spans="3:9" hidden="1">
      <c r="C77" s="96">
        <f t="shared" ref="C77:C82" si="10">M$10</f>
        <v>44866</v>
      </c>
      <c r="E77" s="45" t="s">
        <v>68</v>
      </c>
      <c r="G77" s="97">
        <f>HLOOKUP(C77,$A$10:$N$16,2,0)</f>
        <v>880000</v>
      </c>
      <c r="H77" s="45" t="s">
        <v>3</v>
      </c>
      <c r="I77" s="45" t="s">
        <v>123</v>
      </c>
    </row>
    <row r="78" spans="3:9" hidden="1">
      <c r="C78" s="96">
        <f t="shared" si="10"/>
        <v>44866</v>
      </c>
      <c r="E78" s="45" t="s">
        <v>68</v>
      </c>
      <c r="G78" s="97">
        <f>HLOOKUP(C78,$A$10:$N$16,3,0)</f>
        <v>765000</v>
      </c>
      <c r="H78" s="45" t="s">
        <v>4</v>
      </c>
      <c r="I78" s="45" t="s">
        <v>123</v>
      </c>
    </row>
    <row r="79" spans="3:9" hidden="1">
      <c r="C79" s="96">
        <f t="shared" si="10"/>
        <v>44866</v>
      </c>
      <c r="E79" s="45" t="s">
        <v>68</v>
      </c>
      <c r="G79" s="97">
        <f>HLOOKUP(C79,$A$10:$N$16,4,0)</f>
        <v>1800000</v>
      </c>
      <c r="H79" s="45" t="s">
        <v>5</v>
      </c>
      <c r="I79" s="97" t="s">
        <v>123</v>
      </c>
    </row>
    <row r="80" spans="3:9" hidden="1">
      <c r="C80" s="96">
        <f t="shared" si="10"/>
        <v>44866</v>
      </c>
      <c r="E80" s="45" t="s">
        <v>68</v>
      </c>
      <c r="G80" s="97">
        <f>HLOOKUP(C80,$A$10:$N$16,5,0)</f>
        <v>2090000</v>
      </c>
      <c r="H80" s="45" t="s">
        <v>6</v>
      </c>
      <c r="I80" s="45" t="s">
        <v>124</v>
      </c>
    </row>
    <row r="81" spans="3:14" hidden="1">
      <c r="C81" s="96">
        <f t="shared" si="10"/>
        <v>44866</v>
      </c>
      <c r="E81" s="45" t="s">
        <v>68</v>
      </c>
      <c r="G81" s="97">
        <f>HLOOKUP(C81,$A$10:$N$16,6,0)</f>
        <v>800000</v>
      </c>
      <c r="H81" s="45" t="s">
        <v>11</v>
      </c>
      <c r="I81" s="45" t="s">
        <v>125</v>
      </c>
    </row>
    <row r="82" spans="3:14" hidden="1">
      <c r="C82" s="96">
        <f t="shared" si="10"/>
        <v>44866</v>
      </c>
      <c r="E82" s="45" t="s">
        <v>68</v>
      </c>
      <c r="G82" s="97">
        <f>HLOOKUP(C82,$A$10:$N$16,7,0)</f>
        <v>1774885</v>
      </c>
      <c r="H82" s="45" t="s">
        <v>12</v>
      </c>
      <c r="I82" s="45" t="s">
        <v>125</v>
      </c>
    </row>
    <row r="83" spans="3:14" hidden="1">
      <c r="C83" s="96">
        <f t="shared" ref="C83:C88" si="11">N$10</f>
        <v>44900</v>
      </c>
      <c r="E83" s="45" t="s">
        <v>68</v>
      </c>
      <c r="G83" s="97">
        <f>HLOOKUP(C83,$A$10:$N$16,2,0)</f>
        <v>720000</v>
      </c>
      <c r="H83" s="45" t="s">
        <v>3</v>
      </c>
      <c r="I83" s="45" t="s">
        <v>123</v>
      </c>
    </row>
    <row r="84" spans="3:14" hidden="1">
      <c r="C84" s="96">
        <f t="shared" si="11"/>
        <v>44900</v>
      </c>
      <c r="E84" s="45" t="s">
        <v>68</v>
      </c>
      <c r="G84" s="97">
        <f>HLOOKUP(C84,$A$10:$N$16,3,0)</f>
        <v>990000</v>
      </c>
      <c r="H84" s="45" t="s">
        <v>4</v>
      </c>
      <c r="I84" s="45" t="s">
        <v>123</v>
      </c>
    </row>
    <row r="85" spans="3:14" hidden="1">
      <c r="C85" s="96">
        <f t="shared" si="11"/>
        <v>44900</v>
      </c>
      <c r="E85" s="45" t="s">
        <v>68</v>
      </c>
      <c r="G85" s="97">
        <f>HLOOKUP(C85,$A$10:$N$16,4,0)</f>
        <v>1800000</v>
      </c>
      <c r="H85" s="45" t="s">
        <v>5</v>
      </c>
      <c r="I85" s="97" t="s">
        <v>123</v>
      </c>
    </row>
    <row r="86" spans="3:14" hidden="1">
      <c r="C86" s="96">
        <f t="shared" si="11"/>
        <v>44900</v>
      </c>
      <c r="E86" s="45" t="s">
        <v>68</v>
      </c>
      <c r="G86" s="97">
        <f>HLOOKUP(C86,$A$10:$N$16,5,0)</f>
        <v>2310000</v>
      </c>
      <c r="H86" s="45" t="s">
        <v>6</v>
      </c>
      <c r="I86" s="45" t="s">
        <v>124</v>
      </c>
    </row>
    <row r="87" spans="3:14" hidden="1">
      <c r="C87" s="96">
        <f t="shared" si="11"/>
        <v>44900</v>
      </c>
      <c r="E87" s="45" t="s">
        <v>68</v>
      </c>
      <c r="G87" s="97">
        <f>HLOOKUP(C87,$A$10:$N$16,6,0)</f>
        <v>720000</v>
      </c>
      <c r="H87" s="45" t="s">
        <v>11</v>
      </c>
      <c r="I87" s="45" t="s">
        <v>125</v>
      </c>
    </row>
    <row r="88" spans="3:14" hidden="1">
      <c r="C88" s="96">
        <f t="shared" si="11"/>
        <v>44900</v>
      </c>
      <c r="E88" s="45" t="s">
        <v>68</v>
      </c>
      <c r="G88" s="97">
        <f>HLOOKUP(C88,$A$10:$N$16,7,0)</f>
        <v>1774885</v>
      </c>
      <c r="H88" s="45" t="s">
        <v>12</v>
      </c>
      <c r="I88" s="45" t="s">
        <v>125</v>
      </c>
    </row>
    <row r="89" spans="3:14" hidden="1">
      <c r="C89" s="47"/>
      <c r="D89" s="47"/>
      <c r="E89" s="47"/>
      <c r="F89" s="47"/>
      <c r="G89" s="47"/>
      <c r="H89" s="47"/>
      <c r="I89" s="47"/>
      <c r="J89" s="47"/>
      <c r="K89" s="47"/>
      <c r="L89" s="47"/>
      <c r="M89" s="47"/>
      <c r="N89" s="47"/>
    </row>
  </sheetData>
  <phoneticPr fontId="6"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92C79-AB04-4EA8-AC71-7EBD94A7D19A}">
  <sheetPr codeName="Sheet51"/>
  <dimension ref="A1:O13"/>
  <sheetViews>
    <sheetView zoomScale="120" zoomScaleNormal="120" workbookViewId="0"/>
  </sheetViews>
  <sheetFormatPr baseColWidth="10" defaultColWidth="8.83203125" defaultRowHeight="15"/>
  <cols>
    <col min="1" max="1" width="10" customWidth="1"/>
    <col min="2" max="2" width="23.5" bestFit="1" customWidth="1"/>
    <col min="3" max="3" width="12.1640625" bestFit="1" customWidth="1"/>
    <col min="4" max="15" width="12.5" customWidth="1"/>
  </cols>
  <sheetData>
    <row r="1" spans="1:15">
      <c r="A1" s="5" t="s">
        <v>0</v>
      </c>
      <c r="B1" s="5" t="s">
        <v>1</v>
      </c>
      <c r="C1" s="5" t="s">
        <v>16</v>
      </c>
      <c r="D1" s="6">
        <v>44562</v>
      </c>
      <c r="E1" s="6">
        <v>44593</v>
      </c>
      <c r="F1" s="6">
        <v>44621</v>
      </c>
      <c r="G1" s="6">
        <v>44652</v>
      </c>
      <c r="H1" s="6">
        <v>44682</v>
      </c>
      <c r="I1" s="6">
        <v>44713</v>
      </c>
      <c r="J1" s="6">
        <v>44743</v>
      </c>
      <c r="K1" s="6">
        <v>44774</v>
      </c>
      <c r="L1" s="6">
        <v>44805</v>
      </c>
      <c r="M1" s="6">
        <v>44835</v>
      </c>
      <c r="N1" s="6">
        <v>44866</v>
      </c>
      <c r="O1" s="6">
        <v>44896</v>
      </c>
    </row>
    <row r="2" spans="1:15">
      <c r="A2" s="7" t="s">
        <v>2</v>
      </c>
      <c r="B2" t="s">
        <v>7</v>
      </c>
      <c r="C2">
        <v>1.4E-2</v>
      </c>
      <c r="D2" s="139">
        <f>$C$2*'Cost Structure'!D7*ERP_Inventory!C19</f>
        <v>44263.464</v>
      </c>
      <c r="E2" s="139">
        <f>$C$2*'Cost Structure'!E7*ERP_Inventory!D19</f>
        <v>45876.152000000002</v>
      </c>
      <c r="F2" s="139">
        <f>$C$2*'Cost Structure'!F7*ERP_Inventory!E19</f>
        <v>20804.616000000002</v>
      </c>
      <c r="G2" s="139">
        <f>$C$2*'Cost Structure'!G7*ERP_Inventory!F19</f>
        <v>38166.296000000002</v>
      </c>
      <c r="H2" s="139">
        <f>$C$2*'Cost Structure'!H7*ERP_Inventory!G19</f>
        <v>33695.144</v>
      </c>
      <c r="I2" s="139">
        <f>$C$2*'Cost Structure'!I7*ERP_Inventory!H19</f>
        <v>30251.816000000003</v>
      </c>
      <c r="J2" s="139">
        <f>$C$2*'Cost Structure'!J7*ERP_Inventory!I19</f>
        <v>34477.968000000001</v>
      </c>
      <c r="K2" s="139">
        <f>$C$2*'Cost Structure'!K7*ERP_Inventory!J19</f>
        <v>37729.608</v>
      </c>
      <c r="L2" s="139">
        <f>$C$2*'Cost Structure'!L7*ERP_Inventory!K19</f>
        <v>35372.120000000003</v>
      </c>
      <c r="M2" s="139">
        <f>$C$2*'Cost Structure'!M7*ERP_Inventory!L19</f>
        <v>38766.840000000004</v>
      </c>
      <c r="N2" s="139">
        <f>$C$2*'Cost Structure'!N7*ERP_Inventory!M19</f>
        <v>36679.048000000003</v>
      </c>
      <c r="O2" s="139">
        <f>$C$2*'Cost Structure'!O7*ERP_Inventory!N19</f>
        <v>39260.368000000002</v>
      </c>
    </row>
    <row r="3" spans="1:15">
      <c r="A3" s="7" t="s">
        <v>2</v>
      </c>
      <c r="B3" t="s">
        <v>8</v>
      </c>
      <c r="C3">
        <v>0.03</v>
      </c>
      <c r="D3" s="139">
        <f>$C$3*'Cost Structure'!D8*ERP_Inventory!C19</f>
        <v>84687.75</v>
      </c>
      <c r="E3" s="139">
        <f>$C$2*'Cost Structure'!E8*ERP_Inventory!D19</f>
        <v>40960.850000000006</v>
      </c>
      <c r="F3" s="139">
        <f>$C$3*'Cost Structure'!F8*ERP_Inventory!E19</f>
        <v>39804.75</v>
      </c>
      <c r="G3" s="139">
        <f>$C$3*'Cost Structure'!G8*ERP_Inventory!F19</f>
        <v>73022.25</v>
      </c>
      <c r="H3" s="139">
        <f>$C$3*'Cost Structure'!H8*ERP_Inventory!G19</f>
        <v>64467.75</v>
      </c>
      <c r="I3" s="139">
        <f>$C$3*'Cost Structure'!I8*ERP_Inventory!H19</f>
        <v>57879.75</v>
      </c>
      <c r="J3" s="139">
        <f>$C$3*'Cost Structure'!J8*ERP_Inventory!I19</f>
        <v>65965.5</v>
      </c>
      <c r="K3" s="139">
        <f>$C$3*'Cost Structure'!K8*ERP_Inventory!J19</f>
        <v>72186.75</v>
      </c>
      <c r="L3" s="139">
        <f>$C$3*'Cost Structure'!L8*ERP_Inventory!K19</f>
        <v>67676.25</v>
      </c>
      <c r="M3" s="139">
        <f>$C$3*'Cost Structure'!M8*ERP_Inventory!L19</f>
        <v>74171.25</v>
      </c>
      <c r="N3" s="139">
        <f>$C$3*'Cost Structure'!N8*ERP_Inventory!M19</f>
        <v>70176.75</v>
      </c>
      <c r="O3" s="139">
        <f>$C$3*'Cost Structure'!O8*ERP_Inventory!N19</f>
        <v>75115.5</v>
      </c>
    </row>
    <row r="4" spans="1:15">
      <c r="A4" s="3" t="s">
        <v>2</v>
      </c>
      <c r="B4" s="3" t="s">
        <v>9</v>
      </c>
      <c r="C4" s="3"/>
      <c r="D4" s="140">
        <f>SUM(D2:D3)</f>
        <v>128951.21400000001</v>
      </c>
      <c r="E4" s="140">
        <f>SUM(E2:E3)</f>
        <v>86837.002000000008</v>
      </c>
      <c r="F4" s="140">
        <f t="shared" ref="F4:O4" si="0">SUM(F2:F3)</f>
        <v>60609.366000000002</v>
      </c>
      <c r="G4" s="140">
        <f t="shared" si="0"/>
        <v>111188.546</v>
      </c>
      <c r="H4" s="140">
        <f t="shared" si="0"/>
        <v>98162.894</v>
      </c>
      <c r="I4" s="140">
        <f t="shared" si="0"/>
        <v>88131.566000000006</v>
      </c>
      <c r="J4" s="140">
        <f t="shared" si="0"/>
        <v>100443.46799999999</v>
      </c>
      <c r="K4" s="140">
        <f t="shared" si="0"/>
        <v>109916.35800000001</v>
      </c>
      <c r="L4" s="140">
        <f t="shared" si="0"/>
        <v>103048.37</v>
      </c>
      <c r="M4" s="140">
        <f t="shared" si="0"/>
        <v>112938.09</v>
      </c>
      <c r="N4" s="140">
        <f t="shared" si="0"/>
        <v>106855.79800000001</v>
      </c>
      <c r="O4" s="140">
        <f t="shared" si="0"/>
        <v>114375.868</v>
      </c>
    </row>
    <row r="5" spans="1:15">
      <c r="A5" s="7" t="s">
        <v>10</v>
      </c>
      <c r="B5" t="s">
        <v>7</v>
      </c>
      <c r="C5">
        <v>1.4E-2</v>
      </c>
      <c r="D5" s="139">
        <f>$C$5*'Cost Structure'!D14*'Sales volumes'!B17</f>
        <v>14580.832</v>
      </c>
      <c r="E5" s="139">
        <f>$C$5*'Cost Structure'!E14*ERP_Inventory!D20</f>
        <v>18494.168000000001</v>
      </c>
      <c r="F5" s="139">
        <f>$C$5*'Cost Structure'!F14*'Sales volumes'!D17</f>
        <v>21428.68</v>
      </c>
      <c r="G5" s="139">
        <f>$C$5*'Cost Structure'!G14*'Sales volumes'!E17</f>
        <v>15501.640000000001</v>
      </c>
      <c r="H5" s="139">
        <f>$C$5*'Cost Structure'!H14*'Sales volumes'!F17</f>
        <v>18169.592000000001</v>
      </c>
      <c r="I5" s="139">
        <f>$C$5*'Cost Structure'!I14*'Sales volumes'!G17</f>
        <v>17405.583999999999</v>
      </c>
      <c r="J5" s="139">
        <f>$C$5*'Cost Structure'!J14*'Sales volumes'!H17</f>
        <v>19879.103999999999</v>
      </c>
      <c r="K5" s="139">
        <f>$C$5*'Cost Structure'!K14*'Sales volumes'!I17</f>
        <v>24965.696</v>
      </c>
      <c r="L5" s="139">
        <f>$C$5*'Cost Structure'!L14*'Sales volumes'!J17</f>
        <v>20881.84</v>
      </c>
      <c r="M5" s="139">
        <f>$C$5*'Cost Structure'!M14*'Sales volumes'!K17</f>
        <v>18794.832000000002</v>
      </c>
      <c r="N5" s="139">
        <f>$C$5*'Cost Structure'!N14*'Sales volumes'!L17</f>
        <v>12303.704</v>
      </c>
      <c r="O5" s="139">
        <f>$C$5*'Cost Structure'!O14*'Sales volumes'!M17</f>
        <v>16864.624</v>
      </c>
    </row>
    <row r="6" spans="1:15">
      <c r="A6" s="7" t="s">
        <v>10</v>
      </c>
      <c r="B6" t="s">
        <v>8</v>
      </c>
      <c r="C6">
        <v>0.03</v>
      </c>
      <c r="D6" s="139">
        <f>$C$6*'Cost Structure'!D15*'Sales volumes'!B17</f>
        <v>27897</v>
      </c>
      <c r="E6" s="139">
        <f>$C$6*'Cost Structure'!E15*ERP_Inventory!D20</f>
        <v>35384.25</v>
      </c>
      <c r="F6" s="139">
        <f>$C$6*'Cost Structure'!F15*'Sales volumes'!D17</f>
        <v>40998.75</v>
      </c>
      <c r="G6" s="139">
        <f>$C$6*'Cost Structure'!G15*'Sales volumes'!E17</f>
        <v>29658.75</v>
      </c>
      <c r="H6" s="139">
        <f>$C$6*'Cost Structure'!H15*'Sales volumes'!F17</f>
        <v>34763.25</v>
      </c>
      <c r="I6" s="139">
        <f>$C$6*'Cost Structure'!I15*'Sales volumes'!G17</f>
        <v>33301.5</v>
      </c>
      <c r="J6" s="139">
        <f>$C$6*'Cost Structure'!J15*'Sales volumes'!H17</f>
        <v>38034</v>
      </c>
      <c r="K6" s="139">
        <f>$C$6*'Cost Structure'!K15*'Sales volumes'!I17</f>
        <v>47766</v>
      </c>
      <c r="L6" s="139">
        <f>$C$6*'Cost Structure'!L15*'Sales volumes'!J17</f>
        <v>39952.5</v>
      </c>
      <c r="M6" s="139">
        <f>$C$6*'Cost Structure'!M15*'Sales volumes'!K17</f>
        <v>35959.5</v>
      </c>
      <c r="N6" s="139">
        <f>$C$6*'Cost Structure'!N15*'Sales volumes'!L17</f>
        <v>23540.25</v>
      </c>
      <c r="O6" s="139">
        <f>$C$6*'Cost Structure'!O15*'Sales volumes'!M17</f>
        <v>32266.5</v>
      </c>
    </row>
    <row r="7" spans="1:15">
      <c r="A7" s="3" t="s">
        <v>10</v>
      </c>
      <c r="B7" s="4" t="s">
        <v>13</v>
      </c>
      <c r="C7" s="4"/>
      <c r="D7" s="140">
        <f>SUM(D5:D6)</f>
        <v>42477.832000000002</v>
      </c>
      <c r="E7" s="140">
        <f>SUM(E5:E6)</f>
        <v>53878.418000000005</v>
      </c>
      <c r="F7" s="140">
        <f t="shared" ref="F7:O7" si="1">SUM(F5:F6)</f>
        <v>62427.43</v>
      </c>
      <c r="G7" s="140">
        <f t="shared" si="1"/>
        <v>45160.39</v>
      </c>
      <c r="H7" s="140">
        <f t="shared" si="1"/>
        <v>52932.842000000004</v>
      </c>
      <c r="I7" s="140">
        <f t="shared" si="1"/>
        <v>50707.084000000003</v>
      </c>
      <c r="J7" s="140">
        <f t="shared" si="1"/>
        <v>57913.103999999999</v>
      </c>
      <c r="K7" s="140">
        <f t="shared" si="1"/>
        <v>72731.695999999996</v>
      </c>
      <c r="L7" s="140">
        <f t="shared" si="1"/>
        <v>60834.34</v>
      </c>
      <c r="M7" s="140">
        <f t="shared" si="1"/>
        <v>54754.332000000002</v>
      </c>
      <c r="N7" s="140">
        <f t="shared" si="1"/>
        <v>35843.953999999998</v>
      </c>
      <c r="O7" s="140">
        <f t="shared" si="1"/>
        <v>49131.123999999996</v>
      </c>
    </row>
    <row r="8" spans="1:15">
      <c r="A8" s="7" t="s">
        <v>14</v>
      </c>
      <c r="B8" t="s">
        <v>7</v>
      </c>
      <c r="C8">
        <v>1.4E-2</v>
      </c>
      <c r="D8" s="139">
        <f>+$C$8*'Cost Structure'!D21*'Sales volumes'!B18</f>
        <v>37757.440000000002</v>
      </c>
      <c r="E8" s="139">
        <f>+$C$8*'Cost Structure'!E21*ERP_Inventory!D21</f>
        <v>20073.928</v>
      </c>
      <c r="F8" s="139">
        <f>+$C$8*'Cost Structure'!F21*'Sales volumes'!D18</f>
        <v>31788.456000000002</v>
      </c>
      <c r="G8" s="139">
        <f>+$C$8*'Cost Structure'!G21*'Sales volumes'!E18</f>
        <v>34405.840000000004</v>
      </c>
      <c r="H8" s="139">
        <f>+$C$8*'Cost Structure'!H21*'Sales volumes'!F18</f>
        <v>29415.68</v>
      </c>
      <c r="I8" s="139">
        <f>+$C$8*'Cost Structure'!I21*'Sales volumes'!G18</f>
        <v>29685.376</v>
      </c>
      <c r="J8" s="139">
        <f>+$C$8*'Cost Structure'!J21*'Sales volumes'!H18</f>
        <v>32623.416000000001</v>
      </c>
      <c r="K8" s="139">
        <f>+$C$8*'Cost Structure'!K21*'Sales volumes'!I18</f>
        <v>15387.568000000001</v>
      </c>
      <c r="L8" s="139">
        <f>+$C$8*'Cost Structure'!L21*'Sales volumes'!J18</f>
        <v>19919.088</v>
      </c>
      <c r="M8" s="139">
        <f>+$C$8*'Cost Structure'!M21*'Sales volumes'!K18</f>
        <v>18429.096000000001</v>
      </c>
      <c r="N8" s="139">
        <f>+$C$8*'Cost Structure'!N21*'Sales volumes'!L18</f>
        <v>29153.040000000001</v>
      </c>
      <c r="O8" s="139">
        <f>+$C$8*'Cost Structure'!O21*'Sales volumes'!M18</f>
        <v>20424.768</v>
      </c>
    </row>
    <row r="9" spans="1:15">
      <c r="A9" s="7" t="s">
        <v>14</v>
      </c>
      <c r="B9" t="s">
        <v>8</v>
      </c>
      <c r="C9">
        <v>0.03</v>
      </c>
      <c r="D9" s="139">
        <f>+$C$9*'Cost Structure'!D22*'Sales volumes'!B18</f>
        <v>72240</v>
      </c>
      <c r="E9" s="139">
        <f>+$C$9*'Cost Structure'!E22*ERP_Inventory!D21</f>
        <v>38406.75</v>
      </c>
      <c r="F9" s="139">
        <f>+$C$9*'Cost Structure'!F22*'Sales volumes'!D18</f>
        <v>60819.75</v>
      </c>
      <c r="G9" s="139">
        <f>+$C$9*'Cost Structure'!G22*'Sales volumes'!E18</f>
        <v>65827.5</v>
      </c>
      <c r="H9" s="139">
        <f>+$C$9*'Cost Structure'!H22*'Sales volumes'!F18</f>
        <v>56280</v>
      </c>
      <c r="I9" s="139">
        <f>+$C$9*'Cost Structure'!I22*'Sales volumes'!G18</f>
        <v>56796</v>
      </c>
      <c r="J9" s="139">
        <f>+$C$9*'Cost Structure'!J22*'Sales volumes'!H18</f>
        <v>62417.25</v>
      </c>
      <c r="K9" s="139">
        <f>+$C$9*'Cost Structure'!K22*'Sales volumes'!I18</f>
        <v>29440.5</v>
      </c>
      <c r="L9" s="139">
        <f>+$C$9*'Cost Structure'!L22*'Sales volumes'!J18</f>
        <v>38110.5</v>
      </c>
      <c r="M9" s="139">
        <f>+$C$9*'Cost Structure'!M22*'Sales volumes'!K18</f>
        <v>35259.75</v>
      </c>
      <c r="N9" s="139">
        <f>+$C$9*'Cost Structure'!N22*'Sales volumes'!L18</f>
        <v>55777.5</v>
      </c>
      <c r="O9" s="139">
        <f>+$C$9*'Cost Structure'!O22*'Sales volumes'!M18</f>
        <v>39078</v>
      </c>
    </row>
    <row r="10" spans="1:15">
      <c r="A10" s="3" t="s">
        <v>14</v>
      </c>
      <c r="B10" s="4" t="s">
        <v>15</v>
      </c>
      <c r="C10" s="4"/>
      <c r="D10" s="140">
        <f>SUM(D8:D9)</f>
        <v>109997.44</v>
      </c>
      <c r="E10" s="140">
        <f>SUM(E8:E9)</f>
        <v>58480.678</v>
      </c>
      <c r="F10" s="140">
        <f t="shared" ref="F10:O10" si="2">SUM(F8:F9)</f>
        <v>92608.206000000006</v>
      </c>
      <c r="G10" s="140">
        <f t="shared" si="2"/>
        <v>100233.34</v>
      </c>
      <c r="H10" s="140">
        <f t="shared" si="2"/>
        <v>85695.679999999993</v>
      </c>
      <c r="I10" s="140">
        <f t="shared" si="2"/>
        <v>86481.376000000004</v>
      </c>
      <c r="J10" s="140">
        <f t="shared" si="2"/>
        <v>95040.665999999997</v>
      </c>
      <c r="K10" s="140">
        <f t="shared" si="2"/>
        <v>44828.067999999999</v>
      </c>
      <c r="L10" s="140">
        <f t="shared" si="2"/>
        <v>58029.588000000003</v>
      </c>
      <c r="M10" s="140">
        <f t="shared" si="2"/>
        <v>53688.846000000005</v>
      </c>
      <c r="N10" s="140">
        <f t="shared" si="2"/>
        <v>84930.540000000008</v>
      </c>
      <c r="O10" s="140">
        <f t="shared" si="2"/>
        <v>59502.767999999996</v>
      </c>
    </row>
    <row r="13" spans="1:15">
      <c r="E13" s="28"/>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7BA82-602E-4CB9-B018-3165F6B937CE}">
  <sheetPr codeName="Sheet71"/>
  <dimension ref="A1:R569"/>
  <sheetViews>
    <sheetView topLeftCell="A40" workbookViewId="0"/>
  </sheetViews>
  <sheetFormatPr baseColWidth="10" defaultColWidth="9.1640625" defaultRowHeight="15"/>
  <cols>
    <col min="1" max="1" width="11.6640625" bestFit="1" customWidth="1"/>
    <col min="2" max="2" width="26.83203125" bestFit="1" customWidth="1"/>
    <col min="3" max="3" width="15" bestFit="1" customWidth="1"/>
    <col min="4" max="4" width="29.1640625" bestFit="1" customWidth="1"/>
    <col min="5" max="6" width="15.33203125" bestFit="1" customWidth="1"/>
    <col min="7" max="7" width="14" bestFit="1" customWidth="1"/>
    <col min="8" max="8" width="16.6640625" bestFit="1" customWidth="1"/>
    <col min="9" max="10" width="14.33203125" bestFit="1" customWidth="1"/>
    <col min="11" max="14" width="14" bestFit="1" customWidth="1"/>
  </cols>
  <sheetData>
    <row r="1" spans="1:14" s="41" customFormat="1">
      <c r="A1" s="30"/>
      <c r="B1" s="42">
        <v>44562</v>
      </c>
      <c r="C1" s="42">
        <v>44592</v>
      </c>
      <c r="D1" s="42">
        <v>44620</v>
      </c>
      <c r="E1" s="42">
        <v>44651</v>
      </c>
      <c r="F1" s="42">
        <v>44681</v>
      </c>
      <c r="G1" s="42">
        <v>44712</v>
      </c>
      <c r="H1" s="42">
        <v>44742</v>
      </c>
      <c r="I1" s="42">
        <v>44773</v>
      </c>
      <c r="J1" s="42">
        <v>44804</v>
      </c>
      <c r="K1" s="42">
        <v>44834</v>
      </c>
      <c r="L1" s="42">
        <v>44865</v>
      </c>
      <c r="M1" s="42">
        <v>44895</v>
      </c>
      <c r="N1" s="42">
        <v>44926</v>
      </c>
    </row>
    <row r="2" spans="1:14">
      <c r="A2" s="25" t="s">
        <v>3</v>
      </c>
      <c r="B2">
        <f>'[1]Base JE Supplier inv'!B17</f>
        <v>13500</v>
      </c>
      <c r="C2" s="34">
        <f>B2+Purchases!C3-'Sales volumes'!B16*'Cost Structure'!$C$3</f>
        <v>8333.1999999999971</v>
      </c>
      <c r="D2" s="34">
        <f>C2+Purchases!D3-'Sales volumes'!C16*'Cost Structure'!$C$3</f>
        <v>1520.7999999999956</v>
      </c>
      <c r="E2" s="34">
        <f>D2+Purchases!E3-'Sales volumes'!D16*'Cost Structure'!$C$3</f>
        <v>20291.599999999995</v>
      </c>
      <c r="F2" s="34">
        <f>E2+Purchases!F3-'Sales volumes'!E16*'Cost Structure'!$C$3</f>
        <v>21346.399999999987</v>
      </c>
      <c r="G2" s="34">
        <f>F2+Purchases!G3-'Sales volumes'!F16*'Cost Structure'!$C$3</f>
        <v>26963.599999999984</v>
      </c>
      <c r="H2" s="34">
        <f>G2+Purchases!H3-'Sales volumes'!G16*'Cost Structure'!$C$3</f>
        <v>36094.39999999998</v>
      </c>
      <c r="I2" s="34">
        <f>H2+Purchases!I3-'Sales volumes'!H16*'Cost Structure'!$C$3</f>
        <v>40912.799999999981</v>
      </c>
      <c r="J2" s="34">
        <f>I2+Purchases!J3-'Sales volumes'!I16*'Cost Structure'!$C$3</f>
        <v>42413.19999999999</v>
      </c>
      <c r="K2" s="34">
        <f>J2+Purchases!K3-'Sales volumes'!J16*'Cost Structure'!$C$3</f>
        <v>46319.199999999983</v>
      </c>
      <c r="L2" s="34">
        <f>K2+Purchases!L3-'Sales volumes'!K16*'Cost Structure'!$C$3</f>
        <v>46761.199999999983</v>
      </c>
      <c r="M2" s="34">
        <f>L2+Purchases!M3-'Sales volumes'!L16*'Cost Structure'!$C$3</f>
        <v>49333.599999999984</v>
      </c>
      <c r="N2" s="34">
        <f>M2+Purchases!N3-'Sales volumes'!M16*'Cost Structure'!$C$3</f>
        <v>49271.999999999971</v>
      </c>
    </row>
    <row r="3" spans="1:14">
      <c r="A3" s="25" t="s">
        <v>4</v>
      </c>
      <c r="B3">
        <f>'[1]Base JE Supplier inv'!B18</f>
        <v>32350</v>
      </c>
      <c r="C3" s="34">
        <f>B3+Purchases!C4-('Cost Structure'!$C$4*'Sales volumes'!B16)-('Cost Structure'!$C$11*'Sales volumes'!B17)-('Cost Structure'!$C$18*'Sales volumes'!B18)</f>
        <v>23134.739999999991</v>
      </c>
      <c r="D3" s="34">
        <f>C3+Purchases!D4-('Cost Structure'!$C$4*'Sales volumes'!C16)-('Cost Structure'!$C$11*'Sales volumes'!C17)-('Cost Structure'!$C$18*'Sales volumes'!C18)</f>
        <v>20742.559999999994</v>
      </c>
      <c r="E3" s="34">
        <f>D3+Purchases!E4-('Cost Structure'!$C$4*'Sales volumes'!D16)-('Cost Structure'!$C$11*'Sales volumes'!D17)-('Cost Structure'!$C$18*'Sales volumes'!D18)</f>
        <v>24199.739999999998</v>
      </c>
      <c r="F3" s="34">
        <f>E3+Purchases!F4-('Cost Structure'!$C$4*'Sales volumes'!E16)-('Cost Structure'!$C$11*'Sales volumes'!E17)-('Cost Structure'!$C$18*'Sales volumes'!E18)</f>
        <v>19770.579999999987</v>
      </c>
      <c r="G3" s="34">
        <f>F3+Purchases!G4-('Cost Structure'!$C$4*'Sales volumes'!F16)-('Cost Structure'!$C$11*'Sales volumes'!F17)-('Cost Structure'!$C$18*'Sales volumes'!F18)</f>
        <v>19154.019999999986</v>
      </c>
      <c r="H3" s="34">
        <f>G3+Purchases!H4-('Cost Structure'!$C$4*'Sales volumes'!G16)-('Cost Structure'!$C$11*'Sales volumes'!G17)-('Cost Structure'!$C$18*'Sales volumes'!G18)</f>
        <v>20747.35999999999</v>
      </c>
      <c r="I3" s="34">
        <f>H3+Purchases!I4-('Cost Structure'!$C$4*'Sales volumes'!H16)-('Cost Structure'!$C$11*'Sales volumes'!H17)-('Cost Structure'!$C$18*'Sales volumes'!H18)</f>
        <v>16931.779999999981</v>
      </c>
      <c r="J3" s="34">
        <f>I3+Purchases!J4-('Cost Structure'!$C$4*'Sales volumes'!I16)-('Cost Structure'!$C$11*'Sales volumes'!I17)-('Cost Structure'!$C$18*'Sales volumes'!I18)</f>
        <v>18109.759999999987</v>
      </c>
      <c r="K3" s="34">
        <f>J3+Purchases!K4-('Cost Structure'!$C$4*'Sales volumes'!J16)-('Cost Structure'!$C$11*'Sales volumes'!J17)-('Cost Structure'!$C$18*'Sales volumes'!J18)</f>
        <v>20359.57999999998</v>
      </c>
      <c r="L3" s="34">
        <f>K3+Purchases!L4-('Cost Structure'!$C$4*'Sales volumes'!K16)-('Cost Structure'!$C$11*'Sales volumes'!K17)-('Cost Structure'!$C$18*'Sales volumes'!K18)</f>
        <v>22711.699999999975</v>
      </c>
      <c r="M3" s="34">
        <f>L3+Purchases!M4-('Cost Structure'!$C$4*'Sales volumes'!L16)-('Cost Structure'!$C$11*'Sales volumes'!L17)-('Cost Structure'!$C$18*'Sales volumes'!L18)</f>
        <v>23859.979999999981</v>
      </c>
      <c r="N3" s="34">
        <f>M3+Purchases!N4-('Cost Structure'!$C$4*'Sales volumes'!M16)-('Cost Structure'!$C$11*'Sales volumes'!M17)-('Cost Structure'!$C$18*'Sales volumes'!M18)</f>
        <v>25898.379999999983</v>
      </c>
    </row>
    <row r="4" spans="1:14">
      <c r="A4" s="25" t="s">
        <v>5</v>
      </c>
      <c r="B4">
        <f>'[1]Base JE Supplier inv'!B19</f>
        <v>47427</v>
      </c>
      <c r="C4" s="34">
        <f>B4+Purchases!C5-('Cost Structure'!$C$5*'Sales volumes'!B16)-('Cost Structure'!$C$12*'Sales volumes'!B17)-('Cost Structure'!$C$19*'Sales volumes'!B18)</f>
        <v>16304.950000000004</v>
      </c>
      <c r="D4" s="34">
        <f>C4+Purchases!D5-('Cost Structure'!$C$5*'Sales volumes'!C16)-('Cost Structure'!$C$12*'Sales volumes'!C17)-('Cost Structure'!$C$19*'Sales volumes'!C18)</f>
        <v>8612.5100000000093</v>
      </c>
      <c r="E4" s="34">
        <f>D4+Purchases!E5-('Cost Structure'!$C$5*'Sales volumes'!D16)-('Cost Structure'!$C$12*'Sales volumes'!D17)-('Cost Structure'!$C$19*'Sales volumes'!D18)</f>
        <v>6609.0299999999988</v>
      </c>
      <c r="F4" s="34">
        <f>E4+Purchases!F5-('Cost Structure'!$C$5*'Sales volumes'!E16)-('Cost Structure'!$C$12*'Sales volumes'!E17)-('Cost Structure'!$C$19*'Sales volumes'!E18)</f>
        <v>12072.229999999989</v>
      </c>
      <c r="G4" s="34">
        <f>F4+Purchases!G5-('Cost Structure'!$C$5*'Sales volumes'!F16)-('Cost Structure'!$C$12*'Sales volumes'!F17)-('Cost Structure'!$C$19*'Sales volumes'!F18)</f>
        <v>3007.2299999999886</v>
      </c>
      <c r="H4" s="34">
        <f>G4+Purchases!H5-('Cost Structure'!$C$5*'Sales volumes'!G16)-('Cost Structure'!$C$12*'Sales volumes'!G17)-('Cost Structure'!$C$19*'Sales volumes'!G18)</f>
        <v>28317.999999999978</v>
      </c>
      <c r="I4" s="34">
        <f>H4+Purchases!I5-('Cost Structure'!$C$5*'Sales volumes'!H16)-('Cost Structure'!$C$12*'Sales volumes'!H17)-('Cost Structure'!$C$19*'Sales volumes'!H18)</f>
        <v>10991.119999999959</v>
      </c>
      <c r="J4" s="34">
        <f>I4+Purchases!J5-('Cost Structure'!$C$5*'Sales volumes'!I16)-('Cost Structure'!$C$12*'Sales volumes'!I17)-('Cost Structure'!$C$19*'Sales volumes'!I18)</f>
        <v>13111.829999999958</v>
      </c>
      <c r="K4" s="34">
        <f>J4+Purchases!K5-('Cost Structure'!$C$5*'Sales volumes'!J16)-('Cost Structure'!$C$12*'Sales volumes'!J17)-('Cost Structure'!$C$19*'Sales volumes'!J18)</f>
        <v>14997.33999999996</v>
      </c>
      <c r="L4" s="34">
        <f>K4+Purchases!L5-('Cost Structure'!$C$5*'Sales volumes'!K16)-('Cost Structure'!$C$12*'Sales volumes'!K17)-('Cost Structure'!$C$19*'Sales volumes'!K18)</f>
        <v>17890.309999999969</v>
      </c>
      <c r="M4" s="34">
        <f>L4+Purchases!M5-('Cost Structure'!$C$5*'Sales volumes'!L16)-('Cost Structure'!$C$12*'Sales volumes'!L17)-('Cost Structure'!$C$19*'Sales volumes'!L18)</f>
        <v>12575.90999999996</v>
      </c>
      <c r="N4" s="34">
        <f>M4+Purchases!N5-('Cost Structure'!$C$5*'Sales volumes'!M16)-('Cost Structure'!$C$12*'Sales volumes'!M17)-('Cost Structure'!$C$19*'Sales volumes'!M18)</f>
        <v>13758.069999999956</v>
      </c>
    </row>
    <row r="5" spans="1:14">
      <c r="A5" s="25" t="s">
        <v>6</v>
      </c>
      <c r="B5">
        <f>'[1]Base JE Supplier inv'!B20</f>
        <v>18603</v>
      </c>
      <c r="C5" s="34">
        <f>B5+Purchases!C6-('Cost Structure'!$C$6*'Sales volumes'!B16)</f>
        <v>15686</v>
      </c>
      <c r="D5" s="34">
        <f>C5+Purchases!D6-('Cost Structure'!$C$6*'Sales volumes'!C16)</f>
        <v>8655</v>
      </c>
      <c r="E5" s="34">
        <f>D5+Purchases!E6-('Cost Structure'!$C$6*'Sales volumes'!D16)</f>
        <v>65582</v>
      </c>
      <c r="F5" s="34">
        <f>E5+Purchases!F6-('Cost Structure'!$C$6*'Sales volumes'!E16)</f>
        <v>78219</v>
      </c>
      <c r="G5" s="34">
        <f>F5+Purchases!G6-('Cost Structure'!$C$6*'Sales volumes'!F16)</f>
        <v>102262</v>
      </c>
      <c r="H5" s="34">
        <f>G5+Purchases!H6-('Cost Structure'!$C$6*'Sales volumes'!G16)</f>
        <v>135089</v>
      </c>
      <c r="I5" s="34">
        <f>H5+Purchases!I6-('Cost Structure'!$C$6*'Sales volumes'!H16)</f>
        <v>157135</v>
      </c>
      <c r="J5" s="34">
        <f>I5+Purchases!J6-('Cost Structure'!$C$6*'Sales volumes'!I16)</f>
        <v>170886</v>
      </c>
      <c r="K5" s="34">
        <f>J5+Purchases!K6-('Cost Structure'!$C$6*'Sales volumes'!J16)</f>
        <v>190651</v>
      </c>
      <c r="L5" s="34">
        <f>K5+Purchases!L6-('Cost Structure'!$C$6*'Sales volumes'!K16)</f>
        <v>201756</v>
      </c>
      <c r="M5" s="34">
        <f>L5+Purchases!M6-('Cost Structure'!$C$6*'Sales volumes'!L16)</f>
        <v>218187</v>
      </c>
      <c r="N5" s="34">
        <f>M5+Purchases!N6-('Cost Structure'!$C$6*'Sales volumes'!M16)</f>
        <v>228033</v>
      </c>
    </row>
    <row r="6" spans="1:14">
      <c r="A6" s="25" t="s">
        <v>11</v>
      </c>
      <c r="B6">
        <f>'[1]Base JE Supplier inv'!B21</f>
        <v>18337</v>
      </c>
      <c r="C6" s="34">
        <f>B6+Purchases!C7-('Cost Structure'!$C$10*'Sales volumes'!B17)-('Cost Structure'!$C$17*'Sales volumes'!B18)</f>
        <v>114.59999999999854</v>
      </c>
      <c r="D6" s="34">
        <f>C6+Purchases!D7-('Cost Structure'!$C$10*'Sales volumes'!C17)-('Cost Structure'!$C$17*'Sales volumes'!C18)</f>
        <v>3198.9499999999971</v>
      </c>
      <c r="E6" s="34">
        <f>D6+Purchases!E7-('Cost Structure'!$C$10*'Sales volumes'!D17)-('Cost Structure'!$C$17*'Sales volumes'!D18)</f>
        <v>4841.0999999999985</v>
      </c>
      <c r="F6" s="34">
        <f>E6+Purchases!F7-('Cost Structure'!$C$10*'Sales volumes'!E17)-('Cost Structure'!$C$17*'Sales volumes'!E18)</f>
        <v>4526.5999999999985</v>
      </c>
      <c r="G6" s="34">
        <f>F6+Purchases!G7-('Cost Structure'!$C$10*'Sales volumes'!F17)-('Cost Structure'!$C$17*'Sales volumes'!F18)</f>
        <v>3218.1999999999971</v>
      </c>
      <c r="H6" s="34">
        <f>G6+Purchases!H7-('Cost Structure'!$C$10*'Sales volumes'!G17)-('Cost Structure'!$C$17*'Sales volumes'!G18)</f>
        <v>3379.7999999999956</v>
      </c>
      <c r="I6" s="34">
        <f>H6+Purchases!I7-('Cost Structure'!$C$10*'Sales volumes'!H17)-('Cost Structure'!$C$17*'Sales volumes'!H18)</f>
        <v>15644.649999999987</v>
      </c>
      <c r="J6" s="34">
        <f>I6+Purchases!J7-('Cost Structure'!$C$10*'Sales volumes'!I17)-('Cost Structure'!$C$17*'Sales volumes'!I18)</f>
        <v>12505.149999999987</v>
      </c>
      <c r="K6" s="34">
        <f>J6+Purchases!K7-('Cost Structure'!$C$10*'Sales volumes'!J17)-('Cost Structure'!$C$17*'Sales volumes'!J18)</f>
        <v>8330.8499999999876</v>
      </c>
      <c r="L6" s="34">
        <f>K6+Purchases!L7-('Cost Structure'!$C$10*'Sales volumes'!K17)-('Cost Structure'!$C$17*'Sales volumes'!K18)</f>
        <v>7996.5999999999876</v>
      </c>
      <c r="M6" s="34">
        <f>L6+Purchases!M7-('Cost Structure'!$C$10*'Sales volumes'!L17)-('Cost Structure'!$C$17*'Sales volumes'!L18)</f>
        <v>1975.2999999999884</v>
      </c>
      <c r="N6" s="34">
        <f>M6+Purchases!N7-('Cost Structure'!$C$10*'Sales volumes'!M17)-('Cost Structure'!$C$17*'Sales volumes'!M18)</f>
        <v>1319.6999999999898</v>
      </c>
    </row>
    <row r="7" spans="1:14">
      <c r="A7" s="25" t="s">
        <v>12</v>
      </c>
      <c r="B7">
        <f>'[1]Base JE Supplier inv'!B22</f>
        <v>29181</v>
      </c>
      <c r="C7" s="34">
        <f>B7+Purchases!C8-('Cost Structure'!$C$13*'Sales volumes'!B17)-('Cost Structure'!$C$20*'Sales volumes'!B18)</f>
        <v>70</v>
      </c>
      <c r="D7" s="34">
        <f>C7+Purchases!D8-('Cost Structure'!$C$13*'Sales volumes'!C17)-('Cost Structure'!$C$20*'Sales volumes'!C18)</f>
        <v>6087</v>
      </c>
      <c r="E7" s="34">
        <f>D7+Purchases!E8-('Cost Structure'!$C$13*'Sales volumes'!D17)-('Cost Structure'!$C$20*'Sales volumes'!D18)</f>
        <v>20329</v>
      </c>
      <c r="F7" s="34">
        <f>E7+Purchases!F8-('Cost Structure'!$C$13*'Sales volumes'!E17)-('Cost Structure'!$C$20*'Sales volumes'!E18)</f>
        <v>3014</v>
      </c>
      <c r="G7" s="34">
        <f>F7+Purchases!G8-('Cost Structure'!$C$13*'Sales volumes'!F17)-('Cost Structure'!$C$20*'Sales volumes'!F18)</f>
        <v>11623</v>
      </c>
      <c r="H7" s="34">
        <f>G7+Purchases!H8-('Cost Structure'!$C$13*'Sales volumes'!G17)-('Cost Structure'!$C$20*'Sales volumes'!G18)</f>
        <v>1493</v>
      </c>
      <c r="I7" s="34">
        <f>H7+Purchases!I8-('Cost Structure'!$C$13*'Sales volumes'!H17)-('Cost Structure'!$C$20*'Sales volumes'!H18)</f>
        <v>7558</v>
      </c>
      <c r="J7" s="34">
        <f>I7+Purchases!J8-('Cost Structure'!$C$13*'Sales volumes'!I17)-('Cost Structure'!$C$20*'Sales volumes'!I18)</f>
        <v>9021</v>
      </c>
      <c r="K7" s="34">
        <f>J7+Purchases!K8-('Cost Structure'!$C$13*'Sales volumes'!J17)-('Cost Structure'!$C$20*'Sales volumes'!J18)</f>
        <v>9342</v>
      </c>
      <c r="L7" s="34">
        <f>K7+Purchases!L8-('Cost Structure'!$C$13*'Sales volumes'!K17)-('Cost Structure'!$C$20*'Sales volumes'!K18)</f>
        <v>18788</v>
      </c>
      <c r="M7" s="34">
        <f>L7+Purchases!M8-('Cost Structure'!$C$13*'Sales volumes'!L17)-('Cost Structure'!$C$20*'Sales volumes'!L18)</f>
        <v>17436</v>
      </c>
      <c r="N7" s="34">
        <f>M7+Purchases!N8-('Cost Structure'!$C$13*'Sales volumes'!M17)-('Cost Structure'!$C$20*'Sales volumes'!M18)</f>
        <v>26715</v>
      </c>
    </row>
    <row r="8" spans="1:14">
      <c r="C8" s="34"/>
    </row>
    <row r="9" spans="1:14" s="1" customFormat="1" ht="21.5" customHeight="1">
      <c r="B9" s="41" t="s">
        <v>44</v>
      </c>
      <c r="C9" s="42">
        <f>+Purchases!C10+7</f>
        <v>44570</v>
      </c>
      <c r="D9" s="42">
        <f>+Purchases!D10+7</f>
        <v>44603</v>
      </c>
      <c r="E9" s="42">
        <f>+Purchases!E10+7</f>
        <v>44631</v>
      </c>
      <c r="F9" s="42">
        <f>+Purchases!F10+7</f>
        <v>44665</v>
      </c>
      <c r="G9" s="42">
        <f>+Purchases!G10+7</f>
        <v>44689</v>
      </c>
      <c r="H9" s="42">
        <f>+Purchases!H10+7</f>
        <v>44724</v>
      </c>
      <c r="I9" s="42">
        <f>+Purchases!I10+7</f>
        <v>44753</v>
      </c>
      <c r="J9" s="42">
        <f>+Purchases!J10+7</f>
        <v>44781</v>
      </c>
      <c r="K9" s="42">
        <f>+Purchases!K10+7</f>
        <v>44817</v>
      </c>
      <c r="L9" s="42">
        <f>+Purchases!L10+7</f>
        <v>44844</v>
      </c>
      <c r="M9" s="42">
        <f>+Purchases!M10+7</f>
        <v>44873</v>
      </c>
      <c r="N9" s="42">
        <f>+Purchases!N10+7</f>
        <v>44907</v>
      </c>
    </row>
    <row r="10" spans="1:14">
      <c r="A10" t="s">
        <v>3</v>
      </c>
      <c r="B10">
        <v>13500</v>
      </c>
      <c r="C10" s="34">
        <f>'Sales volumes'!B16*'Cost Structure'!$C$3</f>
        <v>45166.8</v>
      </c>
      <c r="D10" s="34">
        <f>'Sales volumes'!C16*'Cost Structure'!$C$3</f>
        <v>46812.4</v>
      </c>
      <c r="E10" s="34">
        <f>'Sales volumes'!D16*'Cost Structure'!$C$3</f>
        <v>21229.200000000001</v>
      </c>
      <c r="F10" s="34">
        <f>'Sales volumes'!E16*'Cost Structure'!$C$3</f>
        <v>38945.200000000004</v>
      </c>
      <c r="G10" s="34">
        <f>'Sales volumes'!F16*'Cost Structure'!$C$3</f>
        <v>34382.800000000003</v>
      </c>
      <c r="H10" s="34">
        <f>'Sales volumes'!G16*'Cost Structure'!$C$3</f>
        <v>30869.200000000001</v>
      </c>
      <c r="I10" s="34">
        <f>'Sales volumes'!H16*'Cost Structure'!$C$3</f>
        <v>35181.599999999999</v>
      </c>
      <c r="J10" s="34">
        <f>'Sales volumes'!I16*'Cost Structure'!$C$3</f>
        <v>38499.599999999999</v>
      </c>
      <c r="K10" s="34">
        <f>'Sales volumes'!J16*'Cost Structure'!$C$3</f>
        <v>36094</v>
      </c>
      <c r="L10" s="34">
        <f>'Sales volumes'!K16*'Cost Structure'!$C$3</f>
        <v>39558</v>
      </c>
      <c r="M10" s="34">
        <f>'Sales volumes'!L16*'Cost Structure'!$C$3</f>
        <v>37427.599999999999</v>
      </c>
      <c r="N10" s="34">
        <f>'Sales volumes'!M16*'Cost Structure'!$C$3</f>
        <v>40061.600000000006</v>
      </c>
    </row>
    <row r="11" spans="1:14">
      <c r="A11" t="s">
        <v>4</v>
      </c>
      <c r="B11">
        <v>32350</v>
      </c>
      <c r="C11" s="34">
        <f>+('Cost Structure'!$C$4*'Sales volumes'!B16)+('Cost Structure'!$C$11*'Sales volumes'!B17)+('Cost Structure'!$C$18*'Sales volumes'!B18)</f>
        <v>54215.26</v>
      </c>
      <c r="D11" s="34">
        <f>+('Cost Structure'!$C$4*'Sales volumes'!C16)+('Cost Structure'!$C$11*'Sales volumes'!C17)+('Cost Structure'!$C$18*'Sales volumes'!C18)</f>
        <v>47392.179999999993</v>
      </c>
      <c r="E11" s="34">
        <f>+('Cost Structure'!$C$4*'Sales volumes'!D16)+('Cost Structure'!$C$11*'Sales volumes'!D17)+('Cost Structure'!$C$18*'Sales volumes'!D18)</f>
        <v>41542.82</v>
      </c>
      <c r="F11" s="34">
        <f>+('Cost Structure'!$C$4*'Sales volumes'!E16)+('Cost Structure'!$C$11*'Sales volumes'!E17)+('Cost Structure'!$C$18*'Sales volumes'!E18)</f>
        <v>49429.16</v>
      </c>
      <c r="G11" s="34">
        <f>+('Cost Structure'!$C$4*'Sales volumes'!F16)+('Cost Structure'!$C$11*'Sales volumes'!F17)+('Cost Structure'!$C$18*'Sales volumes'!F18)</f>
        <v>45616.56</v>
      </c>
      <c r="H11" s="34">
        <f>+('Cost Structure'!$C$4*'Sales volumes'!G16)+('Cost Structure'!$C$11*'Sales volumes'!G17)+('Cost Structure'!$C$18*'Sales volumes'!G18)</f>
        <v>43406.66</v>
      </c>
      <c r="I11" s="34">
        <f>+('Cost Structure'!$C$4*'Sales volumes'!H16)+('Cost Structure'!$C$11*'Sales volumes'!H17)+('Cost Structure'!$C$18*'Sales volumes'!H18)</f>
        <v>48815.58</v>
      </c>
      <c r="J11" s="34">
        <f>+('Cost Structure'!$C$4*'Sales volumes'!I16)+('Cost Structure'!$C$11*'Sales volumes'!I17)+('Cost Structure'!$C$18*'Sales volumes'!I18)</f>
        <v>43822.02</v>
      </c>
      <c r="K11" s="34">
        <f>+('Cost Structure'!$C$4*'Sales volumes'!J16)+('Cost Structure'!$C$11*'Sales volumes'!J17)+('Cost Structure'!$C$18*'Sales volumes'!J18)</f>
        <v>42750.18</v>
      </c>
      <c r="L11" s="34">
        <f>+('Cost Structure'!$C$4*'Sales volumes'!K16)+('Cost Structure'!$C$11*'Sales volumes'!K17)+('Cost Structure'!$C$18*'Sales volumes'!K18)</f>
        <v>42647.880000000005</v>
      </c>
      <c r="M11" s="34">
        <f>+('Cost Structure'!$C$4*'Sales volumes'!L16)+('Cost Structure'!$C$11*'Sales volumes'!L17)+('Cost Structure'!$C$18*'Sales volumes'!L18)</f>
        <v>43851.72</v>
      </c>
      <c r="N11" s="34">
        <f>+('Cost Structure'!$C$4*'Sales volumes'!M16)+('Cost Structure'!$C$11*'Sales volumes'!M17)+('Cost Structure'!$C$18*'Sales volumes'!M18)</f>
        <v>42961.599999999999</v>
      </c>
    </row>
    <row r="12" spans="1:14">
      <c r="A12" t="s">
        <v>5</v>
      </c>
      <c r="B12">
        <v>47427</v>
      </c>
      <c r="C12" s="34">
        <f>('Cost Structure'!$C$5*'Sales volumes'!B16)+('Cost Structure'!$C$12*'Sales volumes'!B17)+('Cost Structure'!$C$19*'Sales volumes'!B18)</f>
        <v>131122.05000000002</v>
      </c>
      <c r="D12" s="34">
        <f>('Cost Structure'!$C$5*'Sales volumes'!C16)+('Cost Structure'!$C$12*'Sales volumes'!C17)+('Cost Structure'!$C$19*'Sales volumes'!C18)</f>
        <v>107692.44</v>
      </c>
      <c r="E12" s="34">
        <f>('Cost Structure'!$C$5*'Sales volumes'!D16)+('Cost Structure'!$C$12*'Sales volumes'!D17)+('Cost Structure'!$C$19*'Sales volumes'!D18)</f>
        <v>102003.48000000001</v>
      </c>
      <c r="F12" s="34">
        <f>('Cost Structure'!$C$5*'Sales volumes'!E16)+('Cost Structure'!$C$12*'Sales volumes'!E17)+('Cost Structure'!$C$19*'Sales volumes'!E18)</f>
        <v>119536.8</v>
      </c>
      <c r="G12" s="34">
        <f>('Cost Structure'!$C$5*'Sales volumes'!F16)+('Cost Structure'!$C$12*'Sales volumes'!F17)+('Cost Structure'!$C$19*'Sales volumes'!F18)</f>
        <v>109065</v>
      </c>
      <c r="H12" s="34">
        <f>('Cost Structure'!$C$5*'Sales volumes'!G16)+('Cost Structure'!$C$12*'Sales volumes'!G17)+('Cost Structure'!$C$19*'Sales volumes'!G18)</f>
        <v>104689.23000000001</v>
      </c>
      <c r="I12" s="34">
        <f>('Cost Structure'!$C$5*'Sales volumes'!H16)+('Cost Structure'!$C$12*'Sales volumes'!H17)+('Cost Structure'!$C$19*'Sales volumes'!H18)</f>
        <v>117326.88</v>
      </c>
      <c r="J12" s="34">
        <f>('Cost Structure'!$C$5*'Sales volumes'!I16)+('Cost Structure'!$C$12*'Sales volumes'!I17)+('Cost Structure'!$C$19*'Sales volumes'!I18)</f>
        <v>97879.290000000008</v>
      </c>
      <c r="K12" s="34">
        <f>('Cost Structure'!$C$5*'Sales volumes'!J16)+('Cost Structure'!$C$12*'Sales volumes'!J17)+('Cost Structure'!$C$19*'Sales volumes'!J18)</f>
        <v>98114.489999999991</v>
      </c>
      <c r="L12" s="34">
        <f>('Cost Structure'!$C$5*'Sales volumes'!K16)+('Cost Structure'!$C$12*'Sales volumes'!K17)+('Cost Structure'!$C$19*'Sales volumes'!K18)</f>
        <v>97107.03</v>
      </c>
      <c r="M12" s="34">
        <f>('Cost Structure'!$C$5*'Sales volumes'!L16)+('Cost Structure'!$C$12*'Sales volumes'!L17)+('Cost Structure'!$C$19*'Sales volumes'!L18)</f>
        <v>105314.40000000001</v>
      </c>
      <c r="N12" s="34">
        <f>('Cost Structure'!$C$5*'Sales volumes'!M16)+('Cost Structure'!$C$12*'Sales volumes'!M17)+('Cost Structure'!$C$19*'Sales volumes'!M18)</f>
        <v>98817.84</v>
      </c>
    </row>
    <row r="13" spans="1:14">
      <c r="A13" t="s">
        <v>6</v>
      </c>
      <c r="B13">
        <v>18603</v>
      </c>
      <c r="C13" s="34">
        <f>'Cost Structure'!$C$6*'Sales volumes'!B16</f>
        <v>112917</v>
      </c>
      <c r="D13" s="34">
        <f>'Cost Structure'!$C$6*'Sales volumes'!C16</f>
        <v>117031</v>
      </c>
      <c r="E13" s="34">
        <f>'Cost Structure'!$C$6*'Sales volumes'!D16</f>
        <v>53073</v>
      </c>
      <c r="F13" s="34">
        <f>'Cost Structure'!$C$6*'Sales volumes'!E16</f>
        <v>97363</v>
      </c>
      <c r="G13" s="34">
        <f>'Cost Structure'!$C$6*'Sales volumes'!F16</f>
        <v>85957</v>
      </c>
      <c r="H13" s="34">
        <f>'Cost Structure'!$C$6*'Sales volumes'!G16</f>
        <v>77173</v>
      </c>
      <c r="I13" s="34">
        <f>'Cost Structure'!$C$6*'Sales volumes'!H16</f>
        <v>87954</v>
      </c>
      <c r="J13" s="34">
        <f>'Cost Structure'!$C$6*'Sales volumes'!I16</f>
        <v>96249</v>
      </c>
      <c r="K13" s="34">
        <f>'Cost Structure'!$C$6*'Sales volumes'!J16</f>
        <v>90235</v>
      </c>
      <c r="L13" s="34">
        <f>'Cost Structure'!$C$6*'Sales volumes'!K16</f>
        <v>98895</v>
      </c>
      <c r="M13" s="34">
        <f>'Cost Structure'!$C$6*'Sales volumes'!L16</f>
        <v>93569</v>
      </c>
      <c r="N13" s="34">
        <f>'Cost Structure'!$C$6*'Sales volumes'!M16</f>
        <v>100154</v>
      </c>
    </row>
    <row r="14" spans="1:14">
      <c r="A14" t="s">
        <v>11</v>
      </c>
      <c r="B14">
        <v>18337</v>
      </c>
      <c r="C14" s="34">
        <f>('Cost Structure'!$C$10*'Sales volumes'!B17+'Cost Structure'!$C$17*'Sales volumes'!B18)</f>
        <v>58222.400000000001</v>
      </c>
      <c r="D14" s="34">
        <f>('Cost Structure'!$C$10*'Sales volumes'!C17+'Cost Structure'!$C$17*'Sales volumes'!C18)</f>
        <v>41915.65</v>
      </c>
      <c r="E14" s="34">
        <f>('Cost Structure'!$C$10*'Sales volumes'!D17+'Cost Structure'!$C$17*'Sales volumes'!D18)</f>
        <v>58357.85</v>
      </c>
      <c r="F14" s="34">
        <f>('Cost Structure'!$C$10*'Sales volumes'!E17+'Cost Structure'!$C$17*'Sales volumes'!E18)</f>
        <v>55314.5</v>
      </c>
      <c r="G14" s="34">
        <f>('Cost Structure'!$C$10*'Sales volumes'!F17+'Cost Structure'!$C$17*'Sales volumes'!F18)</f>
        <v>52308.4</v>
      </c>
      <c r="H14" s="34">
        <f>('Cost Structure'!$C$10*'Sales volumes'!G17+'Cost Structure'!$C$17*'Sales volumes'!G18)</f>
        <v>51838.399999999994</v>
      </c>
      <c r="I14" s="34">
        <f>('Cost Structure'!$C$10*'Sales volumes'!H17+'Cost Structure'!$C$17*'Sales volumes'!H18)</f>
        <v>57735.15</v>
      </c>
      <c r="J14" s="34">
        <f>('Cost Structure'!$C$10*'Sales volumes'!I17+'Cost Structure'!$C$17*'Sales volumes'!I18)</f>
        <v>43139.5</v>
      </c>
      <c r="K14" s="34">
        <f>('Cost Structure'!$C$10*'Sales volumes'!J17+'Cost Structure'!$C$17*'Sales volumes'!J18)</f>
        <v>44174.3</v>
      </c>
      <c r="L14" s="34">
        <f>('Cost Structure'!$C$10*'Sales volumes'!K17+'Cost Structure'!$C$17*'Sales volumes'!K18)</f>
        <v>40334.25</v>
      </c>
      <c r="M14" s="34">
        <f>('Cost Structure'!$C$10*'Sales volumes'!L17+'Cost Structure'!$C$17*'Sales volumes'!L18)</f>
        <v>46021.3</v>
      </c>
      <c r="N14" s="34">
        <f>('Cost Structure'!$C$10*'Sales volumes'!M17+'Cost Structure'!$C$17*'Sales volumes'!M18)</f>
        <v>40655.599999999999</v>
      </c>
    </row>
    <row r="15" spans="1:14">
      <c r="A15" t="s">
        <v>12</v>
      </c>
      <c r="B15">
        <v>29181</v>
      </c>
      <c r="C15" s="34">
        <f>'Cost Structure'!$C$13*'Sales volumes'!B17+'Cost Structure'!$C$20*'Sales volumes'!B18</f>
        <v>133516</v>
      </c>
      <c r="D15" s="34">
        <f>'Cost Structure'!$C$13*'Sales volumes'!C17+'Cost Structure'!$C$20*'Sales volumes'!C18</f>
        <v>98388</v>
      </c>
      <c r="E15" s="34">
        <f>'Cost Structure'!$C$13*'Sales volumes'!D17+'Cost Structure'!$C$20*'Sales volumes'!D18</f>
        <v>135758</v>
      </c>
      <c r="F15" s="34">
        <f>'Cost Structure'!$C$13*'Sales volumes'!E17+'Cost Structure'!$C$20*'Sales volumes'!E18</f>
        <v>127315</v>
      </c>
      <c r="G15" s="34">
        <f>'Cost Structure'!$C$13*'Sales volumes'!F17+'Cost Structure'!$C$20*'Sales volumes'!F18</f>
        <v>121391</v>
      </c>
      <c r="H15" s="34">
        <f>'Cost Structure'!$C$13*'Sales volumes'!G17+'Cost Structure'!$C$20*'Sales volumes'!G18</f>
        <v>120130</v>
      </c>
      <c r="I15" s="34">
        <f>'Cost Structure'!$C$13*'Sales volumes'!H17+'Cost Structure'!$C$20*'Sales volumes'!H18</f>
        <v>133935</v>
      </c>
      <c r="J15" s="34">
        <f>'Cost Structure'!$C$13*'Sales volumes'!I17+'Cost Structure'!$C$20*'Sales volumes'!I18</f>
        <v>102942</v>
      </c>
      <c r="K15" s="34">
        <f>'Cost Structure'!$C$13*'Sales volumes'!J17+'Cost Structure'!$C$20*'Sales volumes'!J18</f>
        <v>104084</v>
      </c>
      <c r="L15" s="34">
        <f>'Cost Structure'!$C$13*'Sales volumes'!K17+'Cost Structure'!$C$20*'Sales volumes'!K18</f>
        <v>94959</v>
      </c>
      <c r="M15" s="34">
        <f>'Cost Structure'!$C$13*'Sales volumes'!L17+'Cost Structure'!$C$20*'Sales volumes'!L18</f>
        <v>105757</v>
      </c>
      <c r="N15" s="34">
        <f>'Cost Structure'!$C$13*'Sales volumes'!M17+'Cost Structure'!$C$20*'Sales volumes'!M18</f>
        <v>95126</v>
      </c>
    </row>
    <row r="18" spans="1:14" s="1" customFormat="1">
      <c r="A18" s="1" t="s">
        <v>45</v>
      </c>
      <c r="B18" s="1" t="s">
        <v>46</v>
      </c>
      <c r="C18" s="43">
        <f>C9+1</f>
        <v>44571</v>
      </c>
      <c r="D18" s="43">
        <f t="shared" ref="D18:N18" si="0">D9+1</f>
        <v>44604</v>
      </c>
      <c r="E18" s="43">
        <f t="shared" si="0"/>
        <v>44632</v>
      </c>
      <c r="F18" s="43">
        <f t="shared" si="0"/>
        <v>44666</v>
      </c>
      <c r="G18" s="43">
        <f t="shared" si="0"/>
        <v>44690</v>
      </c>
      <c r="H18" s="43">
        <f t="shared" si="0"/>
        <v>44725</v>
      </c>
      <c r="I18" s="43">
        <f t="shared" si="0"/>
        <v>44754</v>
      </c>
      <c r="J18" s="43">
        <f t="shared" si="0"/>
        <v>44782</v>
      </c>
      <c r="K18" s="43">
        <f t="shared" si="0"/>
        <v>44818</v>
      </c>
      <c r="L18" s="43">
        <f t="shared" si="0"/>
        <v>44845</v>
      </c>
      <c r="M18" s="43">
        <f t="shared" si="0"/>
        <v>44874</v>
      </c>
      <c r="N18" s="43">
        <f t="shared" si="0"/>
        <v>44908</v>
      </c>
    </row>
    <row r="19" spans="1:14">
      <c r="A19" t="s">
        <v>2</v>
      </c>
      <c r="C19">
        <f>'Sales volumes'!B16</f>
        <v>112917</v>
      </c>
      <c r="D19">
        <f>'Sales volumes'!C16</f>
        <v>117031</v>
      </c>
      <c r="E19">
        <f>'Sales volumes'!D16</f>
        <v>53073</v>
      </c>
      <c r="F19">
        <f>'Sales volumes'!E16</f>
        <v>97363</v>
      </c>
      <c r="G19">
        <f>'Sales volumes'!F16</f>
        <v>85957</v>
      </c>
      <c r="H19">
        <f>'Sales volumes'!G16</f>
        <v>77173</v>
      </c>
      <c r="I19">
        <f>'Sales volumes'!H16</f>
        <v>87954</v>
      </c>
      <c r="J19">
        <f>'Sales volumes'!I16</f>
        <v>96249</v>
      </c>
      <c r="K19">
        <f>'Sales volumes'!J16</f>
        <v>90235</v>
      </c>
      <c r="L19">
        <f>'Sales volumes'!K16</f>
        <v>98895</v>
      </c>
      <c r="M19">
        <f>'Sales volumes'!L16</f>
        <v>93569</v>
      </c>
      <c r="N19">
        <f>'Sales volumes'!M16</f>
        <v>100154</v>
      </c>
    </row>
    <row r="20" spans="1:14">
      <c r="A20" t="s">
        <v>10</v>
      </c>
      <c r="C20">
        <f>'Sales volumes'!B17</f>
        <v>37196</v>
      </c>
      <c r="D20">
        <f>'Sales volumes'!C17</f>
        <v>47179</v>
      </c>
      <c r="E20">
        <f>'Sales volumes'!D17</f>
        <v>54665</v>
      </c>
      <c r="F20">
        <f>'Sales volumes'!E17</f>
        <v>39545</v>
      </c>
      <c r="G20">
        <f>'Sales volumes'!F17</f>
        <v>46351</v>
      </c>
      <c r="H20">
        <f>'Sales volumes'!G17</f>
        <v>44402</v>
      </c>
      <c r="I20">
        <f>'Sales volumes'!H17</f>
        <v>50712</v>
      </c>
      <c r="J20">
        <f>'Sales volumes'!I17</f>
        <v>63688</v>
      </c>
      <c r="K20">
        <f>'Sales volumes'!J17</f>
        <v>53270</v>
      </c>
      <c r="L20">
        <f>'Sales volumes'!K17</f>
        <v>47946</v>
      </c>
      <c r="M20">
        <f>'Sales volumes'!L17</f>
        <v>31387</v>
      </c>
      <c r="N20">
        <f>'Sales volumes'!M17</f>
        <v>43022</v>
      </c>
    </row>
    <row r="21" spans="1:14">
      <c r="A21" t="s">
        <v>14</v>
      </c>
      <c r="C21">
        <f>'Sales volumes'!B18</f>
        <v>96320</v>
      </c>
      <c r="D21">
        <f>'Sales volumes'!C18</f>
        <v>51209</v>
      </c>
      <c r="E21">
        <f>'Sales volumes'!D18</f>
        <v>81093</v>
      </c>
      <c r="F21">
        <f>'Sales volumes'!E18</f>
        <v>87770</v>
      </c>
      <c r="G21">
        <f>'Sales volumes'!F18</f>
        <v>75040</v>
      </c>
      <c r="H21">
        <f>'Sales volumes'!G18</f>
        <v>75728</v>
      </c>
      <c r="I21">
        <f>'Sales volumes'!H18</f>
        <v>83223</v>
      </c>
      <c r="J21">
        <f>'Sales volumes'!I18</f>
        <v>39254</v>
      </c>
      <c r="K21">
        <f>'Sales volumes'!J18</f>
        <v>50814</v>
      </c>
      <c r="L21">
        <f>'Sales volumes'!K18</f>
        <v>47013</v>
      </c>
      <c r="M21">
        <f>'Sales volumes'!L18</f>
        <v>74370</v>
      </c>
      <c r="N21">
        <f>'Sales volumes'!M18</f>
        <v>52104</v>
      </c>
    </row>
    <row r="22" spans="1:14">
      <c r="D22" s="34"/>
      <c r="E22" s="34"/>
      <c r="F22" s="34"/>
      <c r="G22" s="34"/>
      <c r="H22" s="34"/>
      <c r="I22" s="34"/>
      <c r="J22" s="34"/>
      <c r="K22" s="34"/>
      <c r="L22" s="34"/>
      <c r="M22" s="34"/>
      <c r="N22" s="34"/>
    </row>
    <row r="24" spans="1:14" s="1" customFormat="1">
      <c r="A24" s="1" t="s">
        <v>45</v>
      </c>
      <c r="B24" s="1" t="s">
        <v>46</v>
      </c>
      <c r="C24" s="43">
        <v>44571</v>
      </c>
      <c r="D24" s="43">
        <v>44604</v>
      </c>
      <c r="E24" s="43">
        <v>44632</v>
      </c>
      <c r="F24" s="43">
        <v>44666</v>
      </c>
      <c r="G24" s="43">
        <v>44690</v>
      </c>
      <c r="H24" s="43">
        <v>44725</v>
      </c>
      <c r="I24" s="43">
        <v>44754</v>
      </c>
      <c r="J24" s="43">
        <v>44782</v>
      </c>
      <c r="K24" s="43">
        <v>44818</v>
      </c>
      <c r="L24" s="43">
        <v>44845</v>
      </c>
      <c r="M24" s="43">
        <v>44874</v>
      </c>
      <c r="N24" s="43">
        <v>44908</v>
      </c>
    </row>
    <row r="25" spans="1:14" s="44" customFormat="1">
      <c r="A25" s="44" t="s">
        <v>2</v>
      </c>
      <c r="C25" s="81">
        <f>C19*'Cost Structure'!D9-C46</f>
        <v>4770969.0840000007</v>
      </c>
      <c r="D25" s="81">
        <f>D19*'Cost Structure'!E9-D46</f>
        <v>4603648.2519999994</v>
      </c>
      <c r="E25" s="81">
        <f>E19*'Cost Structure'!F9-E46</f>
        <v>2144872.1059999983</v>
      </c>
      <c r="F25" s="81">
        <f>F19*'Cost Structure'!G9-F46</f>
        <v>4050926.2059999993</v>
      </c>
      <c r="G25" s="81">
        <f>G19*'Cost Structure'!H9-G46</f>
        <v>3829096.6439999994</v>
      </c>
      <c r="H25" s="81">
        <f>H19*'Cost Structure'!I9-H46</f>
        <v>3149465.906</v>
      </c>
      <c r="I25" s="81">
        <f>I19*'Cost Structure'!J9-I46</f>
        <v>3840368.0479999981</v>
      </c>
      <c r="J25" s="81">
        <f>J19*'Cost Structure'!K9-J46</f>
        <v>4212716.9779999983</v>
      </c>
      <c r="K25" s="81">
        <f>K19*'Cost Structure'!L9-K46</f>
        <v>3768187.0299999993</v>
      </c>
      <c r="L25" s="81">
        <f>L19*'Cost Structure'!M9-L46</f>
        <v>4188887.9299999997</v>
      </c>
      <c r="M25" s="81">
        <f>M19*'Cost Structure'!N9-M46</f>
        <v>4151178.1780000003</v>
      </c>
      <c r="N25" s="81">
        <f>N19*'Cost Structure'!O9-N46</f>
        <v>3880322.5279999999</v>
      </c>
    </row>
    <row r="26" spans="1:14" s="44" customFormat="1">
      <c r="A26" s="44" t="s">
        <v>10</v>
      </c>
      <c r="C26" s="81">
        <f>C20*'Cost Structure'!D16</f>
        <v>1482334.9920000001</v>
      </c>
      <c r="D26" s="81">
        <f>D20*'Cost Structure'!E16</f>
        <v>2003314.6980000001</v>
      </c>
      <c r="E26" s="81">
        <f>E20*'Cost Structure'!F16</f>
        <v>2357264.1300000004</v>
      </c>
      <c r="F26" s="81">
        <f>F20*'Cost Structure'!G16</f>
        <v>1586229.04</v>
      </c>
      <c r="G26" s="81">
        <f>G20*'Cost Structure'!H16</f>
        <v>1995966.7620000001</v>
      </c>
      <c r="H26" s="81">
        <f>H20*'Cost Structure'!I16</f>
        <v>1622981.9040000003</v>
      </c>
      <c r="I26" s="81">
        <f>I20*'Cost Structure'!J16</f>
        <v>2028074.3040000002</v>
      </c>
      <c r="J26" s="81">
        <f>J20*'Cost Structure'!K16</f>
        <v>2796030.5760000004</v>
      </c>
      <c r="K26" s="81">
        <f>K20*'Cost Structure'!L16</f>
        <v>2123448.7400000002</v>
      </c>
      <c r="L26" s="81">
        <f>L20*'Cost Structure'!M16</f>
        <v>1981224.6120000002</v>
      </c>
      <c r="M26" s="81">
        <f>M20*'Cost Structure'!N16</f>
        <v>1192141.0340000002</v>
      </c>
      <c r="N26" s="81">
        <f>N20*'Cost Structure'!O16</f>
        <v>1646968.2040000001</v>
      </c>
    </row>
    <row r="27" spans="1:14" s="44" customFormat="1">
      <c r="A27" s="44" t="s">
        <v>14</v>
      </c>
      <c r="C27" s="81">
        <f>C21*'Cost Structure'!D23</f>
        <v>4309549.4400000004</v>
      </c>
      <c r="D27" s="81">
        <f>D21*'Cost Structure'!E23</f>
        <v>2416655.1280000005</v>
      </c>
      <c r="E27" s="81">
        <f>E21*'Cost Structure'!F23</f>
        <v>3906411.9960000003</v>
      </c>
      <c r="F27" s="81">
        <f>F21*'Cost Structure'!G23</f>
        <v>3945437.0400000005</v>
      </c>
      <c r="G27" s="81">
        <f>G21*'Cost Structure'!H23</f>
        <v>3656849.2800000003</v>
      </c>
      <c r="H27" s="81">
        <f>H21*'Cost Structure'!I23</f>
        <v>3102727.6159999999</v>
      </c>
      <c r="I27" s="81">
        <f>I21*'Cost Structure'!J23</f>
        <v>3778490.6460000006</v>
      </c>
      <c r="J27" s="81">
        <f>J21*'Cost Structure'!K23</f>
        <v>1931375.3080000002</v>
      </c>
      <c r="K27" s="81">
        <f>K21*'Cost Structure'!L23</f>
        <v>2306040.9480000003</v>
      </c>
      <c r="L27" s="81">
        <f>L21*'Cost Structure'!M23</f>
        <v>2187138.7860000003</v>
      </c>
      <c r="M27" s="81">
        <f>M21*'Cost Structure'!N23</f>
        <v>3180209.9400000004</v>
      </c>
      <c r="N27" s="81">
        <f>N21*'Cost Structure'!O23</f>
        <v>2238492.048</v>
      </c>
    </row>
    <row r="28" spans="1:14">
      <c r="C28" s="44">
        <f>+SUM(C25:C27)</f>
        <v>10562853.516000003</v>
      </c>
      <c r="D28" s="44">
        <f t="shared" ref="D28:N28" si="1">+SUM(D25:D27)</f>
        <v>9023618.0779999997</v>
      </c>
      <c r="E28" s="44">
        <f t="shared" si="1"/>
        <v>8408548.2319999989</v>
      </c>
      <c r="F28" s="44">
        <f t="shared" si="1"/>
        <v>9582592.2860000003</v>
      </c>
      <c r="G28" s="44">
        <f t="shared" si="1"/>
        <v>9481912.6860000007</v>
      </c>
      <c r="H28" s="44">
        <f t="shared" si="1"/>
        <v>7875175.4260000009</v>
      </c>
      <c r="I28" s="44">
        <f t="shared" si="1"/>
        <v>9646932.9979999997</v>
      </c>
      <c r="J28" s="44">
        <f t="shared" si="1"/>
        <v>8940122.8619999997</v>
      </c>
      <c r="K28" s="44">
        <f t="shared" si="1"/>
        <v>8197676.7180000003</v>
      </c>
      <c r="L28" s="44">
        <f t="shared" si="1"/>
        <v>8357251.3279999997</v>
      </c>
      <c r="M28" s="44">
        <f t="shared" si="1"/>
        <v>8523529.1520000007</v>
      </c>
      <c r="N28" s="44">
        <f t="shared" si="1"/>
        <v>7765782.7799999993</v>
      </c>
    </row>
    <row r="30" spans="1:14" s="1" customFormat="1">
      <c r="A30" s="1" t="s">
        <v>47</v>
      </c>
      <c r="B30" s="42">
        <v>44562</v>
      </c>
      <c r="C30" s="42">
        <v>44592</v>
      </c>
      <c r="D30" s="42">
        <v>44620</v>
      </c>
      <c r="E30" s="42">
        <v>44651</v>
      </c>
      <c r="F30" s="42">
        <v>44681</v>
      </c>
      <c r="G30" s="42">
        <v>44712</v>
      </c>
      <c r="H30" s="42">
        <v>44742</v>
      </c>
      <c r="I30" s="42">
        <v>44773</v>
      </c>
      <c r="J30" s="42">
        <v>44804</v>
      </c>
      <c r="K30" s="42">
        <v>44834</v>
      </c>
      <c r="L30" s="42">
        <v>44865</v>
      </c>
      <c r="M30" s="42">
        <v>44895</v>
      </c>
      <c r="N30" s="42">
        <v>44926</v>
      </c>
    </row>
    <row r="31" spans="1:14" s="27" customFormat="1">
      <c r="A31" s="27" t="s">
        <v>3</v>
      </c>
      <c r="B31" s="27">
        <f>B10*'Cost Structure'!D3</f>
        <v>256500</v>
      </c>
      <c r="C31" s="27">
        <f>C2*'Cost Structure'!D3</f>
        <v>158330.79999999993</v>
      </c>
      <c r="D31" s="27">
        <f>D2*'Cost Structure'!E3</f>
        <v>30415.999999999913</v>
      </c>
      <c r="E31" s="27">
        <f>E2*'Cost Structure'!F3</f>
        <v>385540.39999999991</v>
      </c>
      <c r="F31" s="27">
        <f>F2*'Cost Structure'!G3</f>
        <v>426927.99999999977</v>
      </c>
      <c r="G31" s="27">
        <f>G2*'Cost Structure'!H3</f>
        <v>485344.7999999997</v>
      </c>
      <c r="H31" s="27">
        <f>H2*'Cost Structure'!I3</f>
        <v>721887.99999999953</v>
      </c>
      <c r="I31" s="27">
        <f>I2*'Cost Structure'!J3</f>
        <v>777343.1999999996</v>
      </c>
      <c r="J31" s="27">
        <f>J2*'Cost Structure'!K3</f>
        <v>848263.99999999977</v>
      </c>
      <c r="K31" s="27">
        <f>K2*'Cost Structure'!L3</f>
        <v>972703.1999999996</v>
      </c>
      <c r="L31" s="27">
        <f>L2*'Cost Structure'!M3</f>
        <v>841701.59999999963</v>
      </c>
      <c r="M31" s="27">
        <f>M2*'Cost Structure'!N3</f>
        <v>1085339.1999999997</v>
      </c>
      <c r="N31" s="27">
        <f>N2*'Cost Structure'!O3</f>
        <v>886895.99999999953</v>
      </c>
    </row>
    <row r="32" spans="1:14" s="27" customFormat="1">
      <c r="A32" s="27" t="s">
        <v>4</v>
      </c>
      <c r="B32" s="27">
        <f>B11*'Cost Structure'!D4</f>
        <v>582300</v>
      </c>
      <c r="C32" s="27">
        <f>C3*'Cost Structure'!D4</f>
        <v>416425.31999999983</v>
      </c>
      <c r="D32" s="27">
        <f>D3*'Cost Structure'!E4</f>
        <v>435593.75999999989</v>
      </c>
      <c r="E32" s="27">
        <f>E3*'Cost Structure'!F4</f>
        <v>459795.05999999994</v>
      </c>
      <c r="F32" s="27">
        <f>F3*'Cost Structure'!G4</f>
        <v>415182.1799999997</v>
      </c>
      <c r="G32" s="27">
        <f>G3*'Cost Structure'!H4</f>
        <v>402234.41999999969</v>
      </c>
      <c r="H32" s="27">
        <f>H3*'Cost Structure'!I4</f>
        <v>373452.47999999981</v>
      </c>
      <c r="I32" s="27">
        <f>I3*'Cost Structure'!J4</f>
        <v>338635.59999999963</v>
      </c>
      <c r="J32" s="27">
        <f>J3*'Cost Structure'!K4</f>
        <v>325975.67999999976</v>
      </c>
      <c r="K32" s="27">
        <f>K3*'Cost Structure'!L4</f>
        <v>427551.17999999959</v>
      </c>
      <c r="L32" s="27">
        <f>L3*'Cost Structure'!M4</f>
        <v>431522.29999999952</v>
      </c>
      <c r="M32" s="27">
        <f>M3*'Cost Structure'!N4</f>
        <v>405619.65999999968</v>
      </c>
      <c r="N32" s="27">
        <f>N3*'Cost Structure'!O4</f>
        <v>569764.35999999964</v>
      </c>
    </row>
    <row r="33" spans="1:14" s="27" customFormat="1">
      <c r="A33" s="27" t="s">
        <v>5</v>
      </c>
      <c r="B33" s="27">
        <f>B12*'Cost Structure'!D5</f>
        <v>901113</v>
      </c>
      <c r="C33" s="27">
        <f>C4*'Cost Structure'!D5</f>
        <v>309794.0500000001</v>
      </c>
      <c r="D33" s="27">
        <f>D4*'Cost Structure'!E5</f>
        <v>155025.18000000017</v>
      </c>
      <c r="E33" s="27">
        <f>E4*'Cost Structure'!F5</f>
        <v>132180.59999999998</v>
      </c>
      <c r="F33" s="27">
        <f>F4*'Cost Structure'!G5</f>
        <v>229372.36999999979</v>
      </c>
      <c r="G33" s="27">
        <f>G4*'Cost Structure'!H5</f>
        <v>66159.05999999975</v>
      </c>
      <c r="H33" s="27">
        <f>H4*'Cost Structure'!I5</f>
        <v>481405.99999999965</v>
      </c>
      <c r="I33" s="27">
        <f>I4*'Cost Structure'!J5</f>
        <v>230813.51999999915</v>
      </c>
      <c r="J33" s="27">
        <f>J4*'Cost Structure'!K5</f>
        <v>262236.59999999916</v>
      </c>
      <c r="K33" s="27">
        <f>K4*'Cost Structure'!L5</f>
        <v>329941.47999999911</v>
      </c>
      <c r="L33" s="27">
        <f>L4*'Cost Structure'!M5</f>
        <v>357806.19999999937</v>
      </c>
      <c r="M33" s="27">
        <f>M4*'Cost Structure'!N5</f>
        <v>226366.37999999928</v>
      </c>
      <c r="N33" s="27">
        <f>N4*'Cost Structure'!O5</f>
        <v>247645.25999999919</v>
      </c>
    </row>
    <row r="34" spans="1:14" s="27" customFormat="1">
      <c r="A34" s="27" t="s">
        <v>6</v>
      </c>
      <c r="B34" s="27">
        <f>B13*'Cost Structure'!D6</f>
        <v>390663</v>
      </c>
      <c r="C34" s="27">
        <f>C5*'Cost Structure'!D6</f>
        <v>329406</v>
      </c>
      <c r="D34" s="27">
        <f>D5*'Cost Structure'!E6</f>
        <v>155790</v>
      </c>
      <c r="E34" s="27">
        <f>E5*'Cost Structure'!F6</f>
        <v>1180476</v>
      </c>
      <c r="F34" s="27">
        <f>F5*'Cost Structure'!G6</f>
        <v>1720818</v>
      </c>
      <c r="G34" s="27">
        <f>G5*'Cost Structure'!H6</f>
        <v>2045240</v>
      </c>
      <c r="H34" s="27">
        <f>H5*'Cost Structure'!I6</f>
        <v>2971958</v>
      </c>
      <c r="I34" s="27">
        <f>I5*'Cost Structure'!J6</f>
        <v>3299835</v>
      </c>
      <c r="J34" s="27">
        <f>J5*'Cost Structure'!K6</f>
        <v>3246834</v>
      </c>
      <c r="K34" s="27">
        <f>K5*'Cost Structure'!L6</f>
        <v>3813020</v>
      </c>
      <c r="L34" s="27">
        <f>L5*'Cost Structure'!M6</f>
        <v>4236876</v>
      </c>
      <c r="M34" s="27">
        <f>M5*'Cost Structure'!N6</f>
        <v>4145553</v>
      </c>
      <c r="N34" s="27">
        <f>N5*'Cost Structure'!O6</f>
        <v>4788693</v>
      </c>
    </row>
    <row r="35" spans="1:14" s="27" customFormat="1">
      <c r="A35" s="27" t="s">
        <v>11</v>
      </c>
      <c r="B35" s="27">
        <f>B14*'Cost Structure'!D10</f>
        <v>330066</v>
      </c>
      <c r="C35" s="27">
        <f>C6*'Cost Structure'!D10</f>
        <v>2062.7999999999738</v>
      </c>
      <c r="D35" s="27">
        <f>D6*'Cost Structure'!E10</f>
        <v>60780.049999999945</v>
      </c>
      <c r="E35" s="27">
        <f>E6*'Cost Structure'!F10</f>
        <v>82298.699999999983</v>
      </c>
      <c r="F35" s="27">
        <f>F6*'Cost Structure'!G10</f>
        <v>76952.199999999983</v>
      </c>
      <c r="G35" s="27">
        <f>G6*'Cost Structure'!H10</f>
        <v>67582.199999999939</v>
      </c>
      <c r="H35" s="27">
        <f>H6*'Cost Structure'!I10</f>
        <v>57456.599999999926</v>
      </c>
      <c r="I35" s="27">
        <f>I6*'Cost Structure'!J10</f>
        <v>312892.99999999977</v>
      </c>
      <c r="J35" s="27">
        <f>J6*'Cost Structure'!K10</f>
        <v>275113.2999999997</v>
      </c>
      <c r="K35" s="27">
        <f>K6*'Cost Structure'!L10</f>
        <v>149955.29999999978</v>
      </c>
      <c r="L35" s="27">
        <f>L6*'Cost Structure'!M10</f>
        <v>159931.99999999977</v>
      </c>
      <c r="M35" s="27">
        <f>M6*'Cost Structure'!N10</f>
        <v>39505.999999999767</v>
      </c>
      <c r="N35" s="27">
        <f>N6*'Cost Structure'!O10</f>
        <v>23754.599999999817</v>
      </c>
    </row>
    <row r="36" spans="1:14" s="27" customFormat="1">
      <c r="A36" s="27" t="s">
        <v>12</v>
      </c>
      <c r="B36" s="27">
        <f>B15*'Cost Structure'!D13</f>
        <v>554439</v>
      </c>
      <c r="C36" s="27">
        <f>C7*'Cost Structure'!D13</f>
        <v>1330</v>
      </c>
      <c r="D36" s="27">
        <f>D7*'Cost Structure'!E13</f>
        <v>127827</v>
      </c>
      <c r="E36" s="27">
        <f>E7*'Cost Structure'!F13</f>
        <v>447238</v>
      </c>
      <c r="F36" s="27">
        <f>F7*'Cost Structure'!G13</f>
        <v>57266</v>
      </c>
      <c r="G36" s="27">
        <f>G7*'Cost Structure'!H13</f>
        <v>220837</v>
      </c>
      <c r="H36" s="27">
        <f>H7*'Cost Structure'!I13</f>
        <v>25381</v>
      </c>
      <c r="I36" s="27">
        <f>I7*'Cost Structure'!J13</f>
        <v>128486</v>
      </c>
      <c r="J36" s="27">
        <f>J7*'Cost Structure'!K13</f>
        <v>189441</v>
      </c>
      <c r="K36" s="27">
        <f>K7*'Cost Structure'!L13</f>
        <v>158814</v>
      </c>
      <c r="L36" s="27">
        <f>L7*'Cost Structure'!M13</f>
        <v>356972</v>
      </c>
      <c r="M36" s="27">
        <f>M7*'Cost Structure'!N13</f>
        <v>296412</v>
      </c>
      <c r="N36" s="27">
        <f>N7*'Cost Structure'!O13</f>
        <v>454155</v>
      </c>
    </row>
    <row r="37" spans="1:14">
      <c r="C37" s="34"/>
      <c r="D37" s="34"/>
      <c r="E37" s="34"/>
      <c r="F37" s="34"/>
      <c r="G37" s="34"/>
      <c r="H37" s="34"/>
      <c r="I37" s="34"/>
      <c r="J37" s="34"/>
      <c r="K37" s="34"/>
      <c r="L37" s="34"/>
      <c r="M37" s="34"/>
      <c r="N37" s="34"/>
    </row>
    <row r="39" spans="1:14" s="1" customFormat="1">
      <c r="A39" s="1" t="s">
        <v>47</v>
      </c>
      <c r="B39" s="1" t="s">
        <v>44</v>
      </c>
      <c r="C39" s="43">
        <v>44570</v>
      </c>
      <c r="D39" s="43">
        <v>44603</v>
      </c>
      <c r="E39" s="43">
        <v>44631</v>
      </c>
      <c r="F39" s="43">
        <v>44665</v>
      </c>
      <c r="G39" s="43">
        <v>44689</v>
      </c>
      <c r="H39" s="43">
        <v>44724</v>
      </c>
      <c r="I39" s="43">
        <v>44753</v>
      </c>
      <c r="J39" s="43">
        <v>44781</v>
      </c>
      <c r="K39" s="43">
        <v>44817</v>
      </c>
      <c r="L39" s="43">
        <v>44844</v>
      </c>
      <c r="M39" s="43">
        <v>44873</v>
      </c>
      <c r="N39" s="43">
        <v>44907</v>
      </c>
    </row>
    <row r="40" spans="1:14" s="81" customFormat="1">
      <c r="A40" s="81" t="s">
        <v>3</v>
      </c>
      <c r="B40" s="81" t="s">
        <v>3</v>
      </c>
      <c r="C40" s="81">
        <f>C10*'Cost Structure'!D3</f>
        <v>858169.20000000007</v>
      </c>
      <c r="D40" s="81">
        <f>C2*'Cost Structure'!D3+(ERP_Inventory!D10-ERP_Inventory!C2)*'Cost Structure'!E3</f>
        <v>927914.8</v>
      </c>
      <c r="E40" s="81">
        <f>D2*'Cost Structure'!E3+(ERP_Inventory!E10-ERP_Inventory!D2)*'Cost Structure'!F3</f>
        <v>404875.6</v>
      </c>
      <c r="F40" s="81">
        <f>E2*'Cost Structure'!F3+(ERP_Inventory!F10-ERP_Inventory!E2)*'Cost Structure'!G3</f>
        <v>758612.40000000014</v>
      </c>
      <c r="G40" s="81">
        <f>F2*'Cost Structure'!G3+(ERP_Inventory!G10-ERP_Inventory!F2)*'Cost Structure'!H3</f>
        <v>661583.20000000007</v>
      </c>
      <c r="H40" s="81">
        <f>G2*'Cost Structure'!H3+(ERP_Inventory!H10-ERP_Inventory!G2)*'Cost Structure'!I3</f>
        <v>563456.80000000005</v>
      </c>
      <c r="I40" s="81">
        <f>H2*'Cost Structure'!I3+(ERP_Inventory!I10-ERP_Inventory!H2)*'Cost Structure'!J3</f>
        <v>704544.79999999993</v>
      </c>
      <c r="J40" s="81">
        <f>I2*'Cost Structure'!J3+(ERP_Inventory!J10-ERP_Inventory!I2)*'Cost Structure'!K3</f>
        <v>729079.2</v>
      </c>
      <c r="K40" s="81">
        <f>J2*'Cost Structure'!K3+(ERP_Inventory!K10-ERP_Inventory!J2)*'Cost Structure'!L3</f>
        <v>715560.8</v>
      </c>
      <c r="L40" s="81">
        <f>K2*'Cost Structure'!L3+(ERP_Inventory!L10-ERP_Inventory!K2)*'Cost Structure'!M3</f>
        <v>851001.59999999986</v>
      </c>
      <c r="M40" s="81">
        <f>L2*'Cost Structure'!M3+(ERP_Inventory!M10-ERP_Inventory!L2)*'Cost Structure'!N3</f>
        <v>636362.39999999991</v>
      </c>
      <c r="N40" s="81">
        <f>M2*'Cost Structure'!N3+(ERP_Inventory!N10-ERP_Inventory!M2)*'Cost Structure'!O3</f>
        <v>918443.20000000019</v>
      </c>
    </row>
    <row r="41" spans="1:14" s="81" customFormat="1">
      <c r="A41" s="81" t="s">
        <v>4</v>
      </c>
      <c r="B41" s="81" t="s">
        <v>4</v>
      </c>
      <c r="C41" s="81">
        <f>C11*'Cost Structure'!D4</f>
        <v>975874.68</v>
      </c>
      <c r="D41" s="81">
        <f>C3*'Cost Structure'!D4+(ERP_Inventory!D11-ERP_Inventory!C3)*'Cost Structure'!E4</f>
        <v>925831.55999999982</v>
      </c>
      <c r="E41" s="81">
        <f>D3*'Cost Structure'!E4+(ERP_Inventory!E11-ERP_Inventory!D3)*'Cost Structure'!F4</f>
        <v>830798.7</v>
      </c>
      <c r="F41" s="81">
        <f>E3*'Cost Structure'!F4+(ERP_Inventory!F11-ERP_Inventory!E3)*'Cost Structure'!G4</f>
        <v>989612.88</v>
      </c>
      <c r="G41" s="81">
        <f>F3*'Cost Structure'!G4+(ERP_Inventory!G11-ERP_Inventory!F3)*'Cost Structure'!H4</f>
        <v>957947.75999999989</v>
      </c>
      <c r="H41" s="81">
        <f>G3*'Cost Structure'!H4+(ERP_Inventory!H11-ERP_Inventory!G3)*'Cost Structure'!I4</f>
        <v>838781.94</v>
      </c>
      <c r="I41" s="81">
        <f>H3*'Cost Structure'!I4+(ERP_Inventory!I11-ERP_Inventory!H3)*'Cost Structure'!J4</f>
        <v>934816.88000000012</v>
      </c>
      <c r="J41" s="81">
        <f>I3*'Cost Structure'!J4+(ERP_Inventory!J11-ERP_Inventory!I3)*'Cost Structure'!K4</f>
        <v>822659.91999999993</v>
      </c>
      <c r="K41" s="81">
        <f>J3*'Cost Structure'!K4+(ERP_Inventory!K11-ERP_Inventory!J3)*'Cost Structure'!L4</f>
        <v>843424.5</v>
      </c>
      <c r="L41" s="81">
        <f>K3*'Cost Structure'!L4+(ERP_Inventory!L11-ERP_Inventory!K3)*'Cost Structure'!M4</f>
        <v>851028.88000000012</v>
      </c>
      <c r="M41" s="81">
        <f>L3*'Cost Structure'!M4+(ERP_Inventory!M11-ERP_Inventory!L3)*'Cost Structure'!N4</f>
        <v>790902.6399999999</v>
      </c>
      <c r="N41" s="81">
        <f>M3*'Cost Structure'!N4+(ERP_Inventory!N11-ERP_Inventory!M3)*'Cost Structure'!O4</f>
        <v>825855.3</v>
      </c>
    </row>
    <row r="42" spans="1:14" s="81" customFormat="1">
      <c r="A42" s="81" t="s">
        <v>5</v>
      </c>
      <c r="B42" s="81" t="s">
        <v>5</v>
      </c>
      <c r="C42" s="81">
        <f>C12*'Cost Structure'!D5</f>
        <v>2491318.9500000002</v>
      </c>
      <c r="D42" s="81">
        <f>C4*'Cost Structure'!D5+(ERP_Inventory!D12-ERP_Inventory!C4)*'Cost Structure'!E5</f>
        <v>1954768.8699999999</v>
      </c>
      <c r="E42" s="81">
        <f>D4*'Cost Structure'!E5+(ERP_Inventory!E12-ERP_Inventory!D4)*'Cost Structure'!F5</f>
        <v>2022844.58</v>
      </c>
      <c r="F42" s="81">
        <f>E4*'Cost Structure'!F5+(ERP_Inventory!F12-ERP_Inventory!E4)*'Cost Structure'!G5</f>
        <v>2277808.23</v>
      </c>
      <c r="G42" s="81">
        <f>F4*'Cost Structure'!G5+(ERP_Inventory!G12-ERP_Inventory!F4)*'Cost Structure'!H5</f>
        <v>2363213.31</v>
      </c>
      <c r="H42" s="81">
        <f>G4*'Cost Structure'!H5+(ERP_Inventory!H12-ERP_Inventory!G4)*'Cost Structure'!I5</f>
        <v>1794753.0600000003</v>
      </c>
      <c r="I42" s="81">
        <f>H4*'Cost Structure'!I5+(ERP_Inventory!I12-ERP_Inventory!H4)*'Cost Structure'!J5</f>
        <v>2350592.4800000004</v>
      </c>
      <c r="J42" s="81">
        <f>I4*'Cost Structure'!J5+(ERP_Inventory!J12-ERP_Inventory!I4)*'Cost Structure'!K5</f>
        <v>1968576.92</v>
      </c>
      <c r="K42" s="81">
        <f>J4*'Cost Structure'!K5+(ERP_Inventory!K12-ERP_Inventory!J4)*'Cost Structure'!L5</f>
        <v>2132295.12</v>
      </c>
      <c r="L42" s="81">
        <f>K4*'Cost Structure'!L5+(ERP_Inventory!L12-ERP_Inventory!K4)*'Cost Structure'!M5</f>
        <v>1972135.2799999998</v>
      </c>
      <c r="M42" s="81">
        <f>L4*'Cost Structure'!M5+(ERP_Inventory!M12-ERP_Inventory!L4)*'Cost Structure'!N5</f>
        <v>1931439.8200000003</v>
      </c>
      <c r="N42" s="81">
        <f>M4*'Cost Structure'!N5+(ERP_Inventory!N12-ERP_Inventory!M4)*'Cost Structure'!O5</f>
        <v>1778721.1199999999</v>
      </c>
    </row>
    <row r="43" spans="1:14" s="81" customFormat="1">
      <c r="A43" s="81" t="s">
        <v>6</v>
      </c>
      <c r="B43" s="81" t="s">
        <v>6</v>
      </c>
      <c r="C43" s="81">
        <f>C13*'Cost Structure'!D6</f>
        <v>2371257</v>
      </c>
      <c r="D43" s="81">
        <f>C5*'Cost Structure'!D6+(ERP_Inventory!D13-ERP_Inventory!C5)*'Cost Structure'!E6</f>
        <v>2153616</v>
      </c>
      <c r="E43" s="81">
        <f>D5*'Cost Structure'!E6+(ERP_Inventory!E13-ERP_Inventory!D5)*'Cost Structure'!F6</f>
        <v>955314</v>
      </c>
      <c r="F43" s="81">
        <f>E5*'Cost Structure'!F6+(ERP_Inventory!F13-ERP_Inventory!E5)*'Cost Structure'!G6</f>
        <v>1879658</v>
      </c>
      <c r="G43" s="81">
        <f>F5*'Cost Structure'!G6+(ERP_Inventory!G13-ERP_Inventory!F5)*'Cost Structure'!H6</f>
        <v>1875578</v>
      </c>
      <c r="H43" s="81">
        <f>G5*'Cost Structure'!H6+(ERP_Inventory!H13-ERP_Inventory!G5)*'Cost Structure'!I6</f>
        <v>1493282</v>
      </c>
      <c r="I43" s="81">
        <f>H5*'Cost Structure'!I6+(ERP_Inventory!I13-ERP_Inventory!H5)*'Cost Structure'!J6</f>
        <v>1982123</v>
      </c>
      <c r="J43" s="81">
        <f>I5*'Cost Structure'!J6+(ERP_Inventory!J13-ERP_Inventory!I5)*'Cost Structure'!K6</f>
        <v>2143001</v>
      </c>
      <c r="K43" s="81">
        <f>J5*'Cost Structure'!K6+(ERP_Inventory!K13-ERP_Inventory!J5)*'Cost Structure'!L6</f>
        <v>1633814</v>
      </c>
      <c r="L43" s="81">
        <f>K5*'Cost Structure'!L6+(ERP_Inventory!L13-ERP_Inventory!K5)*'Cost Structure'!M6</f>
        <v>1886144</v>
      </c>
      <c r="M43" s="81">
        <f>L5*'Cost Structure'!M6+(ERP_Inventory!M13-ERP_Inventory!L5)*'Cost Structure'!N6</f>
        <v>2181323</v>
      </c>
      <c r="N43" s="81">
        <f>M5*'Cost Structure'!N6+(ERP_Inventory!N13-ERP_Inventory!M5)*'Cost Structure'!O6</f>
        <v>1666860</v>
      </c>
    </row>
    <row r="44" spans="1:14" s="81" customFormat="1">
      <c r="A44" s="81" t="s">
        <v>11</v>
      </c>
      <c r="B44" s="81" t="s">
        <v>11</v>
      </c>
      <c r="C44" s="81">
        <f>C14*'Cost Structure'!D10</f>
        <v>1048003.2000000001</v>
      </c>
      <c r="D44" s="81">
        <f>C6*'Cost Structure'!D10+(ERP_Inventory!D14-ERP_Inventory!C6)*'Cost Structure'!E10</f>
        <v>796282.75</v>
      </c>
      <c r="E44" s="81">
        <f>D6*'Cost Structure'!E10+(ERP_Inventory!E14-ERP_Inventory!D6)*'Cost Structure'!F10</f>
        <v>998481.35</v>
      </c>
      <c r="F44" s="81">
        <f>E6*'Cost Structure'!F10+(ERP_Inventory!F14-ERP_Inventory!E6)*'Cost Structure'!G10</f>
        <v>940346.5</v>
      </c>
      <c r="G44" s="81">
        <f>F6*'Cost Structure'!G10+(ERP_Inventory!G14-ERP_Inventory!F6)*'Cost Structure'!H10</f>
        <v>1080370</v>
      </c>
      <c r="H44" s="81">
        <f>G6*'Cost Structure'!H10+(ERP_Inventory!H14-ERP_Inventory!G6)*'Cost Structure'!I10</f>
        <v>894125.59999999986</v>
      </c>
      <c r="I44" s="81">
        <f>H6*'Cost Structure'!I10+(ERP_Inventory!I14-ERP_Inventory!H6)*'Cost Structure'!J10</f>
        <v>1144563.5999999999</v>
      </c>
      <c r="J44" s="81">
        <f>I6*'Cost Structure'!J10+(ERP_Inventory!J14-ERP_Inventory!I6)*'Cost Structure'!K10</f>
        <v>917779.70000000007</v>
      </c>
      <c r="K44" s="81">
        <f>J6*'Cost Structure'!K10+(ERP_Inventory!K14-ERP_Inventory!J6)*'Cost Structure'!L10</f>
        <v>845158</v>
      </c>
      <c r="L44" s="81">
        <f>K6*'Cost Structure'!L10+(ERP_Inventory!L14-ERP_Inventory!K6)*'Cost Structure'!M10</f>
        <v>790023.3</v>
      </c>
      <c r="M44" s="81">
        <f>L6*'Cost Structure'!M10+(ERP_Inventory!M14-ERP_Inventory!L6)*'Cost Structure'!N10</f>
        <v>920426</v>
      </c>
      <c r="N44" s="81">
        <f>M6*'Cost Structure'!N10+(ERP_Inventory!N14-ERP_Inventory!M6)*'Cost Structure'!O10</f>
        <v>735751.39999999991</v>
      </c>
    </row>
    <row r="45" spans="1:14" s="81" customFormat="1">
      <c r="A45" s="81" t="s">
        <v>12</v>
      </c>
      <c r="B45" s="81" t="s">
        <v>12</v>
      </c>
      <c r="C45" s="81">
        <f>C15*'Cost Structure'!D13</f>
        <v>2536804</v>
      </c>
      <c r="D45" s="81">
        <f>C7*'Cost Structure'!D13+(ERP_Inventory!D15-ERP_Inventory!C7)*'Cost Structure'!E13</f>
        <v>2066008</v>
      </c>
      <c r="E45" s="81">
        <f>D7*'Cost Structure'!E13+(ERP_Inventory!E15-ERP_Inventory!D7)*'Cost Structure'!F13</f>
        <v>2980589</v>
      </c>
      <c r="F45" s="81">
        <f>E7*'Cost Structure'!F13+(ERP_Inventory!F15-ERP_Inventory!E7)*'Cost Structure'!G13</f>
        <v>2479972</v>
      </c>
      <c r="G45" s="81">
        <f>F7*'Cost Structure'!G13+(ERP_Inventory!G15-ERP_Inventory!F7)*'Cost Structure'!H13</f>
        <v>2306429</v>
      </c>
      <c r="H45" s="81">
        <f>G7*'Cost Structure'!H13+(ERP_Inventory!H15-ERP_Inventory!G7)*'Cost Structure'!I13</f>
        <v>2065456</v>
      </c>
      <c r="I45" s="81">
        <f>H7*'Cost Structure'!I13+(ERP_Inventory!I15-ERP_Inventory!H7)*'Cost Structure'!J13</f>
        <v>2276895</v>
      </c>
      <c r="J45" s="81">
        <f>I7*'Cost Structure'!J13+(ERP_Inventory!J15-ERP_Inventory!I7)*'Cost Structure'!K13</f>
        <v>2131550</v>
      </c>
      <c r="K45" s="81">
        <f>J7*'Cost Structure'!K13+(ERP_Inventory!K15-ERP_Inventory!J7)*'Cost Structure'!L13</f>
        <v>1805512</v>
      </c>
      <c r="L45" s="81">
        <f>K7*'Cost Structure'!L13+(ERP_Inventory!L15-ERP_Inventory!K7)*'Cost Structure'!M13</f>
        <v>1785537</v>
      </c>
      <c r="M45" s="81">
        <f>L7*'Cost Structure'!M13+(ERP_Inventory!M15-ERP_Inventory!L7)*'Cost Structure'!N13</f>
        <v>1835445</v>
      </c>
      <c r="N45" s="81">
        <f>M7*'Cost Structure'!N13+(ERP_Inventory!N15-ERP_Inventory!M7)*'Cost Structure'!O13</f>
        <v>1617142</v>
      </c>
    </row>
    <row r="46" spans="1:14" s="81" customFormat="1">
      <c r="A46" s="81" t="s">
        <v>130</v>
      </c>
      <c r="B46" s="81" t="s">
        <v>132</v>
      </c>
      <c r="D46" s="142">
        <v>61441.4700000007</v>
      </c>
      <c r="E46" s="142">
        <v>-26091.799999997951</v>
      </c>
      <c r="F46" s="142">
        <v>263423.05000000075</v>
      </c>
      <c r="G46" s="142">
        <v>-144807.70999999903</v>
      </c>
      <c r="H46" s="142">
        <v>149834.19000000041</v>
      </c>
      <c r="I46" s="142">
        <v>-6277.2799999974668</v>
      </c>
      <c r="J46" s="142">
        <v>-256690.57999999821</v>
      </c>
      <c r="K46" s="142">
        <v>207747.54000000097</v>
      </c>
      <c r="L46" s="142">
        <v>16325.259999999776</v>
      </c>
      <c r="M46" s="142">
        <v>-335247.21999999974</v>
      </c>
      <c r="N46" s="142">
        <v>354388.90000000037</v>
      </c>
    </row>
    <row r="47" spans="1:14" s="81" customFormat="1">
      <c r="A47" s="81" t="s">
        <v>127</v>
      </c>
      <c r="B47" s="81" t="s">
        <v>88</v>
      </c>
      <c r="C47" s="81">
        <v>281426</v>
      </c>
      <c r="D47" s="81">
        <f>+Wages!E4+Wages!E7+Wages!E10</f>
        <v>199196.098</v>
      </c>
      <c r="E47" s="81">
        <f>+Wages!F4+Wages!F7+Wages!F10</f>
        <v>215645.00200000001</v>
      </c>
      <c r="F47" s="81">
        <f>+Wages!G4+Wages!G7+Wages!G10</f>
        <v>256582.27599999998</v>
      </c>
      <c r="G47" s="81">
        <f>+Wages!H4+Wages!H7+Wages!H10</f>
        <v>236791.416</v>
      </c>
      <c r="H47" s="81">
        <f>+Wages!I4+Wages!I7+Wages!I10</f>
        <v>225320.02600000001</v>
      </c>
      <c r="I47" s="81">
        <f>+Wages!J4+Wages!J7+Wages!J10</f>
        <v>253397.23799999998</v>
      </c>
      <c r="J47" s="81">
        <f>+Wages!K4+Wages!K7+Wages!K10</f>
        <v>227476.122</v>
      </c>
      <c r="K47" s="81">
        <f>+Wages!L4+Wages!L7+Wages!L10</f>
        <v>221912.29800000001</v>
      </c>
      <c r="L47" s="81">
        <f>+Wages!M4+Wages!M7+Wages!M10</f>
        <v>221381.26799999998</v>
      </c>
      <c r="M47" s="81">
        <f>+Wages!N4+Wages!N7+Wages!N10</f>
        <v>227630.29200000002</v>
      </c>
      <c r="N47" s="81">
        <f>+Wages!O4+Wages!O7+Wages!O10</f>
        <v>223009.76</v>
      </c>
    </row>
    <row r="48" spans="1:14">
      <c r="C48" s="27"/>
      <c r="D48" s="27"/>
      <c r="E48" s="27"/>
      <c r="F48" s="27"/>
      <c r="G48" s="27"/>
      <c r="H48" s="27"/>
      <c r="I48" s="27"/>
      <c r="J48" s="27"/>
      <c r="K48" s="27"/>
      <c r="L48" s="27"/>
      <c r="M48" s="27"/>
      <c r="N48" s="27"/>
    </row>
    <row r="49" spans="2:14" ht="15.5" customHeight="1">
      <c r="D49" s="28"/>
      <c r="E49" s="28"/>
      <c r="F49" s="28"/>
      <c r="G49" s="28"/>
      <c r="H49" s="28"/>
      <c r="I49" s="28"/>
      <c r="J49" s="28"/>
      <c r="K49" s="28"/>
      <c r="L49" s="28"/>
      <c r="M49" s="28"/>
      <c r="N49" s="28"/>
    </row>
    <row r="50" spans="2:14" s="48" customFormat="1" ht="11">
      <c r="B50" s="48" t="s">
        <v>48</v>
      </c>
      <c r="C50" s="48">
        <f>B31+Purchases!C11-ERP_Inventory!C40-C31</f>
        <v>0</v>
      </c>
      <c r="D50" s="48">
        <f>C31+Purchases!D11-ERP_Inventory!D40-D31</f>
        <v>-2.9103830456733704E-11</v>
      </c>
      <c r="E50" s="48">
        <f>D31+Purchases!E11-ERP_Inventory!E40-E31</f>
        <v>0</v>
      </c>
      <c r="F50" s="48">
        <f>E31+Purchases!F11-ERP_Inventory!F40-F31</f>
        <v>0</v>
      </c>
      <c r="G50" s="48">
        <f>F31+Purchases!G11-ERP_Inventory!G40-G31</f>
        <v>0</v>
      </c>
      <c r="H50" s="48">
        <f>G31+Purchases!H11-ERP_Inventory!H40-H31</f>
        <v>0</v>
      </c>
      <c r="I50" s="48">
        <f>H31+Purchases!I11-ERP_Inventory!I40-I31</f>
        <v>0</v>
      </c>
      <c r="J50" s="48">
        <f>I31+Purchases!J11-ERP_Inventory!J40-J31</f>
        <v>0</v>
      </c>
      <c r="K50" s="48">
        <f>J31+Purchases!K11-ERP_Inventory!K40-K31</f>
        <v>0</v>
      </c>
      <c r="L50" s="48">
        <f>K31+Purchases!L11-ERP_Inventory!L40-L31</f>
        <v>0</v>
      </c>
      <c r="M50" s="48">
        <f>L31+Purchases!M11-ERP_Inventory!M40-M31</f>
        <v>0</v>
      </c>
      <c r="N50" s="48">
        <f>M31+Purchases!N11-ERP_Inventory!N40-N31</f>
        <v>0</v>
      </c>
    </row>
    <row r="51" spans="2:14" s="48" customFormat="1" ht="11">
      <c r="B51" s="48" t="s">
        <v>48</v>
      </c>
      <c r="C51" s="48">
        <f>B32+Purchases!C12-ERP_Inventory!C41-C32</f>
        <v>0</v>
      </c>
      <c r="D51" s="48">
        <f>C32+Purchases!D12-ERP_Inventory!D41-D32</f>
        <v>0</v>
      </c>
      <c r="E51" s="48">
        <f>D32+Purchases!E12-ERP_Inventory!E41-E32</f>
        <v>0</v>
      </c>
      <c r="F51" s="48">
        <f>E32+Purchases!F12-ERP_Inventory!F41-F32</f>
        <v>0</v>
      </c>
      <c r="G51" s="48">
        <f>F32+Purchases!G12-ERP_Inventory!G41-G32</f>
        <v>0</v>
      </c>
      <c r="H51" s="48">
        <f>G32+Purchases!H12-ERP_Inventory!H41-H32</f>
        <v>0</v>
      </c>
      <c r="I51" s="48">
        <f>H32+Purchases!I12-ERP_Inventory!I41-I32</f>
        <v>0</v>
      </c>
      <c r="J51" s="48">
        <f>I32+Purchases!J12-ERP_Inventory!J41-J32</f>
        <v>0</v>
      </c>
      <c r="K51" s="48">
        <f>J32+Purchases!K12-ERP_Inventory!K41-K32</f>
        <v>0</v>
      </c>
      <c r="L51" s="48">
        <f>K32+Purchases!L12-ERP_Inventory!L41-L32</f>
        <v>0</v>
      </c>
      <c r="M51" s="48">
        <f>L32+Purchases!M12-ERP_Inventory!M41-M32</f>
        <v>0</v>
      </c>
      <c r="N51" s="48">
        <f>M32+Purchases!N12-ERP_Inventory!N41-N32</f>
        <v>0</v>
      </c>
    </row>
    <row r="52" spans="2:14" s="48" customFormat="1" ht="11">
      <c r="B52" s="48" t="s">
        <v>48</v>
      </c>
      <c r="C52" s="48">
        <f>B33+Purchases!C13-ERP_Inventory!C42-C33</f>
        <v>0</v>
      </c>
      <c r="D52" s="48">
        <f>C33+Purchases!D13-ERP_Inventory!D42-D33</f>
        <v>2.3283064365386963E-10</v>
      </c>
      <c r="E52" s="48">
        <f>D33+Purchases!E13-ERP_Inventory!E42-E33</f>
        <v>0</v>
      </c>
      <c r="F52" s="48">
        <f>E33+Purchases!F13-ERP_Inventory!F42-F33</f>
        <v>3.2014213502407074E-10</v>
      </c>
      <c r="G52" s="48">
        <f>F33+Purchases!G13-ERP_Inventory!G42-G33</f>
        <v>-1.6007106751203537E-10</v>
      </c>
      <c r="H52" s="48">
        <f>G33+Purchases!H13-ERP_Inventory!H42-H33</f>
        <v>0</v>
      </c>
      <c r="I52" s="48">
        <f>H33+Purchases!I13-ERP_Inventory!I42-I33</f>
        <v>0</v>
      </c>
      <c r="J52" s="48">
        <f>I33+Purchases!J13-ERP_Inventory!J42-J33</f>
        <v>0</v>
      </c>
      <c r="K52" s="48">
        <f>J33+Purchases!K13-ERP_Inventory!K42-K33</f>
        <v>0</v>
      </c>
      <c r="L52" s="48">
        <f>K33+Purchases!L13-ERP_Inventory!L42-L33</f>
        <v>0</v>
      </c>
      <c r="M52" s="48">
        <f>L33+Purchases!M13-ERP_Inventory!M42-M33</f>
        <v>-3.2014213502407074E-10</v>
      </c>
      <c r="N52" s="48">
        <f>M33+Purchases!N13-ERP_Inventory!N42-N33</f>
        <v>0</v>
      </c>
    </row>
    <row r="53" spans="2:14" s="48" customFormat="1" ht="11">
      <c r="B53" s="48" t="s">
        <v>48</v>
      </c>
      <c r="C53" s="48">
        <f>B34+Purchases!C14-ERP_Inventory!C43-C34</f>
        <v>0</v>
      </c>
      <c r="D53" s="48">
        <f>C34+Purchases!D14-ERP_Inventory!D43-D34</f>
        <v>0</v>
      </c>
      <c r="E53" s="48">
        <f>D34+Purchases!E14-ERP_Inventory!E43-E34</f>
        <v>0</v>
      </c>
      <c r="F53" s="48">
        <f>E34+Purchases!F14-ERP_Inventory!F43-F34</f>
        <v>0</v>
      </c>
      <c r="G53" s="48">
        <f>F34+Purchases!G14-ERP_Inventory!G43-G34</f>
        <v>0</v>
      </c>
      <c r="H53" s="48">
        <f>G34+Purchases!H14-ERP_Inventory!H43-H34</f>
        <v>0</v>
      </c>
      <c r="I53" s="48">
        <f>H34+Purchases!I14-ERP_Inventory!I43-I34</f>
        <v>0</v>
      </c>
      <c r="J53" s="48">
        <f>I34+Purchases!J14-ERP_Inventory!J43-J34</f>
        <v>0</v>
      </c>
      <c r="K53" s="48">
        <f>J34+Purchases!K14-ERP_Inventory!K43-K34</f>
        <v>0</v>
      </c>
      <c r="L53" s="48">
        <f>K34+Purchases!L14-ERP_Inventory!L43-L34</f>
        <v>0</v>
      </c>
      <c r="M53" s="48">
        <f>L34+Purchases!M14-ERP_Inventory!M43-M34</f>
        <v>0</v>
      </c>
      <c r="N53" s="48">
        <f>M34+Purchases!N14-ERP_Inventory!N43-N34</f>
        <v>0</v>
      </c>
    </row>
    <row r="54" spans="2:14" s="48" customFormat="1" ht="11">
      <c r="B54" s="48" t="s">
        <v>48</v>
      </c>
      <c r="C54" s="48">
        <f>B35+Purchases!C15-ERP_Inventory!C44-C35</f>
        <v>-4.3655745685100555E-11</v>
      </c>
      <c r="D54" s="48">
        <f>C35+Purchases!D15-ERP_Inventory!D44-D35</f>
        <v>0</v>
      </c>
      <c r="E54" s="48">
        <f>D35+Purchases!E15-ERP_Inventory!E44-E35</f>
        <v>0</v>
      </c>
      <c r="F54" s="48">
        <f>E35+Purchases!F15-ERP_Inventory!F44-F35</f>
        <v>0</v>
      </c>
      <c r="G54" s="48">
        <f>F35+Purchases!G15-ERP_Inventory!G44-G35</f>
        <v>0</v>
      </c>
      <c r="H54" s="48">
        <f>G35+Purchases!H15-ERP_Inventory!H44-H35</f>
        <v>1.673470251262188E-10</v>
      </c>
      <c r="I54" s="48">
        <f>H35+Purchases!I15-ERP_Inventory!I44-I35</f>
        <v>0</v>
      </c>
      <c r="J54" s="48">
        <f>I35+Purchases!J15-ERP_Inventory!J44-J35</f>
        <v>0</v>
      </c>
      <c r="K54" s="48">
        <f>J35+Purchases!K15-ERP_Inventory!K44-K35</f>
        <v>0</v>
      </c>
      <c r="L54" s="48">
        <f>K35+Purchases!L15-ERP_Inventory!L44-L35</f>
        <v>0</v>
      </c>
      <c r="M54" s="48">
        <f>L35+Purchases!M15-ERP_Inventory!M44-M35</f>
        <v>0</v>
      </c>
      <c r="N54" s="48">
        <f>M35+Purchases!N15-ERP_Inventory!N44-N35</f>
        <v>4.3655745685100555E-11</v>
      </c>
    </row>
    <row r="55" spans="2:14" s="48" customFormat="1" ht="11">
      <c r="B55" s="48" t="s">
        <v>48</v>
      </c>
      <c r="C55" s="48">
        <f>B36+Purchases!C16-ERP_Inventory!C45-C36</f>
        <v>0</v>
      </c>
      <c r="D55" s="48">
        <f>C36+Purchases!D16-ERP_Inventory!D45-D36</f>
        <v>0</v>
      </c>
      <c r="E55" s="48">
        <f>D36+Purchases!E16-ERP_Inventory!E45-E36</f>
        <v>0</v>
      </c>
      <c r="F55" s="48">
        <f>E36+Purchases!F16-ERP_Inventory!F45-F36</f>
        <v>0</v>
      </c>
      <c r="G55" s="48">
        <f>F36+Purchases!G16-ERP_Inventory!G45-G36</f>
        <v>0</v>
      </c>
      <c r="H55" s="48">
        <f>G36+Purchases!H16-ERP_Inventory!H45-H36</f>
        <v>0</v>
      </c>
      <c r="I55" s="48">
        <f>H36+Purchases!I16-ERP_Inventory!I45-I36</f>
        <v>0</v>
      </c>
      <c r="J55" s="48">
        <f>I36+Purchases!J16-ERP_Inventory!J45-J36</f>
        <v>0</v>
      </c>
      <c r="K55" s="48">
        <f>J36+Purchases!K16-ERP_Inventory!K45-K36</f>
        <v>0</v>
      </c>
      <c r="L55" s="48">
        <f>K36+Purchases!L16-ERP_Inventory!L45-L36</f>
        <v>0</v>
      </c>
      <c r="M55" s="48">
        <f>L36+Purchases!M16-ERP_Inventory!M45-M36</f>
        <v>0</v>
      </c>
      <c r="N55" s="48">
        <f>M36+Purchases!N16-ERP_Inventory!N45-N36</f>
        <v>0</v>
      </c>
    </row>
    <row r="56" spans="2:14" s="45" customFormat="1" ht="11">
      <c r="C56" s="46"/>
    </row>
    <row r="57" spans="2:14" s="45" customFormat="1" ht="11">
      <c r="C57" s="47"/>
      <c r="D57" s="47"/>
      <c r="E57" s="47"/>
      <c r="F57" s="47"/>
      <c r="G57" s="47"/>
      <c r="H57" s="47"/>
      <c r="I57" s="47"/>
      <c r="J57" s="47"/>
      <c r="K57" s="47"/>
      <c r="L57" s="47"/>
      <c r="M57" s="47"/>
      <c r="N57" s="47"/>
    </row>
    <row r="58" spans="2:14">
      <c r="B58" t="s">
        <v>129</v>
      </c>
      <c r="C58" s="28">
        <f>SUM(C40:C47)</f>
        <v>10562853.030000001</v>
      </c>
      <c r="D58" s="28">
        <f t="shared" ref="D58:N58" si="2">SUM(D40:D47)</f>
        <v>9085059.5480000004</v>
      </c>
      <c r="E58" s="28">
        <f t="shared" si="2"/>
        <v>8382456.4320000019</v>
      </c>
      <c r="F58" s="28">
        <f t="shared" si="2"/>
        <v>9846015.3360000011</v>
      </c>
      <c r="G58" s="28">
        <f t="shared" si="2"/>
        <v>9337104.9759999998</v>
      </c>
      <c r="H58" s="28">
        <f t="shared" si="2"/>
        <v>8025009.6160000004</v>
      </c>
      <c r="I58" s="28">
        <f t="shared" si="2"/>
        <v>9640655.7180000022</v>
      </c>
      <c r="J58" s="28">
        <f t="shared" si="2"/>
        <v>8683432.2820000015</v>
      </c>
      <c r="K58" s="28">
        <f t="shared" si="2"/>
        <v>8405424.2580000013</v>
      </c>
      <c r="L58" s="28">
        <f t="shared" si="2"/>
        <v>8373576.5879999995</v>
      </c>
      <c r="M58" s="28">
        <f t="shared" si="2"/>
        <v>8188281.932000001</v>
      </c>
      <c r="N58" s="28">
        <f t="shared" si="2"/>
        <v>8120171.6799999997</v>
      </c>
    </row>
    <row r="59" spans="2:14">
      <c r="B59" t="s">
        <v>128</v>
      </c>
      <c r="C59" s="28">
        <f>SUM(C25:C27)+C46</f>
        <v>10562853.516000003</v>
      </c>
      <c r="D59" s="28">
        <f t="shared" ref="D59:N59" si="3">SUM(D25:D27)+D46</f>
        <v>9085059.5480000004</v>
      </c>
      <c r="E59" s="28">
        <f t="shared" si="3"/>
        <v>8382456.432000001</v>
      </c>
      <c r="F59" s="28">
        <f t="shared" si="3"/>
        <v>9846015.3360000011</v>
      </c>
      <c r="G59" s="28">
        <f t="shared" si="3"/>
        <v>9337104.9760000017</v>
      </c>
      <c r="H59" s="28">
        <f t="shared" si="3"/>
        <v>8025009.6160000013</v>
      </c>
      <c r="I59" s="28">
        <f t="shared" si="3"/>
        <v>9640655.7180000022</v>
      </c>
      <c r="J59" s="28">
        <f t="shared" si="3"/>
        <v>8683432.2820000015</v>
      </c>
      <c r="K59" s="28">
        <f t="shared" si="3"/>
        <v>8405424.2580000013</v>
      </c>
      <c r="L59" s="28">
        <f t="shared" si="3"/>
        <v>8373576.5879999995</v>
      </c>
      <c r="M59" s="28">
        <f t="shared" si="3"/>
        <v>8188281.932000001</v>
      </c>
      <c r="N59" s="28">
        <f t="shared" si="3"/>
        <v>8120171.6799999997</v>
      </c>
    </row>
    <row r="60" spans="2:14" s="48" customFormat="1" ht="11">
      <c r="B60" s="48" t="s">
        <v>48</v>
      </c>
      <c r="C60" s="48">
        <f>C58-C59</f>
        <v>-0.48600000143051147</v>
      </c>
      <c r="D60" s="48">
        <f t="shared" ref="D60:N60" si="4">D58-D59</f>
        <v>0</v>
      </c>
      <c r="E60" s="48">
        <f>E58-E59</f>
        <v>0</v>
      </c>
      <c r="F60" s="48">
        <f t="shared" si="4"/>
        <v>0</v>
      </c>
      <c r="G60" s="48">
        <f t="shared" si="4"/>
        <v>0</v>
      </c>
      <c r="H60" s="48">
        <f t="shared" si="4"/>
        <v>0</v>
      </c>
      <c r="I60" s="48">
        <f t="shared" si="4"/>
        <v>0</v>
      </c>
      <c r="J60" s="48">
        <f t="shared" si="4"/>
        <v>0</v>
      </c>
      <c r="K60" s="48">
        <f t="shared" si="4"/>
        <v>0</v>
      </c>
      <c r="L60" s="48">
        <f t="shared" si="4"/>
        <v>0</v>
      </c>
      <c r="M60" s="48">
        <f t="shared" si="4"/>
        <v>0</v>
      </c>
      <c r="N60" s="48">
        <f t="shared" si="4"/>
        <v>0</v>
      </c>
    </row>
    <row r="61" spans="2:14">
      <c r="C61" s="28"/>
      <c r="D61" s="28"/>
      <c r="E61" s="28"/>
      <c r="F61" s="28"/>
      <c r="G61" s="28"/>
      <c r="H61" s="28"/>
      <c r="I61" s="28"/>
      <c r="J61" s="28"/>
      <c r="K61" s="28"/>
      <c r="L61" s="28"/>
      <c r="M61" s="28"/>
      <c r="N61" s="28"/>
    </row>
    <row r="62" spans="2:14">
      <c r="C62" s="99" t="s">
        <v>133</v>
      </c>
      <c r="D62" s="100" t="s">
        <v>134</v>
      </c>
      <c r="E62" s="100" t="s">
        <v>135</v>
      </c>
      <c r="F62" s="100" t="s">
        <v>136</v>
      </c>
      <c r="G62" s="100" t="s">
        <v>137</v>
      </c>
      <c r="H62" s="28"/>
      <c r="I62" s="28"/>
      <c r="J62" s="28"/>
      <c r="K62" s="28"/>
      <c r="L62" s="28"/>
      <c r="M62" s="28"/>
      <c r="N62" s="28"/>
    </row>
    <row r="63" spans="2:14" hidden="1">
      <c r="C63" s="108">
        <v>44570</v>
      </c>
      <c r="D63" s="101" t="s">
        <v>81</v>
      </c>
      <c r="E63" s="102">
        <f>HLOOKUP(C63,$A$39:$N$45,2,0)</f>
        <v>858169.20000000007</v>
      </c>
      <c r="F63" s="103"/>
      <c r="G63" s="101" t="s">
        <v>3</v>
      </c>
    </row>
    <row r="64" spans="2:14" hidden="1">
      <c r="C64" s="108">
        <v>44570</v>
      </c>
      <c r="D64" s="101" t="s">
        <v>81</v>
      </c>
      <c r="E64" s="102">
        <f>HLOOKUP(C64,$A$39:$N$45,3,0)</f>
        <v>975874.68</v>
      </c>
      <c r="F64" s="103"/>
      <c r="G64" s="101" t="s">
        <v>4</v>
      </c>
      <c r="H64" s="28"/>
      <c r="L64" s="28">
        <f>F25</f>
        <v>4050926.2059999993</v>
      </c>
      <c r="M64" s="28">
        <f>F40</f>
        <v>758612.40000000014</v>
      </c>
    </row>
    <row r="65" spans="3:13" hidden="1">
      <c r="C65" s="108">
        <v>44570</v>
      </c>
      <c r="D65" s="101" t="s">
        <v>81</v>
      </c>
      <c r="E65" s="102">
        <f>HLOOKUP(C65,$A$39:$N$45,4,0)</f>
        <v>2491318.9500000002</v>
      </c>
      <c r="F65" s="103"/>
      <c r="G65" s="101" t="s">
        <v>5</v>
      </c>
      <c r="L65" s="28">
        <f t="shared" ref="L65:L66" si="5">F26</f>
        <v>1586229.04</v>
      </c>
      <c r="M65" s="28">
        <f t="shared" ref="M65:M69" si="6">F41</f>
        <v>989612.88</v>
      </c>
    </row>
    <row r="66" spans="3:13" hidden="1">
      <c r="C66" s="108">
        <v>44570</v>
      </c>
      <c r="D66" s="101" t="s">
        <v>81</v>
      </c>
      <c r="E66" s="102">
        <f>HLOOKUP(C66,$A$39:$N$45,5,0)</f>
        <v>2371257</v>
      </c>
      <c r="F66" s="103"/>
      <c r="G66" s="101" t="s">
        <v>6</v>
      </c>
      <c r="L66" s="28">
        <f t="shared" si="5"/>
        <v>3945437.0400000005</v>
      </c>
      <c r="M66" s="28">
        <f t="shared" si="6"/>
        <v>2277808.23</v>
      </c>
    </row>
    <row r="67" spans="3:13" hidden="1">
      <c r="C67" s="108">
        <v>44570</v>
      </c>
      <c r="D67" s="101" t="s">
        <v>81</v>
      </c>
      <c r="E67" s="102">
        <f>HLOOKUP(C67,$A$39:$N$45,6,0)</f>
        <v>1048003.2000000001</v>
      </c>
      <c r="F67" s="103"/>
      <c r="G67" s="101" t="s">
        <v>11</v>
      </c>
      <c r="L67" s="28">
        <f>-F46</f>
        <v>-263423.05000000075</v>
      </c>
      <c r="M67" s="28">
        <f t="shared" si="6"/>
        <v>1879658</v>
      </c>
    </row>
    <row r="68" spans="3:13" hidden="1">
      <c r="C68" s="108">
        <v>44570</v>
      </c>
      <c r="D68" s="101" t="s">
        <v>81</v>
      </c>
      <c r="E68" s="102">
        <f>HLOOKUP(C68,$A$39:$N$45,7,0)</f>
        <v>2536804</v>
      </c>
      <c r="F68" s="103"/>
      <c r="G68" s="101" t="s">
        <v>12</v>
      </c>
      <c r="M68" s="28">
        <f t="shared" si="6"/>
        <v>940346.5</v>
      </c>
    </row>
    <row r="69" spans="3:13" hidden="1">
      <c r="C69" s="108">
        <v>44603</v>
      </c>
      <c r="D69" s="101" t="s">
        <v>81</v>
      </c>
      <c r="E69" s="102">
        <f>HLOOKUP(C69,$A$39:$N$45,2,0)</f>
        <v>927914.8</v>
      </c>
      <c r="F69" s="103"/>
      <c r="G69" s="101" t="s">
        <v>3</v>
      </c>
      <c r="M69" s="28">
        <f t="shared" si="6"/>
        <v>2479972</v>
      </c>
    </row>
    <row r="70" spans="3:13" hidden="1">
      <c r="C70" s="108">
        <v>44603</v>
      </c>
      <c r="D70" s="101" t="s">
        <v>81</v>
      </c>
      <c r="E70" s="102">
        <f>HLOOKUP(C70,$A$39:$N$45,3,0)</f>
        <v>925831.55999999982</v>
      </c>
      <c r="F70" s="103"/>
      <c r="G70" s="101" t="s">
        <v>4</v>
      </c>
      <c r="M70" s="28">
        <f>F47</f>
        <v>256582.27599999998</v>
      </c>
    </row>
    <row r="71" spans="3:13" hidden="1">
      <c r="C71" s="108">
        <v>44603</v>
      </c>
      <c r="D71" s="101" t="s">
        <v>81</v>
      </c>
      <c r="E71" s="102">
        <f>HLOOKUP(C71,$A$39:$N$45,4,0)</f>
        <v>1954768.8699999999</v>
      </c>
      <c r="F71" s="103"/>
      <c r="G71" s="101" t="s">
        <v>5</v>
      </c>
      <c r="L71" s="27">
        <f>SUM(L64:L70)</f>
        <v>9319169.2359999996</v>
      </c>
      <c r="M71" s="27">
        <f>SUM(M64:M70)</f>
        <v>9582592.2860000003</v>
      </c>
    </row>
    <row r="72" spans="3:13" hidden="1">
      <c r="C72" s="108">
        <v>44603</v>
      </c>
      <c r="D72" s="101" t="s">
        <v>81</v>
      </c>
      <c r="E72" s="102">
        <f>HLOOKUP(C72,$A$39:$N$45,5,0)</f>
        <v>2153616</v>
      </c>
      <c r="F72" s="103"/>
      <c r="G72" s="101" t="s">
        <v>6</v>
      </c>
    </row>
    <row r="73" spans="3:13" hidden="1">
      <c r="C73" s="108">
        <v>44603</v>
      </c>
      <c r="D73" s="101" t="s">
        <v>81</v>
      </c>
      <c r="E73" s="102">
        <f>HLOOKUP(C73,$A$39:$N$45,6,0)</f>
        <v>796282.75</v>
      </c>
      <c r="F73" s="103"/>
      <c r="G73" s="101" t="s">
        <v>11</v>
      </c>
    </row>
    <row r="74" spans="3:13" hidden="1">
      <c r="C74" s="108">
        <v>44603</v>
      </c>
      <c r="D74" s="101" t="s">
        <v>81</v>
      </c>
      <c r="E74" s="102">
        <f>HLOOKUP(C74,$A$39:$N$45,7,0)</f>
        <v>2066008</v>
      </c>
      <c r="F74" s="103"/>
      <c r="G74" s="101" t="s">
        <v>12</v>
      </c>
    </row>
    <row r="75" spans="3:13" hidden="1">
      <c r="C75" s="108">
        <v>44631</v>
      </c>
      <c r="D75" s="101" t="s">
        <v>81</v>
      </c>
      <c r="E75" s="102">
        <f>HLOOKUP(C75,$A$39:$N$45,2,0)</f>
        <v>404875.6</v>
      </c>
      <c r="F75" s="103"/>
      <c r="G75" s="101" t="s">
        <v>3</v>
      </c>
    </row>
    <row r="76" spans="3:13" hidden="1">
      <c r="C76" s="108">
        <v>44631</v>
      </c>
      <c r="D76" s="101" t="s">
        <v>81</v>
      </c>
      <c r="E76" s="102">
        <f>HLOOKUP(C76,$A$39:$N$45,3,0)</f>
        <v>830798.7</v>
      </c>
      <c r="F76" s="103"/>
      <c r="G76" s="101" t="s">
        <v>4</v>
      </c>
    </row>
    <row r="77" spans="3:13" hidden="1">
      <c r="C77" s="108">
        <v>44631</v>
      </c>
      <c r="D77" s="101" t="s">
        <v>81</v>
      </c>
      <c r="E77" s="102">
        <f>HLOOKUP(C77,$A$39:$N$45,4,0)</f>
        <v>2022844.58</v>
      </c>
      <c r="F77" s="103"/>
      <c r="G77" s="101" t="s">
        <v>5</v>
      </c>
    </row>
    <row r="78" spans="3:13" hidden="1">
      <c r="C78" s="108">
        <v>44631</v>
      </c>
      <c r="D78" s="101" t="s">
        <v>81</v>
      </c>
      <c r="E78" s="102">
        <f>HLOOKUP(C78,$A$39:$N$45,5,0)</f>
        <v>955314</v>
      </c>
      <c r="F78" s="103"/>
      <c r="G78" s="101" t="s">
        <v>6</v>
      </c>
    </row>
    <row r="79" spans="3:13" hidden="1">
      <c r="C79" s="108">
        <v>44631</v>
      </c>
      <c r="D79" s="101" t="s">
        <v>81</v>
      </c>
      <c r="E79" s="102">
        <f>HLOOKUP(C79,$A$39:$N$45,6,0)</f>
        <v>998481.35</v>
      </c>
      <c r="F79" s="103"/>
      <c r="G79" s="101" t="s">
        <v>11</v>
      </c>
    </row>
    <row r="80" spans="3:13" hidden="1">
      <c r="C80" s="108">
        <v>44631</v>
      </c>
      <c r="D80" s="101" t="s">
        <v>81</v>
      </c>
      <c r="E80" s="102">
        <f>HLOOKUP(C80,$A$39:$N$45,7,0)</f>
        <v>2980589</v>
      </c>
      <c r="F80" s="103"/>
      <c r="G80" s="101" t="s">
        <v>12</v>
      </c>
    </row>
    <row r="81" spans="3:7" hidden="1">
      <c r="C81" s="108">
        <v>44665</v>
      </c>
      <c r="D81" s="101" t="s">
        <v>81</v>
      </c>
      <c r="E81" s="102">
        <f>HLOOKUP(C81,$A$39:$N$45,2,0)</f>
        <v>758612.40000000014</v>
      </c>
      <c r="F81" s="103"/>
      <c r="G81" s="101" t="s">
        <v>3</v>
      </c>
    </row>
    <row r="82" spans="3:7" hidden="1">
      <c r="C82" s="108">
        <v>44665</v>
      </c>
      <c r="D82" s="101" t="s">
        <v>81</v>
      </c>
      <c r="E82" s="102">
        <f>HLOOKUP(C82,$A$39:$N$45,3,0)</f>
        <v>989612.88</v>
      </c>
      <c r="F82" s="103"/>
      <c r="G82" s="101" t="s">
        <v>4</v>
      </c>
    </row>
    <row r="83" spans="3:7" hidden="1">
      <c r="C83" s="108">
        <v>44665</v>
      </c>
      <c r="D83" s="101" t="s">
        <v>81</v>
      </c>
      <c r="E83" s="102">
        <f>HLOOKUP(C83,$A$39:$N$45,4,0)</f>
        <v>2277808.23</v>
      </c>
      <c r="F83" s="103"/>
      <c r="G83" s="101" t="s">
        <v>5</v>
      </c>
    </row>
    <row r="84" spans="3:7" hidden="1">
      <c r="C84" s="108">
        <v>44665</v>
      </c>
      <c r="D84" s="101" t="s">
        <v>81</v>
      </c>
      <c r="E84" s="102">
        <f>HLOOKUP(C84,$A$39:$N$45,5,0)</f>
        <v>1879658</v>
      </c>
      <c r="F84" s="103"/>
      <c r="G84" s="101" t="s">
        <v>6</v>
      </c>
    </row>
    <row r="85" spans="3:7" hidden="1">
      <c r="C85" s="108">
        <v>44665</v>
      </c>
      <c r="D85" s="101" t="s">
        <v>81</v>
      </c>
      <c r="E85" s="102">
        <f>HLOOKUP(C85,$A$39:$N$45,6,0)</f>
        <v>940346.5</v>
      </c>
      <c r="F85" s="103"/>
      <c r="G85" s="101" t="s">
        <v>11</v>
      </c>
    </row>
    <row r="86" spans="3:7" hidden="1">
      <c r="C86" s="108">
        <v>44665</v>
      </c>
      <c r="D86" s="101" t="s">
        <v>81</v>
      </c>
      <c r="E86" s="102">
        <f>HLOOKUP(C86,$A$39:$N$45,7,0)</f>
        <v>2479972</v>
      </c>
      <c r="F86" s="103"/>
      <c r="G86" s="101" t="s">
        <v>12</v>
      </c>
    </row>
    <row r="87" spans="3:7" hidden="1">
      <c r="C87" s="108">
        <v>44689</v>
      </c>
      <c r="D87" s="101" t="s">
        <v>81</v>
      </c>
      <c r="E87" s="102">
        <f>HLOOKUP(C87,$A$39:$N$45,2,0)</f>
        <v>661583.20000000007</v>
      </c>
      <c r="F87" s="103"/>
      <c r="G87" s="101" t="s">
        <v>3</v>
      </c>
    </row>
    <row r="88" spans="3:7" hidden="1">
      <c r="C88" s="108">
        <v>44689</v>
      </c>
      <c r="D88" s="101" t="s">
        <v>81</v>
      </c>
      <c r="E88" s="102">
        <f>HLOOKUP(C88,$A$39:$N$45,3,0)</f>
        <v>957947.75999999989</v>
      </c>
      <c r="F88" s="103"/>
      <c r="G88" s="101" t="s">
        <v>4</v>
      </c>
    </row>
    <row r="89" spans="3:7" hidden="1">
      <c r="C89" s="108">
        <v>44689</v>
      </c>
      <c r="D89" s="101" t="s">
        <v>81</v>
      </c>
      <c r="E89" s="102">
        <f>HLOOKUP(C89,$A$39:$N$45,4,0)</f>
        <v>2363213.31</v>
      </c>
      <c r="F89" s="103"/>
      <c r="G89" s="101" t="s">
        <v>5</v>
      </c>
    </row>
    <row r="90" spans="3:7" hidden="1">
      <c r="C90" s="108">
        <v>44689</v>
      </c>
      <c r="D90" s="101" t="s">
        <v>81</v>
      </c>
      <c r="E90" s="102">
        <f>HLOOKUP(C90,$A$39:$N$45,5,0)</f>
        <v>1875578</v>
      </c>
      <c r="F90" s="103"/>
      <c r="G90" s="101" t="s">
        <v>6</v>
      </c>
    </row>
    <row r="91" spans="3:7" hidden="1">
      <c r="C91" s="108">
        <v>44689</v>
      </c>
      <c r="D91" s="101" t="s">
        <v>81</v>
      </c>
      <c r="E91" s="102">
        <f>HLOOKUP(C91,$A$39:$N$45,6,0)</f>
        <v>1080370</v>
      </c>
      <c r="F91" s="103"/>
      <c r="G91" s="101" t="s">
        <v>11</v>
      </c>
    </row>
    <row r="92" spans="3:7" hidden="1">
      <c r="C92" s="108">
        <v>44689</v>
      </c>
      <c r="D92" s="101" t="s">
        <v>81</v>
      </c>
      <c r="E92" s="102">
        <f>HLOOKUP(C92,$A$39:$N$45,7,0)</f>
        <v>2306429</v>
      </c>
      <c r="F92" s="103"/>
      <c r="G92" s="101" t="s">
        <v>12</v>
      </c>
    </row>
    <row r="93" spans="3:7" hidden="1">
      <c r="C93" s="108">
        <v>44724</v>
      </c>
      <c r="D93" s="101" t="s">
        <v>81</v>
      </c>
      <c r="E93" s="102">
        <f>HLOOKUP(C93,$A$39:$N$45,2,0)</f>
        <v>563456.80000000005</v>
      </c>
      <c r="F93" s="103"/>
      <c r="G93" s="101" t="s">
        <v>3</v>
      </c>
    </row>
    <row r="94" spans="3:7" hidden="1">
      <c r="C94" s="108">
        <v>44724</v>
      </c>
      <c r="D94" s="101" t="s">
        <v>81</v>
      </c>
      <c r="E94" s="102">
        <f>HLOOKUP(C94,$A$39:$N$45,3,0)</f>
        <v>838781.94</v>
      </c>
      <c r="F94" s="103"/>
      <c r="G94" s="101" t="s">
        <v>4</v>
      </c>
    </row>
    <row r="95" spans="3:7" hidden="1">
      <c r="C95" s="108">
        <v>44724</v>
      </c>
      <c r="D95" s="101" t="s">
        <v>81</v>
      </c>
      <c r="E95" s="102">
        <f>HLOOKUP(C95,$A$39:$N$45,4,0)</f>
        <v>1794753.0600000003</v>
      </c>
      <c r="F95" s="103"/>
      <c r="G95" s="101" t="s">
        <v>5</v>
      </c>
    </row>
    <row r="96" spans="3:7" hidden="1">
      <c r="C96" s="108">
        <v>44724</v>
      </c>
      <c r="D96" s="101" t="s">
        <v>81</v>
      </c>
      <c r="E96" s="102">
        <f>HLOOKUP(C96,$A$39:$N$45,5,0)</f>
        <v>1493282</v>
      </c>
      <c r="F96" s="103"/>
      <c r="G96" s="101" t="s">
        <v>6</v>
      </c>
    </row>
    <row r="97" spans="3:7" hidden="1">
      <c r="C97" s="108">
        <v>44724</v>
      </c>
      <c r="D97" s="101" t="s">
        <v>81</v>
      </c>
      <c r="E97" s="102">
        <f>HLOOKUP(C97,$A$39:$N$45,6,0)</f>
        <v>894125.59999999986</v>
      </c>
      <c r="F97" s="103"/>
      <c r="G97" s="101" t="s">
        <v>11</v>
      </c>
    </row>
    <row r="98" spans="3:7" hidden="1">
      <c r="C98" s="108">
        <v>44724</v>
      </c>
      <c r="D98" s="101" t="s">
        <v>81</v>
      </c>
      <c r="E98" s="102">
        <f>HLOOKUP(C98,$A$39:$N$45,7,0)</f>
        <v>2065456</v>
      </c>
      <c r="F98" s="103"/>
      <c r="G98" s="101" t="s">
        <v>12</v>
      </c>
    </row>
    <row r="99" spans="3:7" hidden="1">
      <c r="C99" s="108">
        <v>44753</v>
      </c>
      <c r="D99" s="101" t="s">
        <v>81</v>
      </c>
      <c r="E99" s="102">
        <f>HLOOKUP(C99,$A$39:$N$45,2,0)</f>
        <v>704544.79999999993</v>
      </c>
      <c r="F99" s="103"/>
      <c r="G99" s="101" t="s">
        <v>3</v>
      </c>
    </row>
    <row r="100" spans="3:7" hidden="1">
      <c r="C100" s="108">
        <v>44753</v>
      </c>
      <c r="D100" s="101" t="s">
        <v>81</v>
      </c>
      <c r="E100" s="102">
        <f>HLOOKUP(C100,$A$39:$N$45,3,0)</f>
        <v>934816.88000000012</v>
      </c>
      <c r="F100" s="103"/>
      <c r="G100" s="101" t="s">
        <v>4</v>
      </c>
    </row>
    <row r="101" spans="3:7" hidden="1">
      <c r="C101" s="108">
        <v>44753</v>
      </c>
      <c r="D101" s="101" t="s">
        <v>81</v>
      </c>
      <c r="E101" s="102">
        <f>HLOOKUP(C101,$A$39:$N$45,4,0)</f>
        <v>2350592.4800000004</v>
      </c>
      <c r="F101" s="103"/>
      <c r="G101" s="101" t="s">
        <v>5</v>
      </c>
    </row>
    <row r="102" spans="3:7" hidden="1">
      <c r="C102" s="108">
        <v>44753</v>
      </c>
      <c r="D102" s="101" t="s">
        <v>81</v>
      </c>
      <c r="E102" s="102">
        <f>HLOOKUP(C102,$A$39:$N$45,5,0)</f>
        <v>1982123</v>
      </c>
      <c r="F102" s="103"/>
      <c r="G102" s="101" t="s">
        <v>6</v>
      </c>
    </row>
    <row r="103" spans="3:7" hidden="1">
      <c r="C103" s="108">
        <v>44753</v>
      </c>
      <c r="D103" s="101" t="s">
        <v>81</v>
      </c>
      <c r="E103" s="102">
        <f>HLOOKUP(C103,$A$39:$N$45,6,0)</f>
        <v>1144563.5999999999</v>
      </c>
      <c r="F103" s="103"/>
      <c r="G103" s="101" t="s">
        <v>11</v>
      </c>
    </row>
    <row r="104" spans="3:7" hidden="1">
      <c r="C104" s="108">
        <v>44753</v>
      </c>
      <c r="D104" s="101" t="s">
        <v>81</v>
      </c>
      <c r="E104" s="102">
        <f>HLOOKUP(C104,$A$39:$N$45,7,0)</f>
        <v>2276895</v>
      </c>
      <c r="F104" s="103"/>
      <c r="G104" s="101" t="s">
        <v>12</v>
      </c>
    </row>
    <row r="105" spans="3:7" hidden="1">
      <c r="C105" s="108">
        <v>44781</v>
      </c>
      <c r="D105" s="101" t="s">
        <v>81</v>
      </c>
      <c r="E105" s="102">
        <f>HLOOKUP(C105,$A$39:$N$45,2,0)</f>
        <v>729079.2</v>
      </c>
      <c r="F105" s="103"/>
      <c r="G105" s="101" t="s">
        <v>3</v>
      </c>
    </row>
    <row r="106" spans="3:7" hidden="1">
      <c r="C106" s="108">
        <v>44781</v>
      </c>
      <c r="D106" s="101" t="s">
        <v>81</v>
      </c>
      <c r="E106" s="102">
        <f>HLOOKUP(C106,$A$39:$N$45,3,0)</f>
        <v>822659.91999999993</v>
      </c>
      <c r="F106" s="103"/>
      <c r="G106" s="101" t="s">
        <v>4</v>
      </c>
    </row>
    <row r="107" spans="3:7" hidden="1">
      <c r="C107" s="108">
        <v>44781</v>
      </c>
      <c r="D107" s="101" t="s">
        <v>81</v>
      </c>
      <c r="E107" s="102">
        <f>HLOOKUP(C107,$A$39:$N$45,4,0)</f>
        <v>1968576.92</v>
      </c>
      <c r="F107" s="103"/>
      <c r="G107" s="101" t="s">
        <v>5</v>
      </c>
    </row>
    <row r="108" spans="3:7" hidden="1">
      <c r="C108" s="108">
        <v>44781</v>
      </c>
      <c r="D108" s="101" t="s">
        <v>81</v>
      </c>
      <c r="E108" s="102">
        <f>HLOOKUP(C108,$A$39:$N$45,5,0)</f>
        <v>2143001</v>
      </c>
      <c r="F108" s="103"/>
      <c r="G108" s="101" t="s">
        <v>6</v>
      </c>
    </row>
    <row r="109" spans="3:7" hidden="1">
      <c r="C109" s="108">
        <v>44781</v>
      </c>
      <c r="D109" s="101" t="s">
        <v>81</v>
      </c>
      <c r="E109" s="102">
        <f>HLOOKUP(C109,$A$39:$N$45,6,0)</f>
        <v>917779.70000000007</v>
      </c>
      <c r="F109" s="103"/>
      <c r="G109" s="101" t="s">
        <v>11</v>
      </c>
    </row>
    <row r="110" spans="3:7" hidden="1">
      <c r="C110" s="108">
        <v>44781</v>
      </c>
      <c r="D110" s="101" t="s">
        <v>81</v>
      </c>
      <c r="E110" s="102">
        <f>HLOOKUP(C110,$A$39:$N$45,7,0)</f>
        <v>2131550</v>
      </c>
      <c r="F110" s="103"/>
      <c r="G110" s="101" t="s">
        <v>12</v>
      </c>
    </row>
    <row r="111" spans="3:7" hidden="1">
      <c r="C111" s="108">
        <v>44817</v>
      </c>
      <c r="D111" s="101" t="s">
        <v>81</v>
      </c>
      <c r="E111" s="102">
        <f>HLOOKUP(C111,$A$39:$N$45,2,0)</f>
        <v>715560.8</v>
      </c>
      <c r="F111" s="103"/>
      <c r="G111" s="101" t="s">
        <v>3</v>
      </c>
    </row>
    <row r="112" spans="3:7" hidden="1">
      <c r="C112" s="108">
        <v>44817</v>
      </c>
      <c r="D112" s="101" t="s">
        <v>81</v>
      </c>
      <c r="E112" s="102">
        <f>HLOOKUP(C112,$A$39:$N$45,3,0)</f>
        <v>843424.5</v>
      </c>
      <c r="F112" s="103"/>
      <c r="G112" s="101" t="s">
        <v>4</v>
      </c>
    </row>
    <row r="113" spans="3:7" hidden="1">
      <c r="C113" s="108">
        <v>44817</v>
      </c>
      <c r="D113" s="101" t="s">
        <v>81</v>
      </c>
      <c r="E113" s="102">
        <f>HLOOKUP(C113,$A$39:$N$45,4,0)</f>
        <v>2132295.12</v>
      </c>
      <c r="F113" s="103"/>
      <c r="G113" s="101" t="s">
        <v>5</v>
      </c>
    </row>
    <row r="114" spans="3:7" hidden="1">
      <c r="C114" s="108">
        <v>44817</v>
      </c>
      <c r="D114" s="101" t="s">
        <v>81</v>
      </c>
      <c r="E114" s="102">
        <f>HLOOKUP(C114,$A$39:$N$45,5,0)</f>
        <v>1633814</v>
      </c>
      <c r="F114" s="103"/>
      <c r="G114" s="101" t="s">
        <v>6</v>
      </c>
    </row>
    <row r="115" spans="3:7" hidden="1">
      <c r="C115" s="108">
        <v>44817</v>
      </c>
      <c r="D115" s="101" t="s">
        <v>81</v>
      </c>
      <c r="E115" s="102">
        <f>HLOOKUP(C115,$A$39:$N$45,6,0)</f>
        <v>845158</v>
      </c>
      <c r="F115" s="103"/>
      <c r="G115" s="101" t="s">
        <v>11</v>
      </c>
    </row>
    <row r="116" spans="3:7" hidden="1">
      <c r="C116" s="108">
        <v>44817</v>
      </c>
      <c r="D116" s="101" t="s">
        <v>81</v>
      </c>
      <c r="E116" s="102">
        <f>HLOOKUP(C116,$A$39:$N$45,7,0)</f>
        <v>1805512</v>
      </c>
      <c r="F116" s="103"/>
      <c r="G116" s="101" t="s">
        <v>12</v>
      </c>
    </row>
    <row r="117" spans="3:7" hidden="1">
      <c r="C117" s="108">
        <v>44844</v>
      </c>
      <c r="D117" s="101" t="s">
        <v>81</v>
      </c>
      <c r="E117" s="102">
        <f>HLOOKUP(C117,$A$39:$N$45,2,0)</f>
        <v>851001.59999999986</v>
      </c>
      <c r="F117" s="103"/>
      <c r="G117" s="101" t="s">
        <v>3</v>
      </c>
    </row>
    <row r="118" spans="3:7" hidden="1">
      <c r="C118" s="108">
        <v>44844</v>
      </c>
      <c r="D118" s="101" t="s">
        <v>81</v>
      </c>
      <c r="E118" s="102">
        <f>HLOOKUP(C118,$A$39:$N$45,3,0)</f>
        <v>851028.88000000012</v>
      </c>
      <c r="F118" s="103"/>
      <c r="G118" s="101" t="s">
        <v>4</v>
      </c>
    </row>
    <row r="119" spans="3:7" hidden="1">
      <c r="C119" s="108">
        <v>44844</v>
      </c>
      <c r="D119" s="101" t="s">
        <v>81</v>
      </c>
      <c r="E119" s="102">
        <f>HLOOKUP(C119,$A$39:$N$45,4,0)</f>
        <v>1972135.2799999998</v>
      </c>
      <c r="F119" s="103"/>
      <c r="G119" s="101" t="s">
        <v>5</v>
      </c>
    </row>
    <row r="120" spans="3:7" hidden="1">
      <c r="C120" s="108">
        <v>44844</v>
      </c>
      <c r="D120" s="101" t="s">
        <v>81</v>
      </c>
      <c r="E120" s="102">
        <f>HLOOKUP(C120,$A$39:$N$45,5,0)</f>
        <v>1886144</v>
      </c>
      <c r="F120" s="103"/>
      <c r="G120" s="101" t="s">
        <v>6</v>
      </c>
    </row>
    <row r="121" spans="3:7" hidden="1">
      <c r="C121" s="108">
        <v>44844</v>
      </c>
      <c r="D121" s="101" t="s">
        <v>81</v>
      </c>
      <c r="E121" s="102">
        <f>HLOOKUP(C121,$A$39:$N$45,6,0)</f>
        <v>790023.3</v>
      </c>
      <c r="F121" s="103"/>
      <c r="G121" s="101" t="s">
        <v>11</v>
      </c>
    </row>
    <row r="122" spans="3:7" hidden="1">
      <c r="C122" s="108">
        <v>44844</v>
      </c>
      <c r="D122" s="101" t="s">
        <v>81</v>
      </c>
      <c r="E122" s="102">
        <f>HLOOKUP(C122,$A$39:$N$45,7,0)</f>
        <v>1785537</v>
      </c>
      <c r="F122" s="103"/>
      <c r="G122" s="101" t="s">
        <v>12</v>
      </c>
    </row>
    <row r="123" spans="3:7" hidden="1">
      <c r="C123" s="108">
        <v>44873</v>
      </c>
      <c r="D123" s="101" t="s">
        <v>81</v>
      </c>
      <c r="E123" s="102">
        <f>HLOOKUP(C123,$A$39:$N$45,2,0)</f>
        <v>636362.39999999991</v>
      </c>
      <c r="F123" s="103"/>
      <c r="G123" s="101" t="s">
        <v>3</v>
      </c>
    </row>
    <row r="124" spans="3:7" hidden="1">
      <c r="C124" s="108">
        <v>44873</v>
      </c>
      <c r="D124" s="101" t="s">
        <v>81</v>
      </c>
      <c r="E124" s="102">
        <f>HLOOKUP(C124,$A$39:$N$45,3,0)</f>
        <v>790902.6399999999</v>
      </c>
      <c r="F124" s="103"/>
      <c r="G124" s="101" t="s">
        <v>4</v>
      </c>
    </row>
    <row r="125" spans="3:7" hidden="1">
      <c r="C125" s="108">
        <v>44873</v>
      </c>
      <c r="D125" s="101" t="s">
        <v>81</v>
      </c>
      <c r="E125" s="102">
        <f>HLOOKUP(C125,$A$39:$N$45,4,0)</f>
        <v>1931439.8200000003</v>
      </c>
      <c r="F125" s="103"/>
      <c r="G125" s="101" t="s">
        <v>5</v>
      </c>
    </row>
    <row r="126" spans="3:7" hidden="1">
      <c r="C126" s="108">
        <v>44873</v>
      </c>
      <c r="D126" s="101" t="s">
        <v>81</v>
      </c>
      <c r="E126" s="102">
        <f>HLOOKUP(C126,$A$39:$N$45,5,0)</f>
        <v>2181323</v>
      </c>
      <c r="F126" s="103"/>
      <c r="G126" s="101" t="s">
        <v>6</v>
      </c>
    </row>
    <row r="127" spans="3:7" hidden="1">
      <c r="C127" s="108">
        <v>44873</v>
      </c>
      <c r="D127" s="101" t="s">
        <v>81</v>
      </c>
      <c r="E127" s="102">
        <f>HLOOKUP(C127,$A$39:$N$45,6,0)</f>
        <v>920426</v>
      </c>
      <c r="F127" s="103"/>
      <c r="G127" s="101" t="s">
        <v>11</v>
      </c>
    </row>
    <row r="128" spans="3:7" hidden="1">
      <c r="C128" s="108">
        <v>44873</v>
      </c>
      <c r="D128" s="101" t="s">
        <v>81</v>
      </c>
      <c r="E128" s="102">
        <f>HLOOKUP(C128,$A$39:$N$45,7,0)</f>
        <v>1835445</v>
      </c>
      <c r="F128" s="103"/>
      <c r="G128" s="101" t="s">
        <v>12</v>
      </c>
    </row>
    <row r="129" spans="3:10" hidden="1">
      <c r="C129" s="108">
        <v>44907</v>
      </c>
      <c r="D129" s="101" t="s">
        <v>81</v>
      </c>
      <c r="E129" s="102">
        <f>HLOOKUP(C129,$A$39:$N$45,2,0)</f>
        <v>918443.20000000019</v>
      </c>
      <c r="F129" s="103"/>
      <c r="G129" s="101" t="s">
        <v>3</v>
      </c>
    </row>
    <row r="130" spans="3:10" hidden="1">
      <c r="C130" s="108">
        <v>44907</v>
      </c>
      <c r="D130" s="101" t="s">
        <v>81</v>
      </c>
      <c r="E130" s="102">
        <f>HLOOKUP(C130,$A$39:$N$45,3,0)</f>
        <v>825855.3</v>
      </c>
      <c r="F130" s="103"/>
      <c r="G130" s="101" t="s">
        <v>4</v>
      </c>
    </row>
    <row r="131" spans="3:10" hidden="1">
      <c r="C131" s="108">
        <v>44907</v>
      </c>
      <c r="D131" s="101" t="s">
        <v>81</v>
      </c>
      <c r="E131" s="102">
        <f>HLOOKUP(C131,$A$39:$N$45,4,0)</f>
        <v>1778721.1199999999</v>
      </c>
      <c r="F131" s="103"/>
      <c r="G131" s="101" t="s">
        <v>5</v>
      </c>
    </row>
    <row r="132" spans="3:10" hidden="1">
      <c r="C132" s="108">
        <v>44907</v>
      </c>
      <c r="D132" s="101" t="s">
        <v>81</v>
      </c>
      <c r="E132" s="102">
        <f>HLOOKUP(C132,$A$39:$N$45,5,0)</f>
        <v>1666860</v>
      </c>
      <c r="F132" s="103"/>
      <c r="G132" s="101" t="s">
        <v>6</v>
      </c>
    </row>
    <row r="133" spans="3:10" hidden="1">
      <c r="C133" s="108">
        <v>44907</v>
      </c>
      <c r="D133" s="101" t="s">
        <v>81</v>
      </c>
      <c r="E133" s="102">
        <f>HLOOKUP(C133,$A$39:$N$45,6,0)</f>
        <v>735751.39999999991</v>
      </c>
      <c r="F133" s="103"/>
      <c r="G133" s="101" t="s">
        <v>11</v>
      </c>
    </row>
    <row r="134" spans="3:10" hidden="1">
      <c r="C134" s="108">
        <v>44907</v>
      </c>
      <c r="D134" s="101" t="s">
        <v>81</v>
      </c>
      <c r="E134" s="102">
        <f>HLOOKUP(C134,$A$39:$N$45,7,0)</f>
        <v>1617142</v>
      </c>
      <c r="F134" s="103"/>
      <c r="G134" s="101" t="s">
        <v>12</v>
      </c>
    </row>
    <row r="135" spans="3:10" hidden="1">
      <c r="C135" s="108">
        <v>44570</v>
      </c>
      <c r="D135" s="101" t="s">
        <v>67</v>
      </c>
      <c r="E135" s="103"/>
      <c r="F135" s="103">
        <v>858169.20000000007</v>
      </c>
      <c r="G135" s="101" t="s">
        <v>3</v>
      </c>
    </row>
    <row r="136" spans="3:10" hidden="1">
      <c r="C136" s="108">
        <v>44570</v>
      </c>
      <c r="D136" s="101" t="s">
        <v>67</v>
      </c>
      <c r="E136" s="103"/>
      <c r="F136" s="103">
        <v>975874.68</v>
      </c>
      <c r="G136" s="101" t="s">
        <v>4</v>
      </c>
    </row>
    <row r="137" spans="3:10" hidden="1">
      <c r="C137" s="108">
        <v>44570</v>
      </c>
      <c r="D137" s="101" t="s">
        <v>67</v>
      </c>
      <c r="E137" s="103"/>
      <c r="F137" s="103">
        <v>2491318.9500000002</v>
      </c>
      <c r="G137" s="101" t="s">
        <v>5</v>
      </c>
      <c r="I137" s="44"/>
      <c r="J137" s="44"/>
    </row>
    <row r="138" spans="3:10" hidden="1">
      <c r="C138" s="108">
        <v>44570</v>
      </c>
      <c r="D138" s="101" t="s">
        <v>67</v>
      </c>
      <c r="E138" s="103"/>
      <c r="F138" s="103">
        <v>2371257</v>
      </c>
      <c r="G138" s="101" t="s">
        <v>6</v>
      </c>
    </row>
    <row r="139" spans="3:10" hidden="1">
      <c r="C139" s="108">
        <v>44570</v>
      </c>
      <c r="D139" s="101" t="s">
        <v>67</v>
      </c>
      <c r="E139" s="103"/>
      <c r="F139" s="103">
        <v>1048003.2000000001</v>
      </c>
      <c r="G139" s="101" t="s">
        <v>11</v>
      </c>
    </row>
    <row r="140" spans="3:10" hidden="1">
      <c r="C140" s="108">
        <v>44570</v>
      </c>
      <c r="D140" s="101" t="s">
        <v>67</v>
      </c>
      <c r="E140" s="103"/>
      <c r="F140" s="103">
        <v>2536804</v>
      </c>
      <c r="G140" s="101" t="s">
        <v>12</v>
      </c>
    </row>
    <row r="141" spans="3:10" hidden="1">
      <c r="C141" s="108">
        <v>44603</v>
      </c>
      <c r="D141" s="101" t="s">
        <v>67</v>
      </c>
      <c r="E141" s="103"/>
      <c r="F141" s="103">
        <v>927914.8</v>
      </c>
      <c r="G141" s="101" t="s">
        <v>3</v>
      </c>
    </row>
    <row r="142" spans="3:10" hidden="1">
      <c r="C142" s="108">
        <v>44603</v>
      </c>
      <c r="D142" s="101" t="s">
        <v>67</v>
      </c>
      <c r="E142" s="103"/>
      <c r="F142" s="103">
        <v>925831.55999999982</v>
      </c>
      <c r="G142" s="101" t="s">
        <v>4</v>
      </c>
    </row>
    <row r="143" spans="3:10" hidden="1">
      <c r="C143" s="108">
        <v>44603</v>
      </c>
      <c r="D143" s="101" t="s">
        <v>67</v>
      </c>
      <c r="E143" s="103"/>
      <c r="F143" s="103">
        <v>1954768.8699999999</v>
      </c>
      <c r="G143" s="101" t="s">
        <v>5</v>
      </c>
    </row>
    <row r="144" spans="3:10" hidden="1">
      <c r="C144" s="108">
        <v>44603</v>
      </c>
      <c r="D144" s="101" t="s">
        <v>67</v>
      </c>
      <c r="E144" s="103"/>
      <c r="F144" s="103">
        <v>2153616</v>
      </c>
      <c r="G144" s="101" t="s">
        <v>6</v>
      </c>
    </row>
    <row r="145" spans="3:7" hidden="1">
      <c r="C145" s="108">
        <v>44603</v>
      </c>
      <c r="D145" s="101" t="s">
        <v>67</v>
      </c>
      <c r="E145" s="103"/>
      <c r="F145" s="103">
        <v>796282.75</v>
      </c>
      <c r="G145" s="101" t="s">
        <v>11</v>
      </c>
    </row>
    <row r="146" spans="3:7" hidden="1">
      <c r="C146" s="108">
        <v>44603</v>
      </c>
      <c r="D146" s="101" t="s">
        <v>67</v>
      </c>
      <c r="E146" s="103"/>
      <c r="F146" s="103">
        <v>2066008</v>
      </c>
      <c r="G146" s="101" t="s">
        <v>12</v>
      </c>
    </row>
    <row r="147" spans="3:7" hidden="1">
      <c r="C147" s="108">
        <v>44631</v>
      </c>
      <c r="D147" s="101" t="s">
        <v>67</v>
      </c>
      <c r="E147" s="103"/>
      <c r="F147" s="103">
        <v>404875.6</v>
      </c>
      <c r="G147" s="101" t="s">
        <v>3</v>
      </c>
    </row>
    <row r="148" spans="3:7" hidden="1">
      <c r="C148" s="108">
        <v>44631</v>
      </c>
      <c r="D148" s="101" t="s">
        <v>67</v>
      </c>
      <c r="E148" s="103"/>
      <c r="F148" s="103">
        <v>830798.7</v>
      </c>
      <c r="G148" s="101" t="s">
        <v>4</v>
      </c>
    </row>
    <row r="149" spans="3:7" hidden="1">
      <c r="C149" s="108">
        <v>44631</v>
      </c>
      <c r="D149" s="101" t="s">
        <v>67</v>
      </c>
      <c r="E149" s="103"/>
      <c r="F149" s="103">
        <v>2022844.58</v>
      </c>
      <c r="G149" s="101" t="s">
        <v>5</v>
      </c>
    </row>
    <row r="150" spans="3:7" hidden="1">
      <c r="C150" s="108">
        <v>44631</v>
      </c>
      <c r="D150" s="101" t="s">
        <v>67</v>
      </c>
      <c r="E150" s="103"/>
      <c r="F150" s="103">
        <v>955314</v>
      </c>
      <c r="G150" s="101" t="s">
        <v>6</v>
      </c>
    </row>
    <row r="151" spans="3:7" hidden="1">
      <c r="C151" s="108">
        <v>44631</v>
      </c>
      <c r="D151" s="101" t="s">
        <v>67</v>
      </c>
      <c r="E151" s="103"/>
      <c r="F151" s="103">
        <v>998481.35</v>
      </c>
      <c r="G151" s="101" t="s">
        <v>11</v>
      </c>
    </row>
    <row r="152" spans="3:7" hidden="1">
      <c r="C152" s="108">
        <v>44631</v>
      </c>
      <c r="D152" s="101" t="s">
        <v>67</v>
      </c>
      <c r="E152" s="103"/>
      <c r="F152" s="103">
        <v>2980589</v>
      </c>
      <c r="G152" s="101" t="s">
        <v>12</v>
      </c>
    </row>
    <row r="153" spans="3:7" hidden="1">
      <c r="C153" s="108">
        <v>44665</v>
      </c>
      <c r="D153" s="101" t="s">
        <v>67</v>
      </c>
      <c r="E153" s="103"/>
      <c r="F153" s="103">
        <v>758612.40000000014</v>
      </c>
      <c r="G153" s="101" t="s">
        <v>3</v>
      </c>
    </row>
    <row r="154" spans="3:7" hidden="1">
      <c r="C154" s="108">
        <v>44665</v>
      </c>
      <c r="D154" s="101" t="s">
        <v>67</v>
      </c>
      <c r="E154" s="103"/>
      <c r="F154" s="103">
        <v>989612.88</v>
      </c>
      <c r="G154" s="101" t="s">
        <v>4</v>
      </c>
    </row>
    <row r="155" spans="3:7" hidden="1">
      <c r="C155" s="108">
        <v>44665</v>
      </c>
      <c r="D155" s="101" t="s">
        <v>67</v>
      </c>
      <c r="E155" s="103"/>
      <c r="F155" s="103">
        <v>2277808.23</v>
      </c>
      <c r="G155" s="101" t="s">
        <v>5</v>
      </c>
    </row>
    <row r="156" spans="3:7" hidden="1">
      <c r="C156" s="108">
        <v>44665</v>
      </c>
      <c r="D156" s="101" t="s">
        <v>67</v>
      </c>
      <c r="E156" s="103"/>
      <c r="F156" s="103">
        <v>1879658</v>
      </c>
      <c r="G156" s="101" t="s">
        <v>6</v>
      </c>
    </row>
    <row r="157" spans="3:7" hidden="1">
      <c r="C157" s="108">
        <v>44665</v>
      </c>
      <c r="D157" s="101" t="s">
        <v>67</v>
      </c>
      <c r="E157" s="103"/>
      <c r="F157" s="103">
        <v>940346.5</v>
      </c>
      <c r="G157" s="101" t="s">
        <v>11</v>
      </c>
    </row>
    <row r="158" spans="3:7" hidden="1">
      <c r="C158" s="108">
        <v>44665</v>
      </c>
      <c r="D158" s="101" t="s">
        <v>67</v>
      </c>
      <c r="E158" s="103"/>
      <c r="F158" s="103">
        <v>2479972</v>
      </c>
      <c r="G158" s="101" t="s">
        <v>12</v>
      </c>
    </row>
    <row r="159" spans="3:7" hidden="1">
      <c r="C159" s="108">
        <v>44689</v>
      </c>
      <c r="D159" s="101" t="s">
        <v>67</v>
      </c>
      <c r="E159" s="103"/>
      <c r="F159" s="103">
        <v>661583.20000000007</v>
      </c>
      <c r="G159" s="101" t="s">
        <v>3</v>
      </c>
    </row>
    <row r="160" spans="3:7" hidden="1">
      <c r="C160" s="108">
        <v>44689</v>
      </c>
      <c r="D160" s="101" t="s">
        <v>67</v>
      </c>
      <c r="E160" s="103"/>
      <c r="F160" s="103">
        <v>957947.75999999989</v>
      </c>
      <c r="G160" s="101" t="s">
        <v>4</v>
      </c>
    </row>
    <row r="161" spans="3:7" hidden="1">
      <c r="C161" s="108">
        <v>44689</v>
      </c>
      <c r="D161" s="101" t="s">
        <v>67</v>
      </c>
      <c r="E161" s="103"/>
      <c r="F161" s="103">
        <v>2363213.31</v>
      </c>
      <c r="G161" s="101" t="s">
        <v>5</v>
      </c>
    </row>
    <row r="162" spans="3:7" hidden="1">
      <c r="C162" s="108">
        <v>44689</v>
      </c>
      <c r="D162" s="101" t="s">
        <v>67</v>
      </c>
      <c r="E162" s="103"/>
      <c r="F162" s="103">
        <v>1875578</v>
      </c>
      <c r="G162" s="101" t="s">
        <v>6</v>
      </c>
    </row>
    <row r="163" spans="3:7" hidden="1">
      <c r="C163" s="108">
        <v>44689</v>
      </c>
      <c r="D163" s="101" t="s">
        <v>67</v>
      </c>
      <c r="E163" s="103"/>
      <c r="F163" s="103">
        <v>1080370</v>
      </c>
      <c r="G163" s="101" t="s">
        <v>11</v>
      </c>
    </row>
    <row r="164" spans="3:7" hidden="1">
      <c r="C164" s="108">
        <v>44689</v>
      </c>
      <c r="D164" s="101" t="s">
        <v>67</v>
      </c>
      <c r="E164" s="103"/>
      <c r="F164" s="103">
        <v>2306429</v>
      </c>
      <c r="G164" s="101" t="s">
        <v>12</v>
      </c>
    </row>
    <row r="165" spans="3:7" hidden="1">
      <c r="C165" s="108">
        <v>44724</v>
      </c>
      <c r="D165" s="101" t="s">
        <v>67</v>
      </c>
      <c r="E165" s="103"/>
      <c r="F165" s="103">
        <v>563456.80000000005</v>
      </c>
      <c r="G165" s="101" t="s">
        <v>3</v>
      </c>
    </row>
    <row r="166" spans="3:7" hidden="1">
      <c r="C166" s="108">
        <v>44724</v>
      </c>
      <c r="D166" s="101" t="s">
        <v>67</v>
      </c>
      <c r="E166" s="103"/>
      <c r="F166" s="103">
        <v>838781.94</v>
      </c>
      <c r="G166" s="101" t="s">
        <v>4</v>
      </c>
    </row>
    <row r="167" spans="3:7" hidden="1">
      <c r="C167" s="108">
        <v>44724</v>
      </c>
      <c r="D167" s="101" t="s">
        <v>67</v>
      </c>
      <c r="E167" s="103"/>
      <c r="F167" s="103">
        <v>1794753.0600000003</v>
      </c>
      <c r="G167" s="101" t="s">
        <v>5</v>
      </c>
    </row>
    <row r="168" spans="3:7" hidden="1">
      <c r="C168" s="108">
        <v>44724</v>
      </c>
      <c r="D168" s="101" t="s">
        <v>67</v>
      </c>
      <c r="E168" s="103"/>
      <c r="F168" s="103">
        <v>1493282</v>
      </c>
      <c r="G168" s="101" t="s">
        <v>6</v>
      </c>
    </row>
    <row r="169" spans="3:7" hidden="1">
      <c r="C169" s="108">
        <v>44724</v>
      </c>
      <c r="D169" s="101" t="s">
        <v>67</v>
      </c>
      <c r="E169" s="103"/>
      <c r="F169" s="103">
        <v>894125.59999999986</v>
      </c>
      <c r="G169" s="101" t="s">
        <v>11</v>
      </c>
    </row>
    <row r="170" spans="3:7" hidden="1">
      <c r="C170" s="108">
        <v>44724</v>
      </c>
      <c r="D170" s="101" t="s">
        <v>67</v>
      </c>
      <c r="E170" s="103"/>
      <c r="F170" s="103">
        <v>2065456</v>
      </c>
      <c r="G170" s="101" t="s">
        <v>12</v>
      </c>
    </row>
    <row r="171" spans="3:7" hidden="1">
      <c r="C171" s="108">
        <v>44753</v>
      </c>
      <c r="D171" s="101" t="s">
        <v>67</v>
      </c>
      <c r="E171" s="103"/>
      <c r="F171" s="103">
        <v>704544.79999999993</v>
      </c>
      <c r="G171" s="101" t="s">
        <v>3</v>
      </c>
    </row>
    <row r="172" spans="3:7" hidden="1">
      <c r="C172" s="108">
        <v>44753</v>
      </c>
      <c r="D172" s="101" t="s">
        <v>67</v>
      </c>
      <c r="E172" s="103"/>
      <c r="F172" s="103">
        <v>934816.88000000012</v>
      </c>
      <c r="G172" s="101" t="s">
        <v>4</v>
      </c>
    </row>
    <row r="173" spans="3:7" hidden="1">
      <c r="C173" s="108">
        <v>44753</v>
      </c>
      <c r="D173" s="101" t="s">
        <v>67</v>
      </c>
      <c r="E173" s="103"/>
      <c r="F173" s="103">
        <v>2350592.4800000004</v>
      </c>
      <c r="G173" s="101" t="s">
        <v>5</v>
      </c>
    </row>
    <row r="174" spans="3:7" hidden="1">
      <c r="C174" s="108">
        <v>44753</v>
      </c>
      <c r="D174" s="101" t="s">
        <v>67</v>
      </c>
      <c r="E174" s="103"/>
      <c r="F174" s="103">
        <v>1982123</v>
      </c>
      <c r="G174" s="101" t="s">
        <v>6</v>
      </c>
    </row>
    <row r="175" spans="3:7" hidden="1">
      <c r="C175" s="108">
        <v>44753</v>
      </c>
      <c r="D175" s="101" t="s">
        <v>67</v>
      </c>
      <c r="E175" s="103"/>
      <c r="F175" s="103">
        <v>1144563.5999999999</v>
      </c>
      <c r="G175" s="101" t="s">
        <v>11</v>
      </c>
    </row>
    <row r="176" spans="3:7" hidden="1">
      <c r="C176" s="108">
        <v>44753</v>
      </c>
      <c r="D176" s="101" t="s">
        <v>67</v>
      </c>
      <c r="E176" s="103"/>
      <c r="F176" s="103">
        <v>2276895</v>
      </c>
      <c r="G176" s="101" t="s">
        <v>12</v>
      </c>
    </row>
    <row r="177" spans="3:10" hidden="1">
      <c r="C177" s="108">
        <v>44781</v>
      </c>
      <c r="D177" s="101" t="s">
        <v>67</v>
      </c>
      <c r="E177" s="103"/>
      <c r="F177" s="103">
        <v>729079.2</v>
      </c>
      <c r="G177" s="101" t="s">
        <v>3</v>
      </c>
    </row>
    <row r="178" spans="3:10" hidden="1">
      <c r="C178" s="108">
        <v>44781</v>
      </c>
      <c r="D178" s="101" t="s">
        <v>67</v>
      </c>
      <c r="E178" s="103"/>
      <c r="F178" s="103">
        <v>822659.91999999993</v>
      </c>
      <c r="G178" s="101" t="s">
        <v>4</v>
      </c>
    </row>
    <row r="179" spans="3:10" hidden="1">
      <c r="C179" s="108">
        <v>44781</v>
      </c>
      <c r="D179" s="101" t="s">
        <v>67</v>
      </c>
      <c r="E179" s="103"/>
      <c r="F179" s="103">
        <v>1968576.92</v>
      </c>
      <c r="G179" s="101" t="s">
        <v>5</v>
      </c>
    </row>
    <row r="180" spans="3:10" hidden="1">
      <c r="C180" s="108">
        <v>44781</v>
      </c>
      <c r="D180" s="101" t="s">
        <v>67</v>
      </c>
      <c r="E180" s="103"/>
      <c r="F180" s="103">
        <v>2143001</v>
      </c>
      <c r="G180" s="101" t="s">
        <v>6</v>
      </c>
    </row>
    <row r="181" spans="3:10" hidden="1">
      <c r="C181" s="108">
        <v>44781</v>
      </c>
      <c r="D181" s="101" t="s">
        <v>67</v>
      </c>
      <c r="E181" s="103"/>
      <c r="F181" s="103">
        <v>917779.70000000007</v>
      </c>
      <c r="G181" s="101" t="s">
        <v>11</v>
      </c>
    </row>
    <row r="182" spans="3:10" hidden="1">
      <c r="C182" s="108">
        <v>44781</v>
      </c>
      <c r="D182" s="101" t="s">
        <v>67</v>
      </c>
      <c r="E182" s="103"/>
      <c r="F182" s="103">
        <v>2131550</v>
      </c>
      <c r="G182" s="101" t="s">
        <v>12</v>
      </c>
    </row>
    <row r="183" spans="3:10" hidden="1">
      <c r="C183" s="108">
        <v>44817</v>
      </c>
      <c r="D183" s="101" t="s">
        <v>67</v>
      </c>
      <c r="E183" s="103"/>
      <c r="F183" s="103">
        <v>715560.8</v>
      </c>
      <c r="G183" s="101" t="s">
        <v>3</v>
      </c>
    </row>
    <row r="184" spans="3:10" hidden="1">
      <c r="C184" s="108">
        <v>44817</v>
      </c>
      <c r="D184" s="101" t="s">
        <v>67</v>
      </c>
      <c r="E184" s="103"/>
      <c r="F184" s="103">
        <v>843424.5</v>
      </c>
      <c r="G184" s="101" t="s">
        <v>4</v>
      </c>
    </row>
    <row r="185" spans="3:10" hidden="1">
      <c r="C185" s="108">
        <v>44817</v>
      </c>
      <c r="D185" s="101" t="s">
        <v>67</v>
      </c>
      <c r="E185" s="103"/>
      <c r="F185" s="103">
        <v>2132295.12</v>
      </c>
      <c r="G185" s="101" t="s">
        <v>5</v>
      </c>
    </row>
    <row r="186" spans="3:10" hidden="1">
      <c r="C186" s="108">
        <v>44817</v>
      </c>
      <c r="D186" s="101" t="s">
        <v>67</v>
      </c>
      <c r="E186" s="103"/>
      <c r="F186" s="103">
        <v>1633814</v>
      </c>
      <c r="G186" s="101" t="s">
        <v>6</v>
      </c>
    </row>
    <row r="187" spans="3:10" hidden="1">
      <c r="C187" s="108">
        <v>44817</v>
      </c>
      <c r="D187" s="101" t="s">
        <v>67</v>
      </c>
      <c r="E187" s="103"/>
      <c r="F187" s="103">
        <v>845158</v>
      </c>
      <c r="G187" s="101" t="s">
        <v>11</v>
      </c>
      <c r="I187" s="103">
        <f>SUM(E62:E290)</f>
        <v>146286544.14199999</v>
      </c>
      <c r="J187" s="103">
        <f>SUM(F62:F290)</f>
        <v>207152455.55999994</v>
      </c>
    </row>
    <row r="188" spans="3:10" hidden="1">
      <c r="C188" s="108">
        <v>44817</v>
      </c>
      <c r="D188" s="101" t="s">
        <v>67</v>
      </c>
      <c r="E188" s="103"/>
      <c r="F188" s="103">
        <v>1805512</v>
      </c>
      <c r="G188" s="101" t="s">
        <v>12</v>
      </c>
    </row>
    <row r="189" spans="3:10" hidden="1">
      <c r="C189" s="108">
        <v>44844</v>
      </c>
      <c r="D189" s="101" t="s">
        <v>67</v>
      </c>
      <c r="E189" s="103"/>
      <c r="F189" s="103">
        <v>851001.59999999986</v>
      </c>
      <c r="G189" s="101" t="s">
        <v>3</v>
      </c>
      <c r="I189" s="44">
        <f>I187-J187</f>
        <v>-60865911.417999953</v>
      </c>
    </row>
    <row r="190" spans="3:10" hidden="1">
      <c r="C190" s="108">
        <v>44844</v>
      </c>
      <c r="D190" s="101" t="s">
        <v>67</v>
      </c>
      <c r="E190" s="103"/>
      <c r="F190" s="103">
        <v>851028.88000000012</v>
      </c>
      <c r="G190" s="101" t="s">
        <v>4</v>
      </c>
    </row>
    <row r="191" spans="3:10" hidden="1">
      <c r="C191" s="108">
        <v>44844</v>
      </c>
      <c r="D191" s="101" t="s">
        <v>67</v>
      </c>
      <c r="E191" s="103"/>
      <c r="F191" s="103">
        <v>1972135.2799999998</v>
      </c>
      <c r="G191" s="101" t="s">
        <v>5</v>
      </c>
    </row>
    <row r="192" spans="3:10" hidden="1">
      <c r="C192" s="108">
        <v>44844</v>
      </c>
      <c r="D192" s="101" t="s">
        <v>67</v>
      </c>
      <c r="E192" s="103"/>
      <c r="F192" s="103">
        <v>1886144</v>
      </c>
      <c r="G192" s="101" t="s">
        <v>6</v>
      </c>
    </row>
    <row r="193" spans="3:13" hidden="1">
      <c r="C193" s="108">
        <v>44844</v>
      </c>
      <c r="D193" s="101" t="s">
        <v>67</v>
      </c>
      <c r="E193" s="103"/>
      <c r="F193" s="103">
        <v>790023.3</v>
      </c>
      <c r="G193" s="101" t="s">
        <v>11</v>
      </c>
    </row>
    <row r="194" spans="3:13" hidden="1">
      <c r="C194" s="108">
        <v>44844</v>
      </c>
      <c r="D194" s="101" t="s">
        <v>67</v>
      </c>
      <c r="E194" s="103"/>
      <c r="F194" s="103">
        <v>1785537</v>
      </c>
      <c r="G194" s="101" t="s">
        <v>12</v>
      </c>
    </row>
    <row r="195" spans="3:13" hidden="1">
      <c r="C195" s="108">
        <v>44873</v>
      </c>
      <c r="D195" s="101" t="s">
        <v>67</v>
      </c>
      <c r="E195" s="103"/>
      <c r="F195" s="103">
        <v>636362.39999999991</v>
      </c>
      <c r="G195" s="101" t="s">
        <v>3</v>
      </c>
    </row>
    <row r="196" spans="3:13" hidden="1">
      <c r="C196" s="108">
        <v>44873</v>
      </c>
      <c r="D196" s="101" t="s">
        <v>67</v>
      </c>
      <c r="E196" s="103"/>
      <c r="F196" s="103">
        <v>790902.6399999999</v>
      </c>
      <c r="G196" s="101" t="s">
        <v>4</v>
      </c>
    </row>
    <row r="197" spans="3:13" hidden="1">
      <c r="C197" s="108">
        <v>44873</v>
      </c>
      <c r="D197" s="101" t="s">
        <v>67</v>
      </c>
      <c r="E197" s="103"/>
      <c r="F197" s="103">
        <v>1931439.8200000003</v>
      </c>
      <c r="G197" s="101" t="s">
        <v>5</v>
      </c>
    </row>
    <row r="198" spans="3:13" hidden="1">
      <c r="C198" s="108">
        <v>44873</v>
      </c>
      <c r="D198" s="101" t="s">
        <v>67</v>
      </c>
      <c r="E198" s="103"/>
      <c r="F198" s="103">
        <v>2181323</v>
      </c>
      <c r="G198" s="101" t="s">
        <v>6</v>
      </c>
    </row>
    <row r="199" spans="3:13" hidden="1">
      <c r="C199" s="108">
        <v>44873</v>
      </c>
      <c r="D199" s="101" t="s">
        <v>67</v>
      </c>
      <c r="E199" s="103"/>
      <c r="F199" s="103">
        <v>920426</v>
      </c>
      <c r="G199" s="101" t="s">
        <v>11</v>
      </c>
    </row>
    <row r="200" spans="3:13" hidden="1">
      <c r="C200" s="108">
        <v>44873</v>
      </c>
      <c r="D200" s="101" t="s">
        <v>67</v>
      </c>
      <c r="E200" s="103"/>
      <c r="F200" s="103">
        <v>1835445</v>
      </c>
      <c r="G200" s="101" t="s">
        <v>12</v>
      </c>
    </row>
    <row r="201" spans="3:13" hidden="1">
      <c r="C201" s="108">
        <v>44907</v>
      </c>
      <c r="D201" s="101" t="s">
        <v>67</v>
      </c>
      <c r="E201" s="103"/>
      <c r="F201" s="103">
        <v>918443.20000000019</v>
      </c>
      <c r="G201" s="101" t="s">
        <v>3</v>
      </c>
    </row>
    <row r="202" spans="3:13" hidden="1">
      <c r="C202" s="108">
        <v>44907</v>
      </c>
      <c r="D202" s="101" t="s">
        <v>67</v>
      </c>
      <c r="E202" s="103"/>
      <c r="F202" s="103">
        <v>825855.3</v>
      </c>
      <c r="G202" s="101" t="s">
        <v>4</v>
      </c>
    </row>
    <row r="203" spans="3:13" hidden="1">
      <c r="C203" s="108">
        <v>44907</v>
      </c>
      <c r="D203" s="101" t="s">
        <v>67</v>
      </c>
      <c r="E203" s="103"/>
      <c r="F203" s="103">
        <v>1778721.1199999999</v>
      </c>
      <c r="G203" s="101" t="s">
        <v>5</v>
      </c>
    </row>
    <row r="204" spans="3:13" hidden="1">
      <c r="C204" s="108">
        <v>44907</v>
      </c>
      <c r="D204" s="101" t="s">
        <v>67</v>
      </c>
      <c r="E204" s="103"/>
      <c r="F204" s="103">
        <v>1666860</v>
      </c>
      <c r="G204" s="101" t="s">
        <v>6</v>
      </c>
    </row>
    <row r="205" spans="3:13" hidden="1">
      <c r="C205" s="108">
        <v>44907</v>
      </c>
      <c r="D205" s="101" t="s">
        <v>67</v>
      </c>
      <c r="E205" s="103"/>
      <c r="F205" s="103">
        <v>735751.39999999991</v>
      </c>
      <c r="G205" s="101" t="s">
        <v>11</v>
      </c>
    </row>
    <row r="206" spans="3:13" hidden="1">
      <c r="C206" s="108">
        <v>44907</v>
      </c>
      <c r="D206" s="101" t="s">
        <v>67</v>
      </c>
      <c r="E206" s="103"/>
      <c r="F206" s="103">
        <v>1617142</v>
      </c>
      <c r="G206" s="101" t="s">
        <v>12</v>
      </c>
    </row>
    <row r="207" spans="3:13" hidden="1">
      <c r="C207" s="108"/>
      <c r="D207" s="101"/>
      <c r="E207" s="103"/>
      <c r="F207" s="103"/>
      <c r="G207" s="101"/>
      <c r="I207" t="s">
        <v>140</v>
      </c>
      <c r="J207" s="28">
        <f>D25</f>
        <v>4603648.2519999994</v>
      </c>
      <c r="K207" s="28">
        <f t="shared" ref="K207:K212" si="7">D40</f>
        <v>927914.8</v>
      </c>
      <c r="M207">
        <v>4603648.2519999994</v>
      </c>
    </row>
    <row r="208" spans="3:13" hidden="1">
      <c r="C208" s="108">
        <v>44570</v>
      </c>
      <c r="D208" s="101" t="s">
        <v>143</v>
      </c>
      <c r="E208" s="103"/>
      <c r="F208" s="103">
        <v>858169.20000000007</v>
      </c>
      <c r="G208" s="101" t="s">
        <v>3</v>
      </c>
      <c r="I208" t="s">
        <v>141</v>
      </c>
      <c r="J208" s="28">
        <f>D26</f>
        <v>2003314.6980000001</v>
      </c>
      <c r="K208" s="28">
        <f t="shared" si="7"/>
        <v>925831.55999999982</v>
      </c>
      <c r="M208">
        <v>2003314.6980000001</v>
      </c>
    </row>
    <row r="209" spans="3:13" hidden="1">
      <c r="C209" s="108">
        <v>44570</v>
      </c>
      <c r="D209" s="101" t="s">
        <v>143</v>
      </c>
      <c r="E209" s="103"/>
      <c r="F209" s="103">
        <v>975874.68</v>
      </c>
      <c r="G209" s="101" t="s">
        <v>4</v>
      </c>
      <c r="I209" t="s">
        <v>142</v>
      </c>
      <c r="J209" s="28">
        <f>D27</f>
        <v>2416655.1280000005</v>
      </c>
      <c r="K209" s="28">
        <f t="shared" si="7"/>
        <v>1954768.8699999999</v>
      </c>
      <c r="M209">
        <v>2416655.1280000005</v>
      </c>
    </row>
    <row r="210" spans="3:13" hidden="1">
      <c r="C210" s="108">
        <v>44570</v>
      </c>
      <c r="D210" s="101" t="s">
        <v>143</v>
      </c>
      <c r="E210" s="103"/>
      <c r="F210" s="103">
        <v>2491318.9500000002</v>
      </c>
      <c r="G210" s="101" t="s">
        <v>5</v>
      </c>
      <c r="J210" s="28">
        <f>-D46</f>
        <v>-61441.4700000007</v>
      </c>
      <c r="K210" s="28">
        <f t="shared" si="7"/>
        <v>2153616</v>
      </c>
    </row>
    <row r="211" spans="3:13" hidden="1">
      <c r="C211" s="108">
        <v>44570</v>
      </c>
      <c r="D211" s="101" t="s">
        <v>143</v>
      </c>
      <c r="E211" s="103"/>
      <c r="F211" s="103">
        <v>2371257</v>
      </c>
      <c r="G211" s="101" t="s">
        <v>6</v>
      </c>
      <c r="K211" s="28">
        <f t="shared" si="7"/>
        <v>796282.75</v>
      </c>
    </row>
    <row r="212" spans="3:13" hidden="1">
      <c r="C212" s="108">
        <v>44570</v>
      </c>
      <c r="D212" s="101" t="s">
        <v>143</v>
      </c>
      <c r="E212" s="103"/>
      <c r="F212" s="103">
        <v>1048003.2000000001</v>
      </c>
      <c r="G212" s="101" t="s">
        <v>11</v>
      </c>
      <c r="K212" s="28">
        <f t="shared" si="7"/>
        <v>2066008</v>
      </c>
    </row>
    <row r="213" spans="3:13" hidden="1">
      <c r="C213" s="108">
        <v>44570</v>
      </c>
      <c r="D213" s="101" t="s">
        <v>143</v>
      </c>
      <c r="E213" s="103"/>
      <c r="F213" s="103">
        <v>2536804</v>
      </c>
      <c r="G213" s="101" t="s">
        <v>12</v>
      </c>
      <c r="K213" s="28">
        <f>D47</f>
        <v>199196.098</v>
      </c>
    </row>
    <row r="214" spans="3:13" hidden="1">
      <c r="C214" s="108">
        <v>44603</v>
      </c>
      <c r="D214" s="101" t="s">
        <v>143</v>
      </c>
      <c r="E214" s="103"/>
      <c r="F214" s="103">
        <v>927914.8</v>
      </c>
      <c r="G214" s="101" t="s">
        <v>3</v>
      </c>
      <c r="J214" s="27">
        <f>SUM(J207:J213)</f>
        <v>8962176.6079999991</v>
      </c>
      <c r="K214" s="27">
        <f>SUM(K207:K213)</f>
        <v>9023618.0779999997</v>
      </c>
    </row>
    <row r="215" spans="3:13" hidden="1">
      <c r="C215" s="108">
        <v>44603</v>
      </c>
      <c r="D215" s="101" t="s">
        <v>143</v>
      </c>
      <c r="E215" s="103"/>
      <c r="F215" s="103">
        <v>925831.55999999982</v>
      </c>
      <c r="G215" s="101" t="s">
        <v>4</v>
      </c>
    </row>
    <row r="216" spans="3:13" hidden="1">
      <c r="C216" s="108">
        <v>44603</v>
      </c>
      <c r="D216" s="101" t="s">
        <v>143</v>
      </c>
      <c r="E216" s="103"/>
      <c r="F216" s="103">
        <v>1954768.8699999999</v>
      </c>
      <c r="G216" s="101" t="s">
        <v>5</v>
      </c>
    </row>
    <row r="217" spans="3:13" hidden="1">
      <c r="C217" s="108">
        <v>44603</v>
      </c>
      <c r="D217" s="101" t="s">
        <v>143</v>
      </c>
      <c r="E217" s="103"/>
      <c r="F217" s="103">
        <v>2153616</v>
      </c>
      <c r="G217" s="101" t="s">
        <v>6</v>
      </c>
    </row>
    <row r="218" spans="3:13" hidden="1">
      <c r="C218" s="108">
        <v>44603</v>
      </c>
      <c r="D218" s="101" t="s">
        <v>143</v>
      </c>
      <c r="E218" s="103"/>
      <c r="F218" s="103">
        <v>796282.75</v>
      </c>
      <c r="G218" s="101" t="s">
        <v>11</v>
      </c>
    </row>
    <row r="219" spans="3:13" hidden="1">
      <c r="C219" s="108">
        <v>44603</v>
      </c>
      <c r="D219" s="101" t="s">
        <v>143</v>
      </c>
      <c r="E219" s="103"/>
      <c r="F219" s="103">
        <v>2066008</v>
      </c>
      <c r="G219" s="101" t="s">
        <v>12</v>
      </c>
    </row>
    <row r="220" spans="3:13" hidden="1">
      <c r="C220" s="108">
        <v>44631</v>
      </c>
      <c r="D220" s="101" t="s">
        <v>143</v>
      </c>
      <c r="E220" s="103"/>
      <c r="F220" s="103">
        <v>404875.6</v>
      </c>
      <c r="G220" s="101" t="s">
        <v>3</v>
      </c>
    </row>
    <row r="221" spans="3:13" hidden="1">
      <c r="C221" s="108">
        <v>44631</v>
      </c>
      <c r="D221" s="101" t="s">
        <v>143</v>
      </c>
      <c r="E221" s="103"/>
      <c r="F221" s="103">
        <v>830798.7</v>
      </c>
      <c r="G221" s="101" t="s">
        <v>4</v>
      </c>
    </row>
    <row r="222" spans="3:13" hidden="1">
      <c r="C222" s="108">
        <v>44631</v>
      </c>
      <c r="D222" s="101" t="s">
        <v>143</v>
      </c>
      <c r="E222" s="103"/>
      <c r="F222" s="103">
        <v>2022844.58</v>
      </c>
      <c r="G222" s="101" t="s">
        <v>5</v>
      </c>
    </row>
    <row r="223" spans="3:13" hidden="1">
      <c r="C223" s="108">
        <v>44631</v>
      </c>
      <c r="D223" s="101" t="s">
        <v>143</v>
      </c>
      <c r="E223" s="103"/>
      <c r="F223" s="103">
        <v>955314</v>
      </c>
      <c r="G223" s="101" t="s">
        <v>6</v>
      </c>
    </row>
    <row r="224" spans="3:13" hidden="1">
      <c r="C224" s="108">
        <v>44631</v>
      </c>
      <c r="D224" s="101" t="s">
        <v>143</v>
      </c>
      <c r="E224" s="103"/>
      <c r="F224" s="103">
        <v>998481.35</v>
      </c>
      <c r="G224" s="101" t="s">
        <v>11</v>
      </c>
    </row>
    <row r="225" spans="3:7" hidden="1">
      <c r="C225" s="108">
        <v>44631</v>
      </c>
      <c r="D225" s="101" t="s">
        <v>143</v>
      </c>
      <c r="E225" s="103"/>
      <c r="F225" s="103">
        <v>2980589</v>
      </c>
      <c r="G225" s="101" t="s">
        <v>12</v>
      </c>
    </row>
    <row r="226" spans="3:7" hidden="1">
      <c r="C226" s="108">
        <v>44665</v>
      </c>
      <c r="D226" s="101" t="s">
        <v>143</v>
      </c>
      <c r="E226" s="103"/>
      <c r="F226" s="103">
        <v>758612.40000000014</v>
      </c>
      <c r="G226" s="101" t="s">
        <v>3</v>
      </c>
    </row>
    <row r="227" spans="3:7" hidden="1">
      <c r="C227" s="108">
        <v>44665</v>
      </c>
      <c r="D227" s="101" t="s">
        <v>143</v>
      </c>
      <c r="E227" s="103"/>
      <c r="F227" s="103">
        <v>989612.88</v>
      </c>
      <c r="G227" s="101" t="s">
        <v>4</v>
      </c>
    </row>
    <row r="228" spans="3:7" hidden="1">
      <c r="C228" s="108">
        <v>44665</v>
      </c>
      <c r="D228" s="101" t="s">
        <v>143</v>
      </c>
      <c r="E228" s="103"/>
      <c r="F228" s="103">
        <v>2277808.23</v>
      </c>
      <c r="G228" s="101" t="s">
        <v>5</v>
      </c>
    </row>
    <row r="229" spans="3:7" hidden="1">
      <c r="C229" s="108">
        <v>44665</v>
      </c>
      <c r="D229" s="101" t="s">
        <v>143</v>
      </c>
      <c r="E229" s="103"/>
      <c r="F229" s="103">
        <v>1879658</v>
      </c>
      <c r="G229" s="101" t="s">
        <v>6</v>
      </c>
    </row>
    <row r="230" spans="3:7" hidden="1">
      <c r="C230" s="108">
        <v>44665</v>
      </c>
      <c r="D230" s="101" t="s">
        <v>143</v>
      </c>
      <c r="E230" s="103"/>
      <c r="F230" s="103">
        <v>940346.5</v>
      </c>
      <c r="G230" s="101" t="s">
        <v>11</v>
      </c>
    </row>
    <row r="231" spans="3:7" hidden="1">
      <c r="C231" s="108">
        <v>44665</v>
      </c>
      <c r="D231" s="101" t="s">
        <v>143</v>
      </c>
      <c r="E231" s="103"/>
      <c r="F231" s="103">
        <v>2479972</v>
      </c>
      <c r="G231" s="101" t="s">
        <v>12</v>
      </c>
    </row>
    <row r="232" spans="3:7" hidden="1">
      <c r="C232" s="108">
        <v>44689</v>
      </c>
      <c r="D232" s="101" t="s">
        <v>143</v>
      </c>
      <c r="E232" s="103"/>
      <c r="F232" s="103">
        <v>661583.20000000007</v>
      </c>
      <c r="G232" s="101" t="s">
        <v>3</v>
      </c>
    </row>
    <row r="233" spans="3:7" hidden="1">
      <c r="C233" s="108">
        <v>44689</v>
      </c>
      <c r="D233" s="101" t="s">
        <v>143</v>
      </c>
      <c r="E233" s="103"/>
      <c r="F233" s="103">
        <v>957947.75999999989</v>
      </c>
      <c r="G233" s="101" t="s">
        <v>4</v>
      </c>
    </row>
    <row r="234" spans="3:7" hidden="1">
      <c r="C234" s="108">
        <v>44689</v>
      </c>
      <c r="D234" s="101" t="s">
        <v>143</v>
      </c>
      <c r="E234" s="103"/>
      <c r="F234" s="103">
        <v>2363213.31</v>
      </c>
      <c r="G234" s="101" t="s">
        <v>5</v>
      </c>
    </row>
    <row r="235" spans="3:7" hidden="1">
      <c r="C235" s="108">
        <v>44689</v>
      </c>
      <c r="D235" s="101" t="s">
        <v>143</v>
      </c>
      <c r="E235" s="103"/>
      <c r="F235" s="103">
        <v>1875578</v>
      </c>
      <c r="G235" s="101" t="s">
        <v>6</v>
      </c>
    </row>
    <row r="236" spans="3:7" hidden="1">
      <c r="C236" s="108">
        <v>44689</v>
      </c>
      <c r="D236" s="101" t="s">
        <v>143</v>
      </c>
      <c r="E236" s="103"/>
      <c r="F236" s="103">
        <v>1080370</v>
      </c>
      <c r="G236" s="101" t="s">
        <v>11</v>
      </c>
    </row>
    <row r="237" spans="3:7" hidden="1">
      <c r="C237" s="108">
        <v>44689</v>
      </c>
      <c r="D237" s="101" t="s">
        <v>143</v>
      </c>
      <c r="E237" s="103"/>
      <c r="F237" s="103">
        <v>2306429</v>
      </c>
      <c r="G237" s="101" t="s">
        <v>12</v>
      </c>
    </row>
    <row r="238" spans="3:7" hidden="1">
      <c r="C238" s="108">
        <v>44724</v>
      </c>
      <c r="D238" s="101" t="s">
        <v>143</v>
      </c>
      <c r="E238" s="103"/>
      <c r="F238" s="103">
        <v>563456.80000000005</v>
      </c>
      <c r="G238" s="101" t="s">
        <v>3</v>
      </c>
    </row>
    <row r="239" spans="3:7" hidden="1">
      <c r="C239" s="108">
        <v>44724</v>
      </c>
      <c r="D239" s="101" t="s">
        <v>143</v>
      </c>
      <c r="E239" s="103"/>
      <c r="F239" s="103">
        <v>838781.94</v>
      </c>
      <c r="G239" s="101" t="s">
        <v>4</v>
      </c>
    </row>
    <row r="240" spans="3:7" hidden="1">
      <c r="C240" s="108">
        <v>44724</v>
      </c>
      <c r="D240" s="101" t="s">
        <v>143</v>
      </c>
      <c r="E240" s="103"/>
      <c r="F240" s="103">
        <v>1794753.0600000003</v>
      </c>
      <c r="G240" s="101" t="s">
        <v>5</v>
      </c>
    </row>
    <row r="241" spans="3:7" hidden="1">
      <c r="C241" s="108">
        <v>44724</v>
      </c>
      <c r="D241" s="101" t="s">
        <v>143</v>
      </c>
      <c r="E241" s="103"/>
      <c r="F241" s="103">
        <v>1493282</v>
      </c>
      <c r="G241" s="101" t="s">
        <v>6</v>
      </c>
    </row>
    <row r="242" spans="3:7" hidden="1">
      <c r="C242" s="108">
        <v>44724</v>
      </c>
      <c r="D242" s="101" t="s">
        <v>143</v>
      </c>
      <c r="E242" s="103"/>
      <c r="F242" s="103">
        <v>894125.59999999986</v>
      </c>
      <c r="G242" s="101" t="s">
        <v>11</v>
      </c>
    </row>
    <row r="243" spans="3:7" hidden="1">
      <c r="C243" s="108">
        <v>44724</v>
      </c>
      <c r="D243" s="101" t="s">
        <v>143</v>
      </c>
      <c r="E243" s="103"/>
      <c r="F243" s="103">
        <v>2065456</v>
      </c>
      <c r="G243" s="101" t="s">
        <v>12</v>
      </c>
    </row>
    <row r="244" spans="3:7" hidden="1">
      <c r="C244" s="108">
        <v>44753</v>
      </c>
      <c r="D244" s="101" t="s">
        <v>143</v>
      </c>
      <c r="E244" s="103"/>
      <c r="F244" s="103">
        <v>704544.79999999993</v>
      </c>
      <c r="G244" s="101" t="s">
        <v>3</v>
      </c>
    </row>
    <row r="245" spans="3:7" hidden="1">
      <c r="C245" s="108">
        <v>44753</v>
      </c>
      <c r="D245" s="101" t="s">
        <v>143</v>
      </c>
      <c r="E245" s="103"/>
      <c r="F245" s="103">
        <v>934816.88000000012</v>
      </c>
      <c r="G245" s="101" t="s">
        <v>4</v>
      </c>
    </row>
    <row r="246" spans="3:7" hidden="1">
      <c r="C246" s="108">
        <v>44753</v>
      </c>
      <c r="D246" s="101" t="s">
        <v>143</v>
      </c>
      <c r="E246" s="103"/>
      <c r="F246" s="103">
        <v>2350592.4800000004</v>
      </c>
      <c r="G246" s="101" t="s">
        <v>5</v>
      </c>
    </row>
    <row r="247" spans="3:7" hidden="1">
      <c r="C247" s="108">
        <v>44753</v>
      </c>
      <c r="D247" s="101" t="s">
        <v>143</v>
      </c>
      <c r="E247" s="103"/>
      <c r="F247" s="103">
        <v>1982123</v>
      </c>
      <c r="G247" s="101" t="s">
        <v>6</v>
      </c>
    </row>
    <row r="248" spans="3:7" hidden="1">
      <c r="C248" s="108">
        <v>44753</v>
      </c>
      <c r="D248" s="101" t="s">
        <v>143</v>
      </c>
      <c r="E248" s="103"/>
      <c r="F248" s="103">
        <v>1144563.5999999999</v>
      </c>
      <c r="G248" s="101" t="s">
        <v>11</v>
      </c>
    </row>
    <row r="249" spans="3:7" hidden="1">
      <c r="C249" s="108">
        <v>44753</v>
      </c>
      <c r="D249" s="101" t="s">
        <v>143</v>
      </c>
      <c r="E249" s="103"/>
      <c r="F249" s="103">
        <v>2276895</v>
      </c>
      <c r="G249" s="101" t="s">
        <v>12</v>
      </c>
    </row>
    <row r="250" spans="3:7" hidden="1">
      <c r="C250" s="108">
        <v>44781</v>
      </c>
      <c r="D250" s="101" t="s">
        <v>143</v>
      </c>
      <c r="E250" s="103"/>
      <c r="F250" s="103">
        <v>729079.2</v>
      </c>
      <c r="G250" s="101" t="s">
        <v>3</v>
      </c>
    </row>
    <row r="251" spans="3:7" hidden="1">
      <c r="C251" s="108">
        <v>44781</v>
      </c>
      <c r="D251" s="101" t="s">
        <v>143</v>
      </c>
      <c r="E251" s="103"/>
      <c r="F251" s="103">
        <v>822659.91999999993</v>
      </c>
      <c r="G251" s="101" t="s">
        <v>4</v>
      </c>
    </row>
    <row r="252" spans="3:7" hidden="1">
      <c r="C252" s="108">
        <v>44781</v>
      </c>
      <c r="D252" s="101" t="s">
        <v>143</v>
      </c>
      <c r="E252" s="103"/>
      <c r="F252" s="103">
        <v>1968576.92</v>
      </c>
      <c r="G252" s="101" t="s">
        <v>5</v>
      </c>
    </row>
    <row r="253" spans="3:7" hidden="1">
      <c r="C253" s="108">
        <v>44781</v>
      </c>
      <c r="D253" s="101" t="s">
        <v>143</v>
      </c>
      <c r="E253" s="103"/>
      <c r="F253" s="103">
        <v>2143001</v>
      </c>
      <c r="G253" s="101" t="s">
        <v>6</v>
      </c>
    </row>
    <row r="254" spans="3:7" hidden="1">
      <c r="C254" s="108">
        <v>44781</v>
      </c>
      <c r="D254" s="101" t="s">
        <v>143</v>
      </c>
      <c r="E254" s="103"/>
      <c r="F254" s="103">
        <v>917779.70000000007</v>
      </c>
      <c r="G254" s="101" t="s">
        <v>11</v>
      </c>
    </row>
    <row r="255" spans="3:7" hidden="1">
      <c r="C255" s="108">
        <v>44781</v>
      </c>
      <c r="D255" s="101" t="s">
        <v>143</v>
      </c>
      <c r="E255" s="103"/>
      <c r="F255" s="103">
        <v>2131550</v>
      </c>
      <c r="G255" s="101" t="s">
        <v>12</v>
      </c>
    </row>
    <row r="256" spans="3:7" hidden="1">
      <c r="C256" s="108">
        <v>44817</v>
      </c>
      <c r="D256" s="101" t="s">
        <v>143</v>
      </c>
      <c r="E256" s="103"/>
      <c r="F256" s="103">
        <v>715560.8</v>
      </c>
      <c r="G256" s="101" t="s">
        <v>3</v>
      </c>
    </row>
    <row r="257" spans="3:7" hidden="1">
      <c r="C257" s="108">
        <v>44817</v>
      </c>
      <c r="D257" s="101" t="s">
        <v>143</v>
      </c>
      <c r="E257" s="103"/>
      <c r="F257" s="103">
        <v>843424.5</v>
      </c>
      <c r="G257" s="101" t="s">
        <v>4</v>
      </c>
    </row>
    <row r="258" spans="3:7" hidden="1">
      <c r="C258" s="108">
        <v>44817</v>
      </c>
      <c r="D258" s="101" t="s">
        <v>143</v>
      </c>
      <c r="E258" s="103"/>
      <c r="F258" s="103">
        <v>2132295.12</v>
      </c>
      <c r="G258" s="101" t="s">
        <v>5</v>
      </c>
    </row>
    <row r="259" spans="3:7" hidden="1">
      <c r="C259" s="108">
        <v>44817</v>
      </c>
      <c r="D259" s="101" t="s">
        <v>143</v>
      </c>
      <c r="E259" s="103"/>
      <c r="F259" s="103">
        <v>1633814</v>
      </c>
      <c r="G259" s="101" t="s">
        <v>6</v>
      </c>
    </row>
    <row r="260" spans="3:7" hidden="1">
      <c r="C260" s="108">
        <v>44817</v>
      </c>
      <c r="D260" s="101" t="s">
        <v>143</v>
      </c>
      <c r="E260" s="103"/>
      <c r="F260" s="103">
        <v>845158</v>
      </c>
      <c r="G260" s="101" t="s">
        <v>11</v>
      </c>
    </row>
    <row r="261" spans="3:7" hidden="1">
      <c r="C261" s="108">
        <v>44817</v>
      </c>
      <c r="D261" s="101" t="s">
        <v>143</v>
      </c>
      <c r="E261" s="103"/>
      <c r="F261" s="103">
        <v>1805512</v>
      </c>
      <c r="G261" s="101" t="s">
        <v>12</v>
      </c>
    </row>
    <row r="262" spans="3:7" hidden="1">
      <c r="C262" s="108">
        <v>44844</v>
      </c>
      <c r="D262" s="101" t="s">
        <v>143</v>
      </c>
      <c r="E262" s="103"/>
      <c r="F262" s="103">
        <v>851001.59999999986</v>
      </c>
      <c r="G262" s="101" t="s">
        <v>3</v>
      </c>
    </row>
    <row r="263" spans="3:7" hidden="1">
      <c r="C263" s="108">
        <v>44844</v>
      </c>
      <c r="D263" s="101" t="s">
        <v>143</v>
      </c>
      <c r="E263" s="103"/>
      <c r="F263" s="103">
        <v>851028.88000000012</v>
      </c>
      <c r="G263" s="101" t="s">
        <v>4</v>
      </c>
    </row>
    <row r="264" spans="3:7" hidden="1">
      <c r="C264" s="108">
        <v>44844</v>
      </c>
      <c r="D264" s="101" t="s">
        <v>143</v>
      </c>
      <c r="E264" s="103"/>
      <c r="F264" s="103">
        <v>1972135.2799999998</v>
      </c>
      <c r="G264" s="101" t="s">
        <v>5</v>
      </c>
    </row>
    <row r="265" spans="3:7" hidden="1">
      <c r="C265" s="108">
        <v>44844</v>
      </c>
      <c r="D265" s="101" t="s">
        <v>143</v>
      </c>
      <c r="E265" s="103"/>
      <c r="F265" s="103">
        <v>1886144</v>
      </c>
      <c r="G265" s="101" t="s">
        <v>6</v>
      </c>
    </row>
    <row r="266" spans="3:7" hidden="1">
      <c r="C266" s="108">
        <v>44844</v>
      </c>
      <c r="D266" s="101" t="s">
        <v>143</v>
      </c>
      <c r="E266" s="103"/>
      <c r="F266" s="103">
        <v>790023.3</v>
      </c>
      <c r="G266" s="101" t="s">
        <v>11</v>
      </c>
    </row>
    <row r="267" spans="3:7" hidden="1">
      <c r="C267" s="108">
        <v>44844</v>
      </c>
      <c r="D267" s="101" t="s">
        <v>143</v>
      </c>
      <c r="E267" s="103"/>
      <c r="F267" s="103">
        <v>1785537</v>
      </c>
      <c r="G267" s="101" t="s">
        <v>12</v>
      </c>
    </row>
    <row r="268" spans="3:7" hidden="1">
      <c r="C268" s="108">
        <v>44873</v>
      </c>
      <c r="D268" s="101" t="s">
        <v>143</v>
      </c>
      <c r="E268" s="103"/>
      <c r="F268" s="103">
        <v>636362.39999999991</v>
      </c>
      <c r="G268" s="101" t="s">
        <v>3</v>
      </c>
    </row>
    <row r="269" spans="3:7" hidden="1">
      <c r="C269" s="108">
        <v>44873</v>
      </c>
      <c r="D269" s="101" t="s">
        <v>143</v>
      </c>
      <c r="E269" s="103"/>
      <c r="F269" s="103">
        <v>790902.6399999999</v>
      </c>
      <c r="G269" s="101" t="s">
        <v>4</v>
      </c>
    </row>
    <row r="270" spans="3:7" hidden="1">
      <c r="C270" s="108">
        <v>44873</v>
      </c>
      <c r="D270" s="101" t="s">
        <v>143</v>
      </c>
      <c r="E270" s="103"/>
      <c r="F270" s="103">
        <v>1931439.8200000003</v>
      </c>
      <c r="G270" s="101" t="s">
        <v>5</v>
      </c>
    </row>
    <row r="271" spans="3:7" hidden="1">
      <c r="C271" s="108">
        <v>44873</v>
      </c>
      <c r="D271" s="101" t="s">
        <v>143</v>
      </c>
      <c r="E271" s="103"/>
      <c r="F271" s="103">
        <v>2181323</v>
      </c>
      <c r="G271" s="101" t="s">
        <v>6</v>
      </c>
    </row>
    <row r="272" spans="3:7" hidden="1">
      <c r="C272" s="108">
        <v>44873</v>
      </c>
      <c r="D272" s="101" t="s">
        <v>143</v>
      </c>
      <c r="E272" s="103"/>
      <c r="F272" s="103">
        <v>920426</v>
      </c>
      <c r="G272" s="101" t="s">
        <v>11</v>
      </c>
    </row>
    <row r="273" spans="3:10" hidden="1">
      <c r="C273" s="108">
        <v>44873</v>
      </c>
      <c r="D273" s="101" t="s">
        <v>143</v>
      </c>
      <c r="E273" s="103"/>
      <c r="F273" s="103">
        <v>1835445</v>
      </c>
      <c r="G273" s="101" t="s">
        <v>12</v>
      </c>
    </row>
    <row r="274" spans="3:10" hidden="1">
      <c r="C274" s="108">
        <v>44907</v>
      </c>
      <c r="D274" s="101" t="s">
        <v>143</v>
      </c>
      <c r="E274" s="103"/>
      <c r="F274" s="103">
        <v>918443.20000000019</v>
      </c>
      <c r="G274" s="101" t="s">
        <v>3</v>
      </c>
    </row>
    <row r="275" spans="3:10" hidden="1">
      <c r="C275" s="108">
        <v>44907</v>
      </c>
      <c r="D275" s="101" t="s">
        <v>143</v>
      </c>
      <c r="E275" s="103"/>
      <c r="F275" s="103">
        <v>825855.3</v>
      </c>
      <c r="G275" s="101" t="s">
        <v>4</v>
      </c>
    </row>
    <row r="276" spans="3:10" hidden="1">
      <c r="C276" s="108">
        <v>44907</v>
      </c>
      <c r="D276" s="101" t="s">
        <v>143</v>
      </c>
      <c r="E276" s="103"/>
      <c r="F276" s="103">
        <v>1778721.1199999999</v>
      </c>
      <c r="G276" s="101" t="s">
        <v>5</v>
      </c>
    </row>
    <row r="277" spans="3:10" hidden="1">
      <c r="C277" s="108">
        <v>44907</v>
      </c>
      <c r="D277" s="101" t="s">
        <v>143</v>
      </c>
      <c r="E277" s="103"/>
      <c r="F277" s="103">
        <v>1666860</v>
      </c>
      <c r="G277" s="101" t="s">
        <v>6</v>
      </c>
    </row>
    <row r="278" spans="3:10" hidden="1">
      <c r="C278" s="108">
        <v>44907</v>
      </c>
      <c r="D278" s="101" t="s">
        <v>143</v>
      </c>
      <c r="E278" s="103"/>
      <c r="F278" s="103">
        <v>735751.39999999991</v>
      </c>
      <c r="G278" s="101" t="s">
        <v>11</v>
      </c>
      <c r="H278" s="101"/>
      <c r="I278" s="101"/>
      <c r="J278" s="101"/>
    </row>
    <row r="279" spans="3:10" hidden="1">
      <c r="C279" s="108">
        <v>44907</v>
      </c>
      <c r="D279" s="101" t="s">
        <v>143</v>
      </c>
      <c r="E279" s="103"/>
      <c r="F279" s="103">
        <v>1617142</v>
      </c>
      <c r="G279" s="101" t="s">
        <v>12</v>
      </c>
      <c r="H279" s="101"/>
      <c r="I279" s="101"/>
      <c r="J279" s="101"/>
    </row>
    <row r="280" spans="3:10" hidden="1">
      <c r="C280" s="108">
        <v>44571</v>
      </c>
      <c r="D280" s="101" t="s">
        <v>89</v>
      </c>
      <c r="E280" s="98">
        <f>HLOOKUP(C280,$C$24:$N$27,2,0)</f>
        <v>4770969.0840000007</v>
      </c>
      <c r="F280" s="103"/>
      <c r="G280" s="101"/>
      <c r="H280" s="101"/>
      <c r="I280" s="101"/>
      <c r="J280" s="101"/>
    </row>
    <row r="281" spans="3:10" hidden="1">
      <c r="C281" s="108">
        <v>44604</v>
      </c>
      <c r="D281" s="101" t="s">
        <v>89</v>
      </c>
      <c r="E281" s="103">
        <f t="shared" ref="E281:E291" si="8">HLOOKUP(C281,$C$24:$N$27,2,0)</f>
        <v>4603648.2519999994</v>
      </c>
      <c r="F281" s="103"/>
      <c r="G281" s="101"/>
      <c r="H281" s="101"/>
      <c r="I281" s="101"/>
      <c r="J281" s="101"/>
    </row>
    <row r="282" spans="3:10" hidden="1">
      <c r="C282" s="108">
        <v>44632</v>
      </c>
      <c r="D282" s="101" t="s">
        <v>89</v>
      </c>
      <c r="E282" s="103">
        <f t="shared" si="8"/>
        <v>2144872.1059999983</v>
      </c>
      <c r="F282" s="103"/>
      <c r="G282" s="101"/>
      <c r="H282" s="101"/>
      <c r="I282" s="101"/>
      <c r="J282" s="101"/>
    </row>
    <row r="283" spans="3:10" hidden="1">
      <c r="C283" s="108">
        <v>44666</v>
      </c>
      <c r="D283" s="101" t="s">
        <v>89</v>
      </c>
      <c r="E283" s="103">
        <f t="shared" si="8"/>
        <v>4050926.2059999993</v>
      </c>
      <c r="F283" s="103"/>
      <c r="G283" s="101"/>
      <c r="H283" s="101"/>
      <c r="I283" s="101"/>
      <c r="J283" s="101"/>
    </row>
    <row r="284" spans="3:10" hidden="1">
      <c r="C284" s="108">
        <v>44690</v>
      </c>
      <c r="D284" s="101" t="s">
        <v>89</v>
      </c>
      <c r="E284" s="103">
        <f t="shared" si="8"/>
        <v>3829096.6439999994</v>
      </c>
      <c r="F284" s="103"/>
      <c r="G284" s="101"/>
      <c r="H284" s="101"/>
      <c r="I284" s="101"/>
      <c r="J284" s="101"/>
    </row>
    <row r="285" spans="3:10" hidden="1">
      <c r="C285" s="108">
        <v>44725</v>
      </c>
      <c r="D285" s="101" t="s">
        <v>89</v>
      </c>
      <c r="E285" s="103">
        <f t="shared" si="8"/>
        <v>3149465.906</v>
      </c>
      <c r="F285" s="103"/>
      <c r="G285" s="101"/>
      <c r="H285" s="101"/>
      <c r="I285" s="101"/>
    </row>
    <row r="286" spans="3:10" hidden="1">
      <c r="C286" s="108">
        <v>44754</v>
      </c>
      <c r="D286" s="101" t="s">
        <v>89</v>
      </c>
      <c r="E286" s="103">
        <f t="shared" si="8"/>
        <v>3840368.0479999981</v>
      </c>
      <c r="F286" s="103"/>
      <c r="G286" s="101"/>
      <c r="H286" s="101"/>
      <c r="J286" s="44"/>
    </row>
    <row r="287" spans="3:10" hidden="1">
      <c r="C287" s="108">
        <v>44782</v>
      </c>
      <c r="D287" s="101" t="s">
        <v>89</v>
      </c>
      <c r="E287" s="103">
        <f t="shared" si="8"/>
        <v>4212716.9779999983</v>
      </c>
      <c r="F287" s="103"/>
      <c r="G287" s="101"/>
      <c r="H287" s="101"/>
      <c r="J287" s="44"/>
    </row>
    <row r="288" spans="3:10" hidden="1">
      <c r="C288" s="108">
        <v>44818</v>
      </c>
      <c r="D288" s="101" t="s">
        <v>89</v>
      </c>
      <c r="E288" s="103">
        <f t="shared" si="8"/>
        <v>3768187.0299999993</v>
      </c>
      <c r="F288" s="103"/>
      <c r="G288" s="101"/>
      <c r="H288" s="101"/>
      <c r="J288" s="44"/>
    </row>
    <row r="289" spans="3:10" hidden="1">
      <c r="C289" s="108">
        <v>44845</v>
      </c>
      <c r="D289" s="101" t="s">
        <v>89</v>
      </c>
      <c r="E289" s="103">
        <f t="shared" si="8"/>
        <v>4188887.9299999997</v>
      </c>
      <c r="F289" s="103"/>
      <c r="G289" s="101"/>
      <c r="H289" s="101"/>
      <c r="J289" s="44"/>
    </row>
    <row r="290" spans="3:10" hidden="1">
      <c r="C290" s="108">
        <v>44874</v>
      </c>
      <c r="D290" s="101" t="s">
        <v>89</v>
      </c>
      <c r="E290" s="103">
        <f t="shared" si="8"/>
        <v>4151178.1780000003</v>
      </c>
      <c r="F290" s="103"/>
      <c r="G290" s="101"/>
      <c r="H290" s="101"/>
      <c r="J290" s="44"/>
    </row>
    <row r="291" spans="3:10" hidden="1">
      <c r="C291" s="108">
        <v>44908</v>
      </c>
      <c r="D291" s="101" t="s">
        <v>89</v>
      </c>
      <c r="E291" s="103">
        <f t="shared" si="8"/>
        <v>3880322.5279999999</v>
      </c>
      <c r="F291" s="81"/>
      <c r="G291" s="101"/>
      <c r="H291" s="101"/>
      <c r="I291" s="101"/>
    </row>
    <row r="292" spans="3:10" hidden="1">
      <c r="C292" s="108">
        <v>44571</v>
      </c>
      <c r="D292" s="101" t="s">
        <v>90</v>
      </c>
      <c r="E292" s="98">
        <f>HLOOKUP(C292,$C$24:$N$27,3,0)</f>
        <v>1482334.9920000001</v>
      </c>
      <c r="F292" s="44"/>
      <c r="G292" s="101"/>
      <c r="H292" s="101"/>
      <c r="I292" s="101"/>
    </row>
    <row r="293" spans="3:10" hidden="1">
      <c r="C293" s="108">
        <v>44604</v>
      </c>
      <c r="D293" s="101" t="s">
        <v>90</v>
      </c>
      <c r="E293" s="103">
        <f t="shared" ref="E293:E303" si="9">HLOOKUP(C293,$C$24:$N$27,3,0)</f>
        <v>2003314.6980000001</v>
      </c>
      <c r="F293" s="44"/>
      <c r="G293" s="101"/>
      <c r="H293" s="101"/>
      <c r="I293" s="101"/>
    </row>
    <row r="294" spans="3:10" hidden="1">
      <c r="C294" s="108">
        <v>44632</v>
      </c>
      <c r="D294" s="101" t="s">
        <v>90</v>
      </c>
      <c r="E294" s="103">
        <f t="shared" si="9"/>
        <v>2357264.1300000004</v>
      </c>
      <c r="F294" s="44"/>
      <c r="G294" s="101"/>
      <c r="H294" s="101"/>
      <c r="I294" s="101"/>
    </row>
    <row r="295" spans="3:10" hidden="1">
      <c r="C295" s="108">
        <v>44666</v>
      </c>
      <c r="D295" s="101" t="s">
        <v>90</v>
      </c>
      <c r="E295" s="103">
        <f t="shared" si="9"/>
        <v>1586229.04</v>
      </c>
      <c r="F295" s="44"/>
      <c r="G295" s="101"/>
      <c r="H295" s="101"/>
      <c r="I295" s="101"/>
    </row>
    <row r="296" spans="3:10" hidden="1">
      <c r="C296" s="108">
        <v>44690</v>
      </c>
      <c r="D296" s="101" t="s">
        <v>90</v>
      </c>
      <c r="E296" s="103">
        <f t="shared" si="9"/>
        <v>1995966.7620000001</v>
      </c>
      <c r="F296" s="44"/>
    </row>
    <row r="297" spans="3:10" hidden="1">
      <c r="C297" s="108">
        <v>44725</v>
      </c>
      <c r="D297" s="101" t="s">
        <v>90</v>
      </c>
      <c r="E297" s="103">
        <f t="shared" si="9"/>
        <v>1622981.9040000003</v>
      </c>
      <c r="F297" s="44"/>
    </row>
    <row r="298" spans="3:10" hidden="1">
      <c r="C298" s="108">
        <v>44754</v>
      </c>
      <c r="D298" s="101" t="s">
        <v>90</v>
      </c>
      <c r="E298" s="103">
        <f t="shared" si="9"/>
        <v>2028074.3040000002</v>
      </c>
      <c r="F298" s="44"/>
    </row>
    <row r="299" spans="3:10" hidden="1">
      <c r="C299" s="108">
        <v>44782</v>
      </c>
      <c r="D299" s="101" t="s">
        <v>90</v>
      </c>
      <c r="E299" s="103">
        <f t="shared" si="9"/>
        <v>2796030.5760000004</v>
      </c>
      <c r="F299" s="44"/>
    </row>
    <row r="300" spans="3:10" hidden="1">
      <c r="C300" s="108">
        <v>44818</v>
      </c>
      <c r="D300" s="101" t="s">
        <v>90</v>
      </c>
      <c r="E300" s="103">
        <f t="shared" si="9"/>
        <v>2123448.7400000002</v>
      </c>
      <c r="F300" s="44"/>
    </row>
    <row r="301" spans="3:10" hidden="1">
      <c r="C301" s="108">
        <v>44845</v>
      </c>
      <c r="D301" s="101" t="s">
        <v>90</v>
      </c>
      <c r="E301" s="103">
        <f t="shared" si="9"/>
        <v>1981224.6120000002</v>
      </c>
      <c r="F301" s="44"/>
    </row>
    <row r="302" spans="3:10" hidden="1">
      <c r="C302" s="108">
        <v>44874</v>
      </c>
      <c r="D302" s="101" t="s">
        <v>90</v>
      </c>
      <c r="E302" s="103">
        <f t="shared" si="9"/>
        <v>1192141.0340000002</v>
      </c>
      <c r="F302" s="44"/>
    </row>
    <row r="303" spans="3:10" hidden="1">
      <c r="C303" s="108">
        <v>44908</v>
      </c>
      <c r="D303" s="101" t="s">
        <v>90</v>
      </c>
      <c r="E303" s="103">
        <f t="shared" si="9"/>
        <v>1646968.2040000001</v>
      </c>
      <c r="F303" s="44"/>
    </row>
    <row r="304" spans="3:10" hidden="1">
      <c r="C304" s="108">
        <v>44571</v>
      </c>
      <c r="D304" s="101" t="s">
        <v>91</v>
      </c>
      <c r="E304" s="98">
        <f>HLOOKUP(C304,$C$24:$N$27,4,0)</f>
        <v>4309549.4400000004</v>
      </c>
      <c r="F304" s="44"/>
    </row>
    <row r="305" spans="3:8" hidden="1">
      <c r="C305" s="108">
        <v>44604</v>
      </c>
      <c r="D305" s="101" t="s">
        <v>91</v>
      </c>
      <c r="E305" s="103">
        <f t="shared" ref="E305:E315" si="10">HLOOKUP(C305,$C$24:$N$27,4,0)</f>
        <v>2416655.1280000005</v>
      </c>
      <c r="F305" s="44"/>
    </row>
    <row r="306" spans="3:8" hidden="1">
      <c r="C306" s="108">
        <v>44632</v>
      </c>
      <c r="D306" s="101" t="s">
        <v>91</v>
      </c>
      <c r="E306" s="103">
        <f t="shared" si="10"/>
        <v>3906411.9960000003</v>
      </c>
      <c r="F306" s="44"/>
      <c r="H306" s="44"/>
    </row>
    <row r="307" spans="3:8" hidden="1">
      <c r="C307" s="108">
        <v>44666</v>
      </c>
      <c r="D307" s="101" t="s">
        <v>91</v>
      </c>
      <c r="E307" s="103">
        <f t="shared" si="10"/>
        <v>3945437.0400000005</v>
      </c>
      <c r="F307" s="44"/>
    </row>
    <row r="308" spans="3:8" hidden="1">
      <c r="C308" s="108">
        <v>44690</v>
      </c>
      <c r="D308" s="101" t="s">
        <v>91</v>
      </c>
      <c r="E308" s="103">
        <f t="shared" si="10"/>
        <v>3656849.2800000003</v>
      </c>
      <c r="F308" s="44"/>
    </row>
    <row r="309" spans="3:8" hidden="1">
      <c r="C309" s="108">
        <v>44725</v>
      </c>
      <c r="D309" s="101" t="s">
        <v>91</v>
      </c>
      <c r="E309" s="103">
        <f t="shared" si="10"/>
        <v>3102727.6159999999</v>
      </c>
      <c r="F309" s="44"/>
    </row>
    <row r="310" spans="3:8" hidden="1">
      <c r="C310" s="108">
        <v>44754</v>
      </c>
      <c r="D310" s="101" t="s">
        <v>91</v>
      </c>
      <c r="E310" s="103">
        <f t="shared" si="10"/>
        <v>3778490.6460000006</v>
      </c>
      <c r="F310" s="44"/>
    </row>
    <row r="311" spans="3:8" hidden="1">
      <c r="C311" s="108">
        <v>44782</v>
      </c>
      <c r="D311" s="101" t="s">
        <v>91</v>
      </c>
      <c r="E311" s="103">
        <f t="shared" si="10"/>
        <v>1931375.3080000002</v>
      </c>
      <c r="F311" s="44"/>
    </row>
    <row r="312" spans="3:8" hidden="1">
      <c r="C312" s="108">
        <v>44818</v>
      </c>
      <c r="D312" s="101" t="s">
        <v>91</v>
      </c>
      <c r="E312" s="103">
        <f t="shared" si="10"/>
        <v>2306040.9480000003</v>
      </c>
      <c r="F312" s="44"/>
    </row>
    <row r="313" spans="3:8" hidden="1">
      <c r="C313" s="108">
        <v>44845</v>
      </c>
      <c r="D313" s="101" t="s">
        <v>91</v>
      </c>
      <c r="E313" s="103">
        <f t="shared" si="10"/>
        <v>2187138.7860000003</v>
      </c>
      <c r="F313" s="44"/>
    </row>
    <row r="314" spans="3:8" hidden="1">
      <c r="C314" s="108">
        <v>44874</v>
      </c>
      <c r="D314" s="101" t="s">
        <v>91</v>
      </c>
      <c r="E314" s="103">
        <f t="shared" si="10"/>
        <v>3180209.9400000004</v>
      </c>
      <c r="F314" s="44"/>
    </row>
    <row r="315" spans="3:8" hidden="1">
      <c r="C315" s="108">
        <v>44908</v>
      </c>
      <c r="D315" s="101" t="s">
        <v>91</v>
      </c>
      <c r="E315" s="103">
        <f t="shared" si="10"/>
        <v>2238492.048</v>
      </c>
      <c r="F315" s="44"/>
    </row>
    <row r="316" spans="3:8" hidden="1">
      <c r="C316" s="108">
        <v>44571</v>
      </c>
      <c r="D316" s="101" t="s">
        <v>126</v>
      </c>
      <c r="E316" s="103"/>
      <c r="F316" s="103">
        <v>281426</v>
      </c>
    </row>
    <row r="317" spans="3:8" hidden="1">
      <c r="C317" s="108">
        <v>44604</v>
      </c>
      <c r="D317" s="101" t="s">
        <v>126</v>
      </c>
      <c r="E317" s="103"/>
      <c r="F317" s="103">
        <v>199196.098</v>
      </c>
    </row>
    <row r="318" spans="3:8" hidden="1">
      <c r="C318" s="108">
        <v>44632</v>
      </c>
      <c r="D318" s="101" t="s">
        <v>126</v>
      </c>
      <c r="E318" s="103"/>
      <c r="F318" s="103">
        <v>215645.00200000001</v>
      </c>
    </row>
    <row r="319" spans="3:8" hidden="1">
      <c r="C319" s="108">
        <v>44666</v>
      </c>
      <c r="D319" s="101" t="s">
        <v>126</v>
      </c>
      <c r="E319" s="103"/>
      <c r="F319" s="103">
        <v>256582.27599999998</v>
      </c>
    </row>
    <row r="320" spans="3:8" hidden="1">
      <c r="C320" s="108">
        <v>44690</v>
      </c>
      <c r="D320" s="101" t="s">
        <v>126</v>
      </c>
      <c r="E320" s="103"/>
      <c r="F320" s="103">
        <v>236791.416</v>
      </c>
    </row>
    <row r="321" spans="3:8" hidden="1">
      <c r="C321" s="108">
        <v>44725</v>
      </c>
      <c r="D321" s="101" t="s">
        <v>126</v>
      </c>
      <c r="E321" s="103"/>
      <c r="F321" s="103">
        <v>225320.02600000001</v>
      </c>
    </row>
    <row r="322" spans="3:8" hidden="1">
      <c r="C322" s="108">
        <v>44754</v>
      </c>
      <c r="D322" s="101" t="s">
        <v>126</v>
      </c>
      <c r="E322" s="103"/>
      <c r="F322" s="103">
        <v>253397.23799999998</v>
      </c>
    </row>
    <row r="323" spans="3:8" hidden="1">
      <c r="C323" s="108">
        <v>44782</v>
      </c>
      <c r="D323" s="101" t="s">
        <v>126</v>
      </c>
      <c r="E323" s="103"/>
      <c r="F323" s="103">
        <v>227476.122</v>
      </c>
    </row>
    <row r="324" spans="3:8" hidden="1">
      <c r="C324" s="108">
        <v>44818</v>
      </c>
      <c r="D324" s="101" t="s">
        <v>126</v>
      </c>
      <c r="E324" s="103"/>
      <c r="F324" s="103">
        <v>221912.29800000001</v>
      </c>
    </row>
    <row r="325" spans="3:8" hidden="1">
      <c r="C325" s="108">
        <v>44845</v>
      </c>
      <c r="D325" s="101" t="s">
        <v>126</v>
      </c>
      <c r="E325" s="103"/>
      <c r="F325" s="103">
        <v>221381.26799999998</v>
      </c>
    </row>
    <row r="326" spans="3:8" hidden="1">
      <c r="C326" s="108">
        <v>44874</v>
      </c>
      <c r="D326" s="101" t="s">
        <v>126</v>
      </c>
      <c r="E326" s="103"/>
      <c r="F326" s="103">
        <v>227630.29200000002</v>
      </c>
    </row>
    <row r="327" spans="3:8" hidden="1">
      <c r="C327" s="108">
        <v>44908</v>
      </c>
      <c r="D327" s="101" t="s">
        <v>126</v>
      </c>
      <c r="E327" s="103"/>
      <c r="F327" s="103">
        <f>223009.76+0.49</f>
        <v>223010.25</v>
      </c>
      <c r="G327" s="103"/>
      <c r="H327" s="103"/>
    </row>
    <row r="328" spans="3:8" hidden="1">
      <c r="C328" s="108">
        <v>44584</v>
      </c>
      <c r="D328" s="82" t="str">
        <f>CONCATENATE("Inventory Finished goods ",H328)</f>
        <v>Inventory Finished goods Product C</v>
      </c>
      <c r="F328" s="109">
        <v>3802085.6760000004</v>
      </c>
      <c r="G328" s="103"/>
      <c r="H328" s="103" t="s">
        <v>14</v>
      </c>
    </row>
    <row r="329" spans="3:8" hidden="1">
      <c r="C329" s="108">
        <v>44578</v>
      </c>
      <c r="D329" s="82" t="str">
        <f t="shared" ref="D329:D392" si="11">CONCATENATE("Inventory Finished goods ",H329)</f>
        <v>Inventory Finished goods Product A</v>
      </c>
      <c r="F329" s="103">
        <v>542431.17599999998</v>
      </c>
      <c r="G329" s="103"/>
      <c r="H329" s="103" t="s">
        <v>2</v>
      </c>
    </row>
    <row r="330" spans="3:8" hidden="1">
      <c r="C330" s="108">
        <v>44581</v>
      </c>
      <c r="D330" s="82" t="str">
        <f t="shared" si="11"/>
        <v>Inventory Finished goods Product C</v>
      </c>
      <c r="F330" s="103">
        <v>507463.76400000002</v>
      </c>
      <c r="G330" s="103"/>
      <c r="H330" s="103" t="s">
        <v>14</v>
      </c>
    </row>
    <row r="331" spans="3:8" hidden="1">
      <c r="C331" s="108">
        <v>44578</v>
      </c>
      <c r="D331" s="82" t="str">
        <f t="shared" si="11"/>
        <v>Inventory Finished goods Product B</v>
      </c>
      <c r="F331" s="103">
        <v>503729.28</v>
      </c>
      <c r="G331" s="103"/>
      <c r="H331" s="103" t="s">
        <v>10</v>
      </c>
    </row>
    <row r="332" spans="3:8" hidden="1">
      <c r="C332" s="108">
        <v>44579</v>
      </c>
      <c r="D332" s="82" t="str">
        <f t="shared" si="11"/>
        <v>Inventory Finished goods Product A</v>
      </c>
      <c r="F332" s="103">
        <v>1003104.7320000001</v>
      </c>
      <c r="G332" s="103"/>
      <c r="H332" s="103" t="s">
        <v>2</v>
      </c>
    </row>
    <row r="333" spans="3:8" hidden="1">
      <c r="C333" s="108">
        <v>44582</v>
      </c>
      <c r="D333" s="82" t="str">
        <f t="shared" si="11"/>
        <v>Inventory Finished goods Product B</v>
      </c>
      <c r="F333" s="103">
        <v>414301.39200000005</v>
      </c>
      <c r="G333" s="103"/>
      <c r="H333" s="103" t="s">
        <v>10</v>
      </c>
    </row>
    <row r="334" spans="3:8" hidden="1">
      <c r="C334" s="108">
        <v>44573</v>
      </c>
      <c r="D334" s="82" t="str">
        <f t="shared" si="11"/>
        <v>Inventory Finished goods Product A</v>
      </c>
      <c r="F334" s="103">
        <v>1091284.656</v>
      </c>
      <c r="G334" s="103"/>
      <c r="H334" s="103" t="s">
        <v>2</v>
      </c>
    </row>
    <row r="335" spans="3:8" hidden="1">
      <c r="C335" s="108">
        <v>44588</v>
      </c>
      <c r="D335" s="82" t="str">
        <f t="shared" si="11"/>
        <v>Inventory Finished goods Product B</v>
      </c>
      <c r="F335" s="103">
        <v>564304.32000000007</v>
      </c>
      <c r="G335" s="103"/>
      <c r="H335" s="103" t="s">
        <v>10</v>
      </c>
    </row>
    <row r="336" spans="3:8" hidden="1">
      <c r="C336" s="108">
        <v>44572</v>
      </c>
      <c r="D336" s="82" t="str">
        <f t="shared" si="11"/>
        <v>Inventory Finished goods Product A</v>
      </c>
      <c r="F336" s="103">
        <v>1214153.4720000001</v>
      </c>
      <c r="G336" s="103"/>
      <c r="H336" s="103" t="s">
        <v>2</v>
      </c>
    </row>
    <row r="337" spans="3:8" hidden="1">
      <c r="C337" s="108">
        <v>44580</v>
      </c>
      <c r="D337" s="82" t="str">
        <f t="shared" si="11"/>
        <v>Inventory Finished goods Product A</v>
      </c>
      <c r="F337" s="103">
        <v>919995.04800000007</v>
      </c>
      <c r="G337" s="103"/>
      <c r="H337" s="103" t="s">
        <v>2</v>
      </c>
    </row>
    <row r="338" spans="3:8" hidden="1">
      <c r="C338" s="108">
        <v>44609</v>
      </c>
      <c r="D338" s="82" t="str">
        <f t="shared" si="11"/>
        <v>Inventory Finished goods Product C</v>
      </c>
      <c r="F338" s="103">
        <v>2158609.2720000003</v>
      </c>
      <c r="G338" s="103"/>
      <c r="H338" s="103" t="s">
        <v>14</v>
      </c>
    </row>
    <row r="339" spans="3:8" hidden="1">
      <c r="C339" s="108">
        <v>44613</v>
      </c>
      <c r="D339" s="82" t="str">
        <f t="shared" si="11"/>
        <v>Inventory Finished goods Product A</v>
      </c>
      <c r="F339" s="103">
        <v>693000.87</v>
      </c>
      <c r="H339" s="103" t="s">
        <v>2</v>
      </c>
    </row>
    <row r="340" spans="3:8" hidden="1">
      <c r="C340" s="108">
        <v>44606</v>
      </c>
      <c r="D340" s="82" t="str">
        <f t="shared" si="11"/>
        <v>Inventory Finished goods Product C</v>
      </c>
      <c r="F340" s="103">
        <v>258045.85600000003</v>
      </c>
      <c r="H340" s="103" t="s">
        <v>14</v>
      </c>
    </row>
    <row r="341" spans="3:8" hidden="1">
      <c r="C341" s="108">
        <v>44610</v>
      </c>
      <c r="D341" s="82" t="str">
        <f t="shared" si="11"/>
        <v>Inventory Finished goods Product B</v>
      </c>
      <c r="F341" s="103">
        <v>1168469.3160000001</v>
      </c>
      <c r="H341" s="103" t="s">
        <v>10</v>
      </c>
    </row>
    <row r="342" spans="3:8" hidden="1">
      <c r="C342" s="108">
        <v>44618</v>
      </c>
      <c r="D342" s="82" t="str">
        <f t="shared" si="11"/>
        <v>Inventory Finished goods Product A</v>
      </c>
      <c r="F342" s="103">
        <v>1103898.3660000002</v>
      </c>
      <c r="H342" s="103" t="s">
        <v>2</v>
      </c>
    </row>
    <row r="343" spans="3:8" hidden="1">
      <c r="C343" s="108">
        <v>44607</v>
      </c>
      <c r="D343" s="82" t="str">
        <f t="shared" si="11"/>
        <v>Inventory Finished goods Product B</v>
      </c>
      <c r="F343" s="103">
        <v>437061.36600000004</v>
      </c>
      <c r="H343" s="103" t="s">
        <v>10</v>
      </c>
    </row>
    <row r="344" spans="3:8" hidden="1">
      <c r="C344" s="108">
        <v>44610</v>
      </c>
      <c r="D344" s="82" t="str">
        <f t="shared" si="11"/>
        <v>Inventory Finished goods Product A</v>
      </c>
      <c r="F344" s="103">
        <v>699427.22999999986</v>
      </c>
      <c r="H344" s="103" t="s">
        <v>2</v>
      </c>
    </row>
    <row r="345" spans="3:8" hidden="1">
      <c r="C345" s="108">
        <v>44604</v>
      </c>
      <c r="D345" s="82" t="str">
        <f t="shared" si="11"/>
        <v>Inventory Finished goods Product B</v>
      </c>
      <c r="F345" s="103">
        <v>397784.016</v>
      </c>
      <c r="H345" s="103" t="s">
        <v>10</v>
      </c>
    </row>
    <row r="346" spans="3:8" hidden="1">
      <c r="C346" s="108">
        <v>44613</v>
      </c>
      <c r="D346" s="82" t="str">
        <f t="shared" si="11"/>
        <v>Inventory Finished goods Product A</v>
      </c>
      <c r="F346" s="103">
        <v>1012264.2059999998</v>
      </c>
      <c r="H346" s="103" t="s">
        <v>2</v>
      </c>
    </row>
    <row r="347" spans="3:8" hidden="1">
      <c r="C347" s="108">
        <v>44611</v>
      </c>
      <c r="D347" s="82" t="str">
        <f t="shared" si="11"/>
        <v>Inventory Finished goods Product A</v>
      </c>
      <c r="F347" s="103">
        <v>1095057.5799999998</v>
      </c>
      <c r="H347" s="103" t="s">
        <v>2</v>
      </c>
    </row>
    <row r="348" spans="3:8" hidden="1">
      <c r="C348" s="108">
        <v>44637</v>
      </c>
      <c r="D348" s="82" t="str">
        <f t="shared" si="11"/>
        <v>Inventory Finished goods Product C</v>
      </c>
      <c r="F348" s="103">
        <v>3080214.0240000002</v>
      </c>
      <c r="H348" s="103" t="s">
        <v>14</v>
      </c>
    </row>
    <row r="349" spans="3:8" hidden="1">
      <c r="C349" s="108">
        <v>44648</v>
      </c>
      <c r="D349" s="82" t="str">
        <f t="shared" si="11"/>
        <v>Inventory Finished goods Product A</v>
      </c>
      <c r="F349" s="103">
        <v>626216.49200000009</v>
      </c>
      <c r="H349" s="103" t="s">
        <v>2</v>
      </c>
    </row>
    <row r="350" spans="3:8" hidden="1">
      <c r="C350" s="108">
        <v>44636</v>
      </c>
      <c r="D350" s="82" t="str">
        <f t="shared" si="11"/>
        <v>Inventory Finished goods Product C</v>
      </c>
      <c r="F350" s="103">
        <v>826197.97200000007</v>
      </c>
      <c r="H350" s="103" t="s">
        <v>14</v>
      </c>
    </row>
    <row r="351" spans="3:8" hidden="1">
      <c r="C351" s="108">
        <v>44639</v>
      </c>
      <c r="D351" s="82" t="str">
        <f t="shared" si="11"/>
        <v>Inventory Finished goods Product B</v>
      </c>
      <c r="F351" s="103">
        <v>742690.20600000012</v>
      </c>
      <c r="H351" s="103" t="s">
        <v>10</v>
      </c>
    </row>
    <row r="352" spans="3:8" hidden="1">
      <c r="C352" s="108">
        <v>44638</v>
      </c>
      <c r="D352" s="82" t="str">
        <f t="shared" si="11"/>
        <v>Inventory Finished goods Product A</v>
      </c>
      <c r="F352" s="103">
        <v>295462.72200000001</v>
      </c>
      <c r="H352" s="103" t="s">
        <v>2</v>
      </c>
    </row>
    <row r="353" spans="3:18" hidden="1">
      <c r="C353" s="108">
        <v>44635</v>
      </c>
      <c r="D353" s="82" t="str">
        <f t="shared" si="11"/>
        <v>Inventory Finished goods Product B</v>
      </c>
      <c r="F353" s="103">
        <v>451142.36400000006</v>
      </c>
      <c r="H353" s="103" t="s">
        <v>10</v>
      </c>
    </row>
    <row r="354" spans="3:18" hidden="1">
      <c r="C354" s="108">
        <v>44637</v>
      </c>
      <c r="D354" s="82" t="str">
        <f t="shared" si="11"/>
        <v>Inventory Finished goods Product A</v>
      </c>
      <c r="F354" s="103">
        <v>372865.75066666602</v>
      </c>
      <c r="H354" s="103" t="s">
        <v>2</v>
      </c>
    </row>
    <row r="355" spans="3:18" hidden="1">
      <c r="C355" s="108">
        <v>44644</v>
      </c>
      <c r="D355" s="82" t="str">
        <f t="shared" si="11"/>
        <v>Inventory Finished goods Product B</v>
      </c>
      <c r="F355" s="103">
        <v>1163431.5600000003</v>
      </c>
      <c r="H355" s="103" t="s">
        <v>10</v>
      </c>
    </row>
    <row r="356" spans="3:18" hidden="1">
      <c r="C356" s="108">
        <v>44634</v>
      </c>
      <c r="D356" s="82" t="str">
        <f t="shared" si="11"/>
        <v>Inventory Finished goods Product A</v>
      </c>
      <c r="F356" s="103">
        <v>561297.59066666604</v>
      </c>
      <c r="H356" s="103" t="s">
        <v>2</v>
      </c>
    </row>
    <row r="357" spans="3:18" hidden="1">
      <c r="C357" s="108">
        <v>44637</v>
      </c>
      <c r="D357" s="82" t="str">
        <f t="shared" si="11"/>
        <v>Inventory Finished goods Product A</v>
      </c>
      <c r="F357" s="103">
        <v>289029.55066666601</v>
      </c>
      <c r="H357" s="103" t="s">
        <v>2</v>
      </c>
    </row>
    <row r="358" spans="3:18" hidden="1">
      <c r="C358" s="108">
        <v>44679</v>
      </c>
      <c r="D358" s="82" t="str">
        <f t="shared" si="11"/>
        <v>Inventory Finished goods Product C</v>
      </c>
      <c r="F358" s="103">
        <v>2652752.3760000002</v>
      </c>
      <c r="H358" s="103" t="s">
        <v>14</v>
      </c>
    </row>
    <row r="359" spans="3:18" hidden="1">
      <c r="C359" s="108">
        <v>44680</v>
      </c>
      <c r="D359" s="82" t="str">
        <f t="shared" si="11"/>
        <v>Inventory Finished goods Product A</v>
      </c>
      <c r="F359" s="103">
        <v>918233.26400000008</v>
      </c>
      <c r="H359" s="103" t="s">
        <v>2</v>
      </c>
    </row>
    <row r="360" spans="3:18" hidden="1">
      <c r="C360" s="108">
        <v>44667</v>
      </c>
      <c r="D360" s="82" t="str">
        <f t="shared" si="11"/>
        <v>Inventory Finished goods Product C</v>
      </c>
      <c r="F360" s="103">
        <v>1292684.6640000001</v>
      </c>
      <c r="H360" s="103" t="s">
        <v>14</v>
      </c>
    </row>
    <row r="361" spans="3:18" hidden="1">
      <c r="C361" s="108">
        <v>44668</v>
      </c>
      <c r="D361" s="82" t="str">
        <f t="shared" si="11"/>
        <v>Inventory Finished goods Product B</v>
      </c>
      <c r="F361" s="103">
        <v>729958.17599999998</v>
      </c>
      <c r="H361" s="103" t="s">
        <v>10</v>
      </c>
    </row>
    <row r="362" spans="3:18" hidden="1">
      <c r="C362" s="108">
        <v>44674</v>
      </c>
      <c r="D362" s="82" t="str">
        <f t="shared" si="11"/>
        <v>Inventory Finished goods Product A</v>
      </c>
      <c r="F362" s="103">
        <v>1007699.1920000002</v>
      </c>
      <c r="H362" s="103" t="s">
        <v>2</v>
      </c>
    </row>
    <row r="363" spans="3:18" hidden="1">
      <c r="C363" s="108">
        <v>44669</v>
      </c>
      <c r="D363" s="82" t="str">
        <f t="shared" si="11"/>
        <v>Inventory Finished goods Product B</v>
      </c>
      <c r="F363" s="103">
        <v>407096.68800000002</v>
      </c>
      <c r="H363" s="103" t="s">
        <v>10</v>
      </c>
    </row>
    <row r="364" spans="3:18" hidden="1">
      <c r="C364" s="108">
        <v>44670</v>
      </c>
      <c r="D364" s="82" t="str">
        <f t="shared" si="11"/>
        <v>Inventory Finished goods Product A</v>
      </c>
      <c r="F364" s="103">
        <v>345962.48466666648</v>
      </c>
      <c r="H364" s="103" t="s">
        <v>2</v>
      </c>
    </row>
    <row r="365" spans="3:18" hidden="1">
      <c r="C365" s="108">
        <v>44673</v>
      </c>
      <c r="D365" s="82" t="str">
        <f t="shared" si="11"/>
        <v>Inventory Finished goods Product B</v>
      </c>
      <c r="F365" s="103">
        <v>449174.17600000004</v>
      </c>
      <c r="H365" s="103" t="s">
        <v>10</v>
      </c>
    </row>
    <row r="366" spans="3:18" hidden="1">
      <c r="C366" s="108">
        <v>44667</v>
      </c>
      <c r="D366" s="82" t="str">
        <f t="shared" si="11"/>
        <v>Inventory Finished goods Product A</v>
      </c>
      <c r="F366" s="103">
        <v>932609.05266666657</v>
      </c>
      <c r="H366" s="103" t="s">
        <v>2</v>
      </c>
    </row>
    <row r="367" spans="3:18" hidden="1">
      <c r="C367" s="108">
        <v>44680</v>
      </c>
      <c r="D367" s="82" t="str">
        <f t="shared" si="11"/>
        <v>Inventory Finished goods Product A</v>
      </c>
      <c r="F367" s="103">
        <v>846422.21266666648</v>
      </c>
      <c r="H367" s="103" t="s">
        <v>2</v>
      </c>
    </row>
    <row r="368" spans="3:18" hidden="1">
      <c r="C368" s="108">
        <v>44690</v>
      </c>
      <c r="D368" s="82" t="str">
        <f t="shared" si="11"/>
        <v>Inventory Finished goods Product C</v>
      </c>
      <c r="F368" s="103">
        <v>3472739.7840000005</v>
      </c>
      <c r="H368" s="103" t="s">
        <v>14</v>
      </c>
      <c r="I368" s="40"/>
      <c r="J368" s="40"/>
      <c r="K368" s="40"/>
      <c r="L368" s="40"/>
      <c r="M368" s="40"/>
      <c r="N368" s="40"/>
      <c r="O368" s="40"/>
      <c r="P368" s="40"/>
      <c r="Q368" s="40"/>
      <c r="R368" s="40"/>
    </row>
    <row r="369" spans="3:8" hidden="1">
      <c r="C369" s="108">
        <v>44693</v>
      </c>
      <c r="D369" s="82" t="str">
        <f t="shared" si="11"/>
        <v>Inventory Finished goods Product A</v>
      </c>
      <c r="F369" s="103">
        <v>594838.83600000001</v>
      </c>
      <c r="H369" s="103" t="s">
        <v>2</v>
      </c>
    </row>
    <row r="370" spans="3:8" hidden="1">
      <c r="C370" s="108">
        <v>44699</v>
      </c>
      <c r="D370" s="82" t="str">
        <f t="shared" si="11"/>
        <v>Inventory Finished goods Product C</v>
      </c>
      <c r="F370" s="103">
        <v>184109.49600000001</v>
      </c>
      <c r="H370" s="103" t="s">
        <v>14</v>
      </c>
    </row>
    <row r="371" spans="3:8" hidden="1">
      <c r="C371" s="108">
        <v>44692</v>
      </c>
      <c r="D371" s="82" t="str">
        <f t="shared" si="11"/>
        <v>Inventory Finished goods Product B</v>
      </c>
      <c r="F371" s="103">
        <v>527983.18200000003</v>
      </c>
      <c r="H371" s="103" t="s">
        <v>10</v>
      </c>
    </row>
    <row r="372" spans="3:8" hidden="1">
      <c r="C372" s="108">
        <v>44691</v>
      </c>
      <c r="D372" s="82" t="str">
        <f t="shared" si="11"/>
        <v>Inventory Finished goods Product A</v>
      </c>
      <c r="F372" s="103">
        <v>506414.53</v>
      </c>
      <c r="H372" s="103" t="s">
        <v>2</v>
      </c>
    </row>
    <row r="373" spans="3:8" hidden="1">
      <c r="C373" s="108">
        <v>44699</v>
      </c>
      <c r="D373" s="82" t="str">
        <f t="shared" si="11"/>
        <v>Inventory Finished goods Product B</v>
      </c>
      <c r="F373" s="103">
        <v>451763.44200000004</v>
      </c>
      <c r="H373" s="103" t="s">
        <v>10</v>
      </c>
    </row>
    <row r="374" spans="3:8" hidden="1">
      <c r="C374" s="108">
        <v>44706</v>
      </c>
      <c r="D374" s="82" t="str">
        <f t="shared" si="11"/>
        <v>Inventory Finished goods Product A</v>
      </c>
      <c r="F374" s="103">
        <v>817727.86066666641</v>
      </c>
      <c r="H374" s="103" t="s">
        <v>2</v>
      </c>
    </row>
    <row r="375" spans="3:8" hidden="1">
      <c r="C375" s="108">
        <v>44691</v>
      </c>
      <c r="D375" s="82" t="str">
        <f t="shared" si="11"/>
        <v>Inventory Finished goods Product B</v>
      </c>
      <c r="F375" s="103">
        <v>1016220.1380000002</v>
      </c>
      <c r="H375" s="103" t="s">
        <v>10</v>
      </c>
    </row>
    <row r="376" spans="3:8" hidden="1">
      <c r="C376" s="108">
        <v>44706</v>
      </c>
      <c r="D376" s="82" t="str">
        <f t="shared" si="11"/>
        <v>Inventory Finished goods Product A</v>
      </c>
      <c r="F376" s="103">
        <v>1065127.3246666663</v>
      </c>
      <c r="H376" s="103" t="s">
        <v>2</v>
      </c>
    </row>
    <row r="377" spans="3:8" hidden="1">
      <c r="C377" s="108">
        <v>44706</v>
      </c>
      <c r="D377" s="82" t="str">
        <f t="shared" si="11"/>
        <v>Inventory Finished goods Product A</v>
      </c>
      <c r="F377" s="103">
        <v>844988.09266666637</v>
      </c>
      <c r="H377" s="103" t="s">
        <v>2</v>
      </c>
    </row>
    <row r="378" spans="3:8" hidden="1">
      <c r="C378" s="108">
        <v>44728</v>
      </c>
      <c r="D378" s="82" t="str">
        <f t="shared" si="11"/>
        <v>Inventory Finished goods Product C</v>
      </c>
      <c r="F378" s="103">
        <v>2175367.3680000002</v>
      </c>
      <c r="H378" s="103" t="s">
        <v>14</v>
      </c>
    </row>
    <row r="379" spans="3:8" hidden="1">
      <c r="C379" s="108">
        <v>44737</v>
      </c>
      <c r="D379" s="82" t="str">
        <f t="shared" si="11"/>
        <v>Inventory Finished goods Product A</v>
      </c>
      <c r="F379" s="103">
        <v>339151.61600000004</v>
      </c>
      <c r="H379" s="103" t="s">
        <v>2</v>
      </c>
    </row>
    <row r="380" spans="3:8" hidden="1">
      <c r="C380" s="108">
        <v>44741</v>
      </c>
      <c r="D380" s="82" t="str">
        <f t="shared" si="11"/>
        <v>Inventory Finished goods Product C</v>
      </c>
      <c r="F380" s="103">
        <v>927360.24800000002</v>
      </c>
      <c r="H380" s="103" t="s">
        <v>14</v>
      </c>
    </row>
    <row r="381" spans="3:8" hidden="1">
      <c r="C381" s="108">
        <v>44734</v>
      </c>
      <c r="D381" s="82" t="str">
        <f t="shared" si="11"/>
        <v>Inventory Finished goods Product B</v>
      </c>
      <c r="F381" s="103">
        <v>631143.38400000008</v>
      </c>
      <c r="H381" s="103" t="s">
        <v>10</v>
      </c>
    </row>
    <row r="382" spans="3:8" hidden="1">
      <c r="C382" s="108">
        <v>44728</v>
      </c>
      <c r="D382" s="82" t="str">
        <f t="shared" si="11"/>
        <v>Inventory Finished goods Product A</v>
      </c>
      <c r="F382" s="103">
        <v>592884.73600000003</v>
      </c>
      <c r="H382" s="103" t="s">
        <v>2</v>
      </c>
    </row>
    <row r="383" spans="3:8" hidden="1">
      <c r="C383" s="108">
        <v>44725</v>
      </c>
      <c r="D383" s="82" t="str">
        <f t="shared" si="11"/>
        <v>Inventory Finished goods Product B</v>
      </c>
      <c r="F383" s="103">
        <v>385696.70400000009</v>
      </c>
      <c r="H383" s="103" t="s">
        <v>10</v>
      </c>
    </row>
    <row r="384" spans="3:8" hidden="1">
      <c r="C384" s="108">
        <v>44730</v>
      </c>
      <c r="D384" s="82" t="str">
        <f t="shared" si="11"/>
        <v>Inventory Finished goods Product A</v>
      </c>
      <c r="F384" s="103">
        <v>776408.67799999996</v>
      </c>
      <c r="H384" s="103" t="s">
        <v>2</v>
      </c>
    </row>
    <row r="385" spans="3:8" hidden="1">
      <c r="C385" s="108">
        <v>44734</v>
      </c>
      <c r="D385" s="82" t="str">
        <f t="shared" si="11"/>
        <v>Inventory Finished goods Product B</v>
      </c>
      <c r="F385" s="103">
        <v>606141.81600000011</v>
      </c>
      <c r="H385" s="103" t="s">
        <v>10</v>
      </c>
    </row>
    <row r="386" spans="3:8" hidden="1">
      <c r="C386" s="108">
        <v>44726</v>
      </c>
      <c r="D386" s="82" t="str">
        <f t="shared" si="11"/>
        <v>Inventory Finished goods Product A</v>
      </c>
      <c r="F386" s="103">
        <v>997180.00599999994</v>
      </c>
      <c r="H386" s="103" t="s">
        <v>2</v>
      </c>
    </row>
    <row r="387" spans="3:8" hidden="1">
      <c r="C387" s="108">
        <v>44729</v>
      </c>
      <c r="D387" s="82" t="str">
        <f t="shared" si="11"/>
        <v>Inventory Finished goods Product A</v>
      </c>
      <c r="F387" s="103">
        <v>443840.86999999988</v>
      </c>
      <c r="H387" s="103" t="s">
        <v>2</v>
      </c>
    </row>
    <row r="388" spans="3:8" hidden="1">
      <c r="C388" s="108">
        <v>44768</v>
      </c>
      <c r="D388" s="82" t="str">
        <f t="shared" si="11"/>
        <v>Inventory Finished goods Product C</v>
      </c>
      <c r="F388" s="103">
        <v>2609434.5480000004</v>
      </c>
      <c r="H388" s="103" t="s">
        <v>14</v>
      </c>
    </row>
    <row r="389" spans="3:8" hidden="1">
      <c r="C389" s="108">
        <v>44772</v>
      </c>
      <c r="D389" s="82" t="str">
        <f t="shared" si="11"/>
        <v>Inventory Finished goods Product A</v>
      </c>
      <c r="F389" s="103">
        <v>871011.75200000009</v>
      </c>
      <c r="H389" s="103" t="s">
        <v>2</v>
      </c>
    </row>
    <row r="390" spans="3:8" hidden="1">
      <c r="C390" s="108">
        <v>44764</v>
      </c>
      <c r="D390" s="82" t="str">
        <f t="shared" si="11"/>
        <v>Inventory Finished goods Product C</v>
      </c>
      <c r="F390" s="103">
        <v>1169056.0980000002</v>
      </c>
      <c r="H390" s="103" t="s">
        <v>14</v>
      </c>
    </row>
    <row r="391" spans="3:8" hidden="1">
      <c r="C391" s="108">
        <v>44768</v>
      </c>
      <c r="D391" s="82" t="str">
        <f t="shared" si="11"/>
        <v>Inventory Finished goods Product B</v>
      </c>
      <c r="F391" s="103">
        <v>1153649.2240000002</v>
      </c>
      <c r="H391" s="103" t="s">
        <v>10</v>
      </c>
    </row>
    <row r="392" spans="3:8" hidden="1">
      <c r="C392" s="108">
        <v>44764</v>
      </c>
      <c r="D392" s="82" t="str">
        <f t="shared" si="11"/>
        <v>Inventory Finished goods Product A</v>
      </c>
      <c r="F392" s="103">
        <v>657977.64800000004</v>
      </c>
      <c r="H392" s="103" t="s">
        <v>2</v>
      </c>
    </row>
    <row r="393" spans="3:8" hidden="1">
      <c r="C393" s="108">
        <v>44772</v>
      </c>
      <c r="D393" s="82" t="str">
        <f t="shared" ref="D393:D447" si="12">CONCATENATE("Inventory Finished goods ",H393)</f>
        <v>Inventory Finished goods Product B</v>
      </c>
      <c r="F393" s="103">
        <v>439512.08000000007</v>
      </c>
      <c r="H393" s="103" t="s">
        <v>10</v>
      </c>
    </row>
    <row r="394" spans="3:8" hidden="1">
      <c r="C394" s="108">
        <v>44771</v>
      </c>
      <c r="D394" s="82" t="str">
        <f t="shared" si="12"/>
        <v>Inventory Finished goods Product A</v>
      </c>
      <c r="F394" s="103">
        <v>1167437.362666666</v>
      </c>
      <c r="H394" s="103" t="s">
        <v>2</v>
      </c>
    </row>
    <row r="395" spans="3:8" hidden="1">
      <c r="C395" s="108">
        <v>44758</v>
      </c>
      <c r="D395" s="82" t="str">
        <f t="shared" si="12"/>
        <v>Inventory Finished goods Product B</v>
      </c>
      <c r="F395" s="103">
        <v>434913.00000000006</v>
      </c>
      <c r="H395" s="103" t="s">
        <v>10</v>
      </c>
    </row>
    <row r="396" spans="3:8" hidden="1">
      <c r="C396" s="108">
        <v>44758</v>
      </c>
      <c r="D396" s="82" t="str">
        <f t="shared" si="12"/>
        <v>Inventory Finished goods Product A</v>
      </c>
      <c r="F396" s="103">
        <v>748692.61066666595</v>
      </c>
      <c r="H396" s="103" t="s">
        <v>2</v>
      </c>
    </row>
    <row r="397" spans="3:8" hidden="1">
      <c r="C397" s="108">
        <v>44760</v>
      </c>
      <c r="D397" s="82" t="str">
        <f t="shared" si="12"/>
        <v>Inventory Finished goods Product A</v>
      </c>
      <c r="F397" s="103">
        <v>395248.6746666659</v>
      </c>
      <c r="H397" s="103" t="s">
        <v>2</v>
      </c>
    </row>
    <row r="398" spans="3:8" hidden="1">
      <c r="C398" s="108">
        <v>44782</v>
      </c>
      <c r="D398" s="82" t="str">
        <f t="shared" si="12"/>
        <v>Inventory Finished goods Product C</v>
      </c>
      <c r="F398" s="103">
        <v>1627946.5740000003</v>
      </c>
      <c r="H398" s="103" t="s">
        <v>14</v>
      </c>
    </row>
    <row r="399" spans="3:8" hidden="1">
      <c r="C399" s="108">
        <v>44798</v>
      </c>
      <c r="D399" s="82" t="str">
        <f t="shared" si="12"/>
        <v>Inventory Finished goods Product A</v>
      </c>
      <c r="F399" s="103">
        <v>1160638.2760000001</v>
      </c>
      <c r="H399" s="103" t="s">
        <v>2</v>
      </c>
    </row>
    <row r="400" spans="3:8" hidden="1">
      <c r="C400" s="108">
        <v>44787</v>
      </c>
      <c r="D400" s="82" t="str">
        <f t="shared" si="12"/>
        <v>Inventory Finished goods Product C</v>
      </c>
      <c r="F400" s="103">
        <v>303428.73400000005</v>
      </c>
      <c r="H400" s="103" t="s">
        <v>14</v>
      </c>
    </row>
    <row r="401" spans="3:8" hidden="1">
      <c r="C401" s="108">
        <v>44788</v>
      </c>
      <c r="D401" s="82" t="str">
        <f t="shared" si="12"/>
        <v>Inventory Finished goods Product B</v>
      </c>
      <c r="F401" s="103">
        <v>1167354.1800000002</v>
      </c>
      <c r="H401" s="103" t="s">
        <v>10</v>
      </c>
    </row>
    <row r="402" spans="3:8" hidden="1">
      <c r="C402" s="108">
        <v>44788</v>
      </c>
      <c r="D402" s="82" t="str">
        <f t="shared" si="12"/>
        <v>Inventory Finished goods Product A</v>
      </c>
      <c r="F402" s="103">
        <v>676292.30800000008</v>
      </c>
      <c r="H402" s="103" t="s">
        <v>2</v>
      </c>
    </row>
    <row r="403" spans="3:8" hidden="1">
      <c r="C403" s="108">
        <v>44787</v>
      </c>
      <c r="D403" s="82" t="str">
        <f t="shared" si="12"/>
        <v>Inventory Finished goods Product B</v>
      </c>
      <c r="F403" s="103">
        <v>464131.94400000008</v>
      </c>
      <c r="H403" s="103" t="s">
        <v>10</v>
      </c>
    </row>
    <row r="404" spans="3:8" hidden="1">
      <c r="C404" s="108">
        <v>44800</v>
      </c>
      <c r="D404" s="82" t="str">
        <f t="shared" si="12"/>
        <v>Inventory Finished goods Product A</v>
      </c>
      <c r="F404" s="103">
        <v>820385.08266666613</v>
      </c>
      <c r="H404" s="103" t="s">
        <v>2</v>
      </c>
    </row>
    <row r="405" spans="3:8" hidden="1">
      <c r="C405" s="108">
        <v>44787</v>
      </c>
      <c r="D405" s="82" t="str">
        <f t="shared" si="12"/>
        <v>Inventory Finished goods Product B</v>
      </c>
      <c r="F405" s="103">
        <v>1164544.4520000003</v>
      </c>
      <c r="H405" s="103" t="s">
        <v>10</v>
      </c>
    </row>
    <row r="406" spans="3:8" hidden="1">
      <c r="C406" s="108">
        <v>44784</v>
      </c>
      <c r="D406" s="82" t="str">
        <f t="shared" si="12"/>
        <v>Inventory Finished goods Product A</v>
      </c>
      <c r="F406" s="103">
        <v>1075011.9726666661</v>
      </c>
      <c r="H406" s="103" t="s">
        <v>2</v>
      </c>
    </row>
    <row r="407" spans="3:8" hidden="1">
      <c r="C407" s="108">
        <v>44790</v>
      </c>
      <c r="D407" s="82" t="str">
        <f t="shared" si="12"/>
        <v>Inventory Finished goods Product A</v>
      </c>
      <c r="F407" s="103">
        <v>480389.33866666612</v>
      </c>
      <c r="H407" s="103" t="s">
        <v>2</v>
      </c>
    </row>
    <row r="408" spans="3:8" hidden="1">
      <c r="C408" s="108">
        <v>44833</v>
      </c>
      <c r="D408" s="82" t="str">
        <f t="shared" si="12"/>
        <v>Inventory Finished goods Product C</v>
      </c>
      <c r="F408" s="103">
        <v>1943756.4420000003</v>
      </c>
      <c r="H408" s="103" t="s">
        <v>14</v>
      </c>
    </row>
    <row r="409" spans="3:8" hidden="1">
      <c r="C409" s="108">
        <v>44830</v>
      </c>
      <c r="D409" s="82" t="str">
        <f t="shared" si="12"/>
        <v>Inventory Finished goods Product A</v>
      </c>
      <c r="F409" s="103">
        <v>962314.08000000007</v>
      </c>
      <c r="H409" s="103" t="s">
        <v>2</v>
      </c>
    </row>
    <row r="410" spans="3:8" hidden="1">
      <c r="C410" s="108">
        <v>44827</v>
      </c>
      <c r="D410" s="82" t="str">
        <f t="shared" si="12"/>
        <v>Inventory Finished goods Product C</v>
      </c>
      <c r="F410" s="103">
        <v>362284.50600000005</v>
      </c>
      <c r="H410" s="103" t="s">
        <v>14</v>
      </c>
    </row>
    <row r="411" spans="3:8" hidden="1">
      <c r="C411" s="108">
        <v>44826</v>
      </c>
      <c r="D411" s="82" t="str">
        <f t="shared" si="12"/>
        <v>Inventory Finished goods Product B</v>
      </c>
      <c r="F411" s="103">
        <v>962348.4040000001</v>
      </c>
      <c r="H411" s="103" t="s">
        <v>10</v>
      </c>
    </row>
    <row r="412" spans="3:8" hidden="1">
      <c r="C412" s="108">
        <v>44820</v>
      </c>
      <c r="D412" s="82" t="str">
        <f t="shared" si="12"/>
        <v>Inventory Finished goods Product A</v>
      </c>
      <c r="F412" s="103">
        <v>1226818.2660000001</v>
      </c>
      <c r="H412" s="103" t="s">
        <v>2</v>
      </c>
    </row>
    <row r="413" spans="3:8" hidden="1">
      <c r="C413" s="108">
        <v>44832</v>
      </c>
      <c r="D413" s="82" t="str">
        <f t="shared" si="12"/>
        <v>Inventory Finished goods Product B</v>
      </c>
      <c r="F413" s="103">
        <v>412372.39</v>
      </c>
      <c r="H413" s="103" t="s">
        <v>10</v>
      </c>
    </row>
    <row r="414" spans="3:8" hidden="1">
      <c r="C414" s="108">
        <v>44831</v>
      </c>
      <c r="D414" s="82" t="str">
        <f t="shared" si="12"/>
        <v>Inventory Finished goods Product A</v>
      </c>
      <c r="F414" s="103">
        <v>247688.78599999967</v>
      </c>
      <c r="H414" s="103" t="s">
        <v>2</v>
      </c>
    </row>
    <row r="415" spans="3:8" hidden="1">
      <c r="C415" s="108">
        <v>44831</v>
      </c>
      <c r="D415" s="82" t="str">
        <f t="shared" si="12"/>
        <v>Inventory Finished goods Product B</v>
      </c>
      <c r="F415" s="103">
        <v>748727.946</v>
      </c>
      <c r="H415" s="103" t="s">
        <v>10</v>
      </c>
    </row>
    <row r="416" spans="3:8" hidden="1">
      <c r="C416" s="108">
        <v>44834</v>
      </c>
      <c r="D416" s="82" t="str">
        <f t="shared" si="12"/>
        <v>Inventory Finished goods Product A</v>
      </c>
      <c r="F416" s="103">
        <v>931046.34399999981</v>
      </c>
      <c r="H416" s="103" t="s">
        <v>2</v>
      </c>
    </row>
    <row r="417" spans="3:8" hidden="1">
      <c r="C417" s="108">
        <v>44825</v>
      </c>
      <c r="D417" s="82" t="str">
        <f t="shared" si="12"/>
        <v>Inventory Finished goods Product A</v>
      </c>
      <c r="F417" s="103">
        <v>400319.55399999971</v>
      </c>
      <c r="H417" s="103" t="s">
        <v>2</v>
      </c>
    </row>
    <row r="418" spans="3:8" hidden="1">
      <c r="C418" s="108">
        <v>44847</v>
      </c>
      <c r="D418" s="82" t="str">
        <f t="shared" si="12"/>
        <v>Inventory Finished goods Product C</v>
      </c>
      <c r="F418" s="103">
        <v>2066553.7620000003</v>
      </c>
      <c r="H418" s="103" t="s">
        <v>14</v>
      </c>
    </row>
    <row r="419" spans="3:8" hidden="1">
      <c r="C419" s="108">
        <v>44852</v>
      </c>
      <c r="D419" s="82" t="str">
        <f t="shared" si="12"/>
        <v>Inventory Finished goods Product A</v>
      </c>
      <c r="F419" s="103">
        <v>341749.31400000001</v>
      </c>
      <c r="H419" s="103" t="s">
        <v>2</v>
      </c>
    </row>
    <row r="420" spans="3:8" hidden="1">
      <c r="C420" s="108">
        <v>44861</v>
      </c>
      <c r="D420" s="82" t="str">
        <f t="shared" si="12"/>
        <v>Inventory Finished goods Product C</v>
      </c>
      <c r="F420" s="103">
        <v>120585.02400000002</v>
      </c>
      <c r="H420" s="103" t="s">
        <v>14</v>
      </c>
    </row>
    <row r="421" spans="3:8" hidden="1">
      <c r="C421" s="108">
        <v>44851</v>
      </c>
      <c r="D421" s="82" t="str">
        <f t="shared" si="12"/>
        <v>Inventory Finished goods Product B</v>
      </c>
      <c r="F421" s="103">
        <v>559045.33799999999</v>
      </c>
      <c r="H421" s="103" t="s">
        <v>10</v>
      </c>
    </row>
    <row r="422" spans="3:8" hidden="1">
      <c r="C422" s="108">
        <v>44855</v>
      </c>
      <c r="D422" s="82" t="str">
        <f t="shared" si="12"/>
        <v>Inventory Finished goods Product A</v>
      </c>
      <c r="F422" s="103">
        <v>874464.92999999993</v>
      </c>
      <c r="H422" s="103" t="s">
        <v>2</v>
      </c>
    </row>
    <row r="423" spans="3:8" hidden="1">
      <c r="C423" s="108">
        <v>44850</v>
      </c>
      <c r="D423" s="82" t="str">
        <f t="shared" si="12"/>
        <v>Inventory Finished goods Product B</v>
      </c>
      <c r="F423" s="103">
        <v>447806.51400000002</v>
      </c>
      <c r="H423" s="103" t="s">
        <v>10</v>
      </c>
    </row>
    <row r="424" spans="3:8" hidden="1">
      <c r="C424" s="108">
        <v>44857</v>
      </c>
      <c r="D424" s="82" t="str">
        <f t="shared" si="12"/>
        <v>Inventory Finished goods Product A</v>
      </c>
      <c r="F424" s="103">
        <v>851886.81066666672</v>
      </c>
      <c r="H424" s="103" t="s">
        <v>2</v>
      </c>
    </row>
    <row r="425" spans="3:8" hidden="1">
      <c r="C425" s="108">
        <v>44858</v>
      </c>
      <c r="D425" s="82" t="str">
        <f t="shared" si="12"/>
        <v>Inventory Finished goods Product B</v>
      </c>
      <c r="F425" s="103">
        <v>974372.76</v>
      </c>
      <c r="H425" s="103" t="s">
        <v>10</v>
      </c>
    </row>
    <row r="426" spans="3:8" hidden="1">
      <c r="C426" s="108">
        <v>44854</v>
      </c>
      <c r="D426" s="82" t="str">
        <f t="shared" si="12"/>
        <v>Inventory Finished goods Product A</v>
      </c>
      <c r="F426" s="103">
        <v>897470.39466666663</v>
      </c>
      <c r="H426" s="103" t="s">
        <v>2</v>
      </c>
    </row>
    <row r="427" spans="3:8" hidden="1">
      <c r="C427" s="108">
        <v>44859</v>
      </c>
      <c r="D427" s="82" t="str">
        <f t="shared" si="12"/>
        <v>Inventory Finished goods Product A</v>
      </c>
      <c r="F427" s="103">
        <v>1223316.4806666668</v>
      </c>
      <c r="H427" s="103" t="s">
        <v>2</v>
      </c>
    </row>
    <row r="428" spans="3:8" hidden="1">
      <c r="C428" s="108">
        <v>44894</v>
      </c>
      <c r="D428" s="82" t="str">
        <f t="shared" si="12"/>
        <v>Inventory Finished goods Product C</v>
      </c>
      <c r="F428" s="103">
        <v>2410365.6540000006</v>
      </c>
      <c r="H428" s="103" t="s">
        <v>14</v>
      </c>
    </row>
    <row r="429" spans="3:8" hidden="1">
      <c r="C429" s="108">
        <v>44884</v>
      </c>
      <c r="D429" s="82" t="str">
        <f t="shared" si="12"/>
        <v>Inventory Finished goods Product A</v>
      </c>
      <c r="F429" s="103">
        <v>621150.64200000011</v>
      </c>
      <c r="H429" s="103" t="s">
        <v>2</v>
      </c>
    </row>
    <row r="430" spans="3:8" hidden="1">
      <c r="C430" s="108">
        <v>44883</v>
      </c>
      <c r="D430" s="82" t="str">
        <f t="shared" si="12"/>
        <v>Inventory Finished goods Product C</v>
      </c>
      <c r="F430" s="103">
        <v>769844.28600000008</v>
      </c>
      <c r="H430" s="103" t="s">
        <v>14</v>
      </c>
    </row>
    <row r="431" spans="3:8" hidden="1">
      <c r="C431" s="108">
        <v>44891</v>
      </c>
      <c r="D431" s="82" t="str">
        <f t="shared" si="12"/>
        <v>Inventory Finished goods Product B</v>
      </c>
      <c r="F431" s="103">
        <v>492322.68400000007</v>
      </c>
      <c r="H431" s="103" t="s">
        <v>10</v>
      </c>
    </row>
    <row r="432" spans="3:8" hidden="1">
      <c r="C432" s="108">
        <v>44893</v>
      </c>
      <c r="D432" s="82" t="str">
        <f t="shared" si="12"/>
        <v>Inventory Finished goods Product A</v>
      </c>
      <c r="F432" s="103">
        <v>872123.07000000007</v>
      </c>
      <c r="H432" s="103" t="s">
        <v>2</v>
      </c>
    </row>
    <row r="433" spans="3:8" hidden="1">
      <c r="C433" s="108">
        <v>44874</v>
      </c>
      <c r="D433" s="82" t="str">
        <f t="shared" si="12"/>
        <v>Inventory Finished goods Product B</v>
      </c>
      <c r="F433" s="103">
        <v>407584.84200000006</v>
      </c>
      <c r="H433" s="103" t="s">
        <v>10</v>
      </c>
    </row>
    <row r="434" spans="3:8" hidden="1">
      <c r="C434" s="108">
        <v>44880</v>
      </c>
      <c r="D434" s="82" t="str">
        <f t="shared" si="12"/>
        <v>Inventory Finished goods Product A</v>
      </c>
      <c r="F434" s="103">
        <v>741423.15333333332</v>
      </c>
      <c r="H434" s="103" t="s">
        <v>2</v>
      </c>
    </row>
    <row r="435" spans="3:8" hidden="1">
      <c r="C435" s="108">
        <v>44879</v>
      </c>
      <c r="D435" s="82" t="str">
        <f t="shared" si="12"/>
        <v>Inventory Finished goods Product B</v>
      </c>
      <c r="F435" s="103">
        <v>292233.50800000003</v>
      </c>
      <c r="H435" s="103" t="s">
        <v>10</v>
      </c>
    </row>
    <row r="436" spans="3:8" hidden="1">
      <c r="C436" s="108">
        <v>44879</v>
      </c>
      <c r="D436" s="82" t="str">
        <f t="shared" si="12"/>
        <v>Inventory Finished goods Product A</v>
      </c>
      <c r="F436" s="103">
        <v>1138150.4493333334</v>
      </c>
      <c r="H436" s="103" t="s">
        <v>2</v>
      </c>
    </row>
    <row r="437" spans="3:8" hidden="1">
      <c r="C437" s="108">
        <v>44882</v>
      </c>
      <c r="D437" s="82" t="str">
        <f t="shared" si="12"/>
        <v>Inventory Finished goods Product A</v>
      </c>
      <c r="F437" s="103">
        <v>778330.86333333328</v>
      </c>
      <c r="H437" s="103" t="s">
        <v>2</v>
      </c>
    </row>
    <row r="438" spans="3:8" hidden="1">
      <c r="C438" s="108">
        <v>44910</v>
      </c>
      <c r="D438" s="82" t="str">
        <f t="shared" si="12"/>
        <v>Inventory Finished goods Product C</v>
      </c>
      <c r="F438" s="103">
        <v>1990773.1560000002</v>
      </c>
      <c r="H438" s="103" t="s">
        <v>14</v>
      </c>
    </row>
    <row r="439" spans="3:8" hidden="1">
      <c r="C439" s="108">
        <v>44925</v>
      </c>
      <c r="D439" s="82" t="str">
        <f t="shared" si="12"/>
        <v>Inventory Finished goods Product A</v>
      </c>
      <c r="F439" s="103">
        <v>322188.84000000003</v>
      </c>
      <c r="H439" s="103" t="s">
        <v>2</v>
      </c>
    </row>
    <row r="440" spans="3:8" hidden="1">
      <c r="C440" s="108">
        <v>44919</v>
      </c>
      <c r="D440" s="82" t="str">
        <f t="shared" si="12"/>
        <v>Inventory Finished goods Product C</v>
      </c>
      <c r="F440" s="103">
        <v>247718.89200000002</v>
      </c>
      <c r="H440" s="103" t="s">
        <v>14</v>
      </c>
    </row>
    <row r="441" spans="3:8" hidden="1">
      <c r="C441" s="108">
        <v>44916</v>
      </c>
      <c r="D441" s="82" t="str">
        <f t="shared" si="12"/>
        <v>Inventory Finished goods Product B</v>
      </c>
      <c r="F441" s="103">
        <v>612818.25600000005</v>
      </c>
      <c r="H441" s="103" t="s">
        <v>10</v>
      </c>
    </row>
    <row r="442" spans="3:8" hidden="1">
      <c r="C442" s="108">
        <v>44910</v>
      </c>
      <c r="D442" s="82" t="str">
        <f t="shared" si="12"/>
        <v>Inventory Finished goods Product A</v>
      </c>
      <c r="F442" s="103">
        <v>447512.68800000002</v>
      </c>
      <c r="H442" s="103" t="s">
        <v>2</v>
      </c>
    </row>
    <row r="443" spans="3:8" hidden="1">
      <c r="C443" s="108">
        <v>44913</v>
      </c>
      <c r="D443" s="82" t="str">
        <f t="shared" si="12"/>
        <v>Inventory Finished goods Product B</v>
      </c>
      <c r="F443" s="103">
        <v>410076.78400000004</v>
      </c>
      <c r="H443" s="103" t="s">
        <v>10</v>
      </c>
    </row>
    <row r="444" spans="3:8" hidden="1">
      <c r="C444" s="108">
        <v>44913</v>
      </c>
      <c r="D444" s="82" t="str">
        <f t="shared" si="12"/>
        <v>Inventory Finished goods Product A</v>
      </c>
      <c r="F444" s="103">
        <v>896130.98266666662</v>
      </c>
      <c r="H444" s="103" t="s">
        <v>2</v>
      </c>
    </row>
    <row r="445" spans="3:8" hidden="1">
      <c r="C445" s="108">
        <v>44910</v>
      </c>
      <c r="D445" s="82" t="str">
        <f t="shared" si="12"/>
        <v>Inventory Finished goods Product B</v>
      </c>
      <c r="F445" s="103">
        <v>624073.16400000011</v>
      </c>
      <c r="H445" s="103" t="s">
        <v>10</v>
      </c>
    </row>
    <row r="446" spans="3:8" hidden="1">
      <c r="C446" s="108">
        <v>44925</v>
      </c>
      <c r="D446" s="82" t="str">
        <f t="shared" si="12"/>
        <v>Inventory Finished goods Product A</v>
      </c>
      <c r="F446" s="103">
        <v>1093926.1786666666</v>
      </c>
      <c r="H446" s="103" t="s">
        <v>2</v>
      </c>
    </row>
    <row r="447" spans="3:8" hidden="1">
      <c r="C447" s="108">
        <v>44912</v>
      </c>
      <c r="D447" s="82" t="str">
        <f t="shared" si="12"/>
        <v>Inventory Finished goods Product A</v>
      </c>
      <c r="F447" s="103">
        <v>1120563.8386666665</v>
      </c>
      <c r="H447" s="103" t="s">
        <v>2</v>
      </c>
    </row>
    <row r="448" spans="3:8" hidden="1">
      <c r="C448" s="108">
        <v>44584</v>
      </c>
      <c r="D448" t="s">
        <v>143</v>
      </c>
      <c r="E448" s="103">
        <v>3802085.6760000004</v>
      </c>
      <c r="G448" s="103"/>
      <c r="H448" s="103" t="s">
        <v>14</v>
      </c>
    </row>
    <row r="449" spans="3:8" hidden="1">
      <c r="C449" s="108">
        <v>44578</v>
      </c>
      <c r="D449" t="s">
        <v>143</v>
      </c>
      <c r="E449" s="103">
        <v>542431.17599999998</v>
      </c>
      <c r="G449" s="103"/>
      <c r="H449" s="103" t="s">
        <v>2</v>
      </c>
    </row>
    <row r="450" spans="3:8" hidden="1">
      <c r="C450" s="108">
        <v>44581</v>
      </c>
      <c r="D450" t="s">
        <v>143</v>
      </c>
      <c r="E450" s="103">
        <v>507463.76400000002</v>
      </c>
      <c r="G450" s="103"/>
      <c r="H450" s="103" t="s">
        <v>14</v>
      </c>
    </row>
    <row r="451" spans="3:8" hidden="1">
      <c r="C451" s="108">
        <v>44578</v>
      </c>
      <c r="D451" t="s">
        <v>143</v>
      </c>
      <c r="E451" s="103">
        <v>503729.28</v>
      </c>
      <c r="G451" s="103"/>
      <c r="H451" s="103" t="s">
        <v>10</v>
      </c>
    </row>
    <row r="452" spans="3:8" hidden="1">
      <c r="C452" s="108">
        <v>44579</v>
      </c>
      <c r="D452" t="s">
        <v>143</v>
      </c>
      <c r="E452" s="103">
        <v>1003104.7320000001</v>
      </c>
      <c r="G452" s="103"/>
      <c r="H452" s="103" t="s">
        <v>2</v>
      </c>
    </row>
    <row r="453" spans="3:8" hidden="1">
      <c r="C453" s="108">
        <v>44582</v>
      </c>
      <c r="D453" t="s">
        <v>143</v>
      </c>
      <c r="E453" s="103">
        <v>414301.39200000005</v>
      </c>
      <c r="G453" s="103"/>
      <c r="H453" s="103" t="s">
        <v>10</v>
      </c>
    </row>
    <row r="454" spans="3:8" hidden="1">
      <c r="C454" s="108">
        <v>44573</v>
      </c>
      <c r="D454" t="s">
        <v>143</v>
      </c>
      <c r="E454" s="103">
        <v>1091284.656</v>
      </c>
      <c r="G454" s="103"/>
      <c r="H454" s="103" t="s">
        <v>2</v>
      </c>
    </row>
    <row r="455" spans="3:8" hidden="1">
      <c r="C455" s="108">
        <v>44588</v>
      </c>
      <c r="D455" t="s">
        <v>143</v>
      </c>
      <c r="E455" s="103">
        <v>564304.32000000007</v>
      </c>
      <c r="G455" s="103"/>
      <c r="H455" s="103" t="s">
        <v>10</v>
      </c>
    </row>
    <row r="456" spans="3:8" hidden="1">
      <c r="C456" s="108">
        <v>44572</v>
      </c>
      <c r="D456" t="s">
        <v>143</v>
      </c>
      <c r="E456" s="103">
        <v>1214153.4720000001</v>
      </c>
      <c r="G456" s="103"/>
      <c r="H456" s="103" t="s">
        <v>2</v>
      </c>
    </row>
    <row r="457" spans="3:8" hidden="1">
      <c r="C457" s="108">
        <v>44580</v>
      </c>
      <c r="D457" t="s">
        <v>143</v>
      </c>
      <c r="E457" s="103">
        <v>919995.04800000007</v>
      </c>
      <c r="G457" s="103"/>
      <c r="H457" s="103" t="s">
        <v>2</v>
      </c>
    </row>
    <row r="458" spans="3:8" hidden="1">
      <c r="C458" s="108">
        <v>44609</v>
      </c>
      <c r="D458" t="s">
        <v>143</v>
      </c>
      <c r="E458" s="103">
        <v>2158609.2720000003</v>
      </c>
      <c r="G458" s="103"/>
      <c r="H458" s="103" t="s">
        <v>14</v>
      </c>
    </row>
    <row r="459" spans="3:8" hidden="1">
      <c r="C459" s="108">
        <v>44613</v>
      </c>
      <c r="D459" t="s">
        <v>143</v>
      </c>
      <c r="E459" s="103">
        <v>693000.87</v>
      </c>
      <c r="H459" s="103" t="s">
        <v>2</v>
      </c>
    </row>
    <row r="460" spans="3:8" hidden="1">
      <c r="C460" s="108">
        <v>44606</v>
      </c>
      <c r="D460" t="s">
        <v>143</v>
      </c>
      <c r="E460" s="103">
        <v>258045.85600000003</v>
      </c>
      <c r="H460" s="103" t="s">
        <v>14</v>
      </c>
    </row>
    <row r="461" spans="3:8" hidden="1">
      <c r="C461" s="108">
        <v>44610</v>
      </c>
      <c r="D461" t="s">
        <v>143</v>
      </c>
      <c r="E461" s="103">
        <v>1168469.3160000001</v>
      </c>
      <c r="H461" s="103" t="s">
        <v>10</v>
      </c>
    </row>
    <row r="462" spans="3:8" hidden="1">
      <c r="C462" s="108">
        <v>44618</v>
      </c>
      <c r="D462" t="s">
        <v>143</v>
      </c>
      <c r="E462" s="103">
        <v>1103898.3660000002</v>
      </c>
      <c r="H462" s="103" t="s">
        <v>2</v>
      </c>
    </row>
    <row r="463" spans="3:8" hidden="1">
      <c r="C463" s="108">
        <v>44607</v>
      </c>
      <c r="D463" t="s">
        <v>143</v>
      </c>
      <c r="E463" s="103">
        <v>437061.36600000004</v>
      </c>
      <c r="H463" s="103" t="s">
        <v>10</v>
      </c>
    </row>
    <row r="464" spans="3:8" hidden="1">
      <c r="C464" s="108">
        <v>44610</v>
      </c>
      <c r="D464" t="s">
        <v>143</v>
      </c>
      <c r="E464" s="103">
        <v>699427.22999999986</v>
      </c>
      <c r="H464" s="103" t="s">
        <v>2</v>
      </c>
    </row>
    <row r="465" spans="3:8" hidden="1">
      <c r="C465" s="108">
        <v>44604</v>
      </c>
      <c r="D465" t="s">
        <v>143</v>
      </c>
      <c r="E465" s="103">
        <v>397784.016</v>
      </c>
      <c r="H465" s="103" t="s">
        <v>10</v>
      </c>
    </row>
    <row r="466" spans="3:8" hidden="1">
      <c r="C466" s="108">
        <v>44613</v>
      </c>
      <c r="D466" t="s">
        <v>143</v>
      </c>
      <c r="E466" s="103">
        <v>1012264.2059999998</v>
      </c>
      <c r="H466" s="103" t="s">
        <v>2</v>
      </c>
    </row>
    <row r="467" spans="3:8" hidden="1">
      <c r="C467" s="108">
        <v>44611</v>
      </c>
      <c r="D467" t="s">
        <v>143</v>
      </c>
      <c r="E467" s="103">
        <v>1095057.5799999998</v>
      </c>
      <c r="H467" s="103" t="s">
        <v>2</v>
      </c>
    </row>
    <row r="468" spans="3:8" hidden="1">
      <c r="C468" s="108">
        <v>44637</v>
      </c>
      <c r="D468" t="s">
        <v>143</v>
      </c>
      <c r="E468" s="103">
        <v>3080214.0240000002</v>
      </c>
      <c r="H468" s="103" t="s">
        <v>14</v>
      </c>
    </row>
    <row r="469" spans="3:8" hidden="1">
      <c r="C469" s="108">
        <v>44648</v>
      </c>
      <c r="D469" t="s">
        <v>143</v>
      </c>
      <c r="E469" s="103">
        <v>626216.49200000009</v>
      </c>
      <c r="H469" s="103" t="s">
        <v>2</v>
      </c>
    </row>
    <row r="470" spans="3:8" hidden="1">
      <c r="C470" s="108">
        <v>44636</v>
      </c>
      <c r="D470" t="s">
        <v>143</v>
      </c>
      <c r="E470" s="103">
        <v>826197.97200000007</v>
      </c>
      <c r="H470" s="103" t="s">
        <v>14</v>
      </c>
    </row>
    <row r="471" spans="3:8" hidden="1">
      <c r="C471" s="108">
        <v>44639</v>
      </c>
      <c r="D471" t="s">
        <v>143</v>
      </c>
      <c r="E471" s="103">
        <v>742690.20600000012</v>
      </c>
      <c r="H471" s="103" t="s">
        <v>10</v>
      </c>
    </row>
    <row r="472" spans="3:8" hidden="1">
      <c r="C472" s="108">
        <v>44638</v>
      </c>
      <c r="D472" t="s">
        <v>143</v>
      </c>
      <c r="E472" s="103">
        <v>295462.72200000001</v>
      </c>
      <c r="H472" s="103" t="s">
        <v>2</v>
      </c>
    </row>
    <row r="473" spans="3:8" hidden="1">
      <c r="C473" s="108">
        <v>44635</v>
      </c>
      <c r="D473" t="s">
        <v>143</v>
      </c>
      <c r="E473" s="103">
        <v>451142.36400000006</v>
      </c>
      <c r="H473" s="103" t="s">
        <v>10</v>
      </c>
    </row>
    <row r="474" spans="3:8" hidden="1">
      <c r="C474" s="108">
        <v>44637</v>
      </c>
      <c r="D474" t="s">
        <v>143</v>
      </c>
      <c r="E474" s="103">
        <v>372865.75066666602</v>
      </c>
      <c r="H474" s="103" t="s">
        <v>2</v>
      </c>
    </row>
    <row r="475" spans="3:8" hidden="1">
      <c r="C475" s="108">
        <v>44644</v>
      </c>
      <c r="D475" t="s">
        <v>143</v>
      </c>
      <c r="E475" s="103">
        <v>1163431.5600000003</v>
      </c>
      <c r="H475" s="103" t="s">
        <v>10</v>
      </c>
    </row>
    <row r="476" spans="3:8" hidden="1">
      <c r="C476" s="108">
        <v>44634</v>
      </c>
      <c r="D476" t="s">
        <v>143</v>
      </c>
      <c r="E476" s="103">
        <v>561297.59066666604</v>
      </c>
      <c r="H476" s="103" t="s">
        <v>2</v>
      </c>
    </row>
    <row r="477" spans="3:8" hidden="1">
      <c r="C477" s="108">
        <v>44637</v>
      </c>
      <c r="D477" t="s">
        <v>143</v>
      </c>
      <c r="E477" s="103">
        <v>289029.55066666601</v>
      </c>
      <c r="H477" s="103" t="s">
        <v>2</v>
      </c>
    </row>
    <row r="478" spans="3:8" hidden="1">
      <c r="C478" s="108">
        <v>44679</v>
      </c>
      <c r="D478" t="s">
        <v>143</v>
      </c>
      <c r="E478" s="103">
        <v>2652752.3760000002</v>
      </c>
      <c r="H478" s="103" t="s">
        <v>14</v>
      </c>
    </row>
    <row r="479" spans="3:8" hidden="1">
      <c r="C479" s="108">
        <v>44680</v>
      </c>
      <c r="D479" t="s">
        <v>143</v>
      </c>
      <c r="E479" s="103">
        <v>918233.26400000008</v>
      </c>
      <c r="H479" s="103" t="s">
        <v>2</v>
      </c>
    </row>
    <row r="480" spans="3:8" hidden="1">
      <c r="C480" s="108">
        <v>44667</v>
      </c>
      <c r="D480" t="s">
        <v>143</v>
      </c>
      <c r="E480" s="103">
        <v>1292684.6640000001</v>
      </c>
      <c r="H480" s="103" t="s">
        <v>14</v>
      </c>
    </row>
    <row r="481" spans="3:8" hidden="1">
      <c r="C481" s="108">
        <v>44668</v>
      </c>
      <c r="D481" t="s">
        <v>143</v>
      </c>
      <c r="E481" s="103">
        <v>729958.17599999998</v>
      </c>
      <c r="H481" s="103" t="s">
        <v>10</v>
      </c>
    </row>
    <row r="482" spans="3:8" hidden="1">
      <c r="C482" s="108">
        <v>44674</v>
      </c>
      <c r="D482" t="s">
        <v>143</v>
      </c>
      <c r="E482" s="103">
        <v>1007699.1920000002</v>
      </c>
      <c r="H482" s="103" t="s">
        <v>2</v>
      </c>
    </row>
    <row r="483" spans="3:8" hidden="1">
      <c r="C483" s="108">
        <v>44669</v>
      </c>
      <c r="D483" t="s">
        <v>143</v>
      </c>
      <c r="E483" s="103">
        <v>407096.68800000002</v>
      </c>
      <c r="H483" s="103" t="s">
        <v>10</v>
      </c>
    </row>
    <row r="484" spans="3:8" hidden="1">
      <c r="C484" s="108">
        <v>44670</v>
      </c>
      <c r="D484" t="s">
        <v>143</v>
      </c>
      <c r="E484" s="103">
        <v>345962.48466666648</v>
      </c>
      <c r="H484" s="103" t="s">
        <v>2</v>
      </c>
    </row>
    <row r="485" spans="3:8" hidden="1">
      <c r="C485" s="108">
        <v>44673</v>
      </c>
      <c r="D485" t="s">
        <v>143</v>
      </c>
      <c r="E485" s="103">
        <v>449174.17600000004</v>
      </c>
      <c r="H485" s="103" t="s">
        <v>10</v>
      </c>
    </row>
    <row r="486" spans="3:8" hidden="1">
      <c r="C486" s="108">
        <v>44667</v>
      </c>
      <c r="D486" t="s">
        <v>143</v>
      </c>
      <c r="E486" s="103">
        <v>932609.05266666657</v>
      </c>
      <c r="H486" s="103" t="s">
        <v>2</v>
      </c>
    </row>
    <row r="487" spans="3:8" hidden="1">
      <c r="C487" s="108">
        <v>44680</v>
      </c>
      <c r="D487" t="s">
        <v>143</v>
      </c>
      <c r="E487" s="103">
        <v>846422.21266666648</v>
      </c>
      <c r="H487" s="103" t="s">
        <v>2</v>
      </c>
    </row>
    <row r="488" spans="3:8" hidden="1">
      <c r="C488" s="108">
        <v>44690</v>
      </c>
      <c r="D488" t="s">
        <v>143</v>
      </c>
      <c r="E488" s="103">
        <v>3472739.7840000005</v>
      </c>
      <c r="H488" s="103" t="s">
        <v>14</v>
      </c>
    </row>
    <row r="489" spans="3:8" hidden="1">
      <c r="C489" s="108">
        <v>44693</v>
      </c>
      <c r="D489" t="s">
        <v>143</v>
      </c>
      <c r="E489" s="103">
        <v>594838.83600000001</v>
      </c>
      <c r="H489" s="103" t="s">
        <v>2</v>
      </c>
    </row>
    <row r="490" spans="3:8" hidden="1">
      <c r="C490" s="108">
        <v>44699</v>
      </c>
      <c r="D490" t="s">
        <v>143</v>
      </c>
      <c r="E490" s="103">
        <v>184109.49600000001</v>
      </c>
      <c r="H490" s="103" t="s">
        <v>14</v>
      </c>
    </row>
    <row r="491" spans="3:8" hidden="1">
      <c r="C491" s="108">
        <v>44692</v>
      </c>
      <c r="D491" t="s">
        <v>143</v>
      </c>
      <c r="E491" s="103">
        <v>527983.18200000003</v>
      </c>
      <c r="H491" s="103" t="s">
        <v>10</v>
      </c>
    </row>
    <row r="492" spans="3:8" hidden="1">
      <c r="C492" s="108">
        <v>44691</v>
      </c>
      <c r="D492" t="s">
        <v>143</v>
      </c>
      <c r="E492" s="103">
        <v>506414.53</v>
      </c>
      <c r="H492" s="103" t="s">
        <v>2</v>
      </c>
    </row>
    <row r="493" spans="3:8" hidden="1">
      <c r="C493" s="108">
        <v>44699</v>
      </c>
      <c r="D493" t="s">
        <v>143</v>
      </c>
      <c r="E493" s="103">
        <v>451763.44200000004</v>
      </c>
      <c r="H493" s="103" t="s">
        <v>10</v>
      </c>
    </row>
    <row r="494" spans="3:8" hidden="1">
      <c r="C494" s="108">
        <v>44706</v>
      </c>
      <c r="D494" t="s">
        <v>143</v>
      </c>
      <c r="E494" s="103">
        <v>817727.86066666641</v>
      </c>
      <c r="H494" s="103" t="s">
        <v>2</v>
      </c>
    </row>
    <row r="495" spans="3:8" hidden="1">
      <c r="C495" s="108">
        <v>44691</v>
      </c>
      <c r="D495" t="s">
        <v>143</v>
      </c>
      <c r="E495" s="103">
        <v>1016220.1380000002</v>
      </c>
      <c r="H495" s="103" t="s">
        <v>10</v>
      </c>
    </row>
    <row r="496" spans="3:8" hidden="1">
      <c r="C496" s="108">
        <v>44706</v>
      </c>
      <c r="D496" t="s">
        <v>143</v>
      </c>
      <c r="E496" s="103">
        <v>1065127.3246666663</v>
      </c>
      <c r="H496" s="103" t="s">
        <v>2</v>
      </c>
    </row>
    <row r="497" spans="3:8" hidden="1">
      <c r="C497" s="108">
        <v>44706</v>
      </c>
      <c r="D497" t="s">
        <v>143</v>
      </c>
      <c r="E497" s="103">
        <v>844988.09266666637</v>
      </c>
      <c r="H497" s="103" t="s">
        <v>2</v>
      </c>
    </row>
    <row r="498" spans="3:8" hidden="1">
      <c r="C498" s="108">
        <v>44728</v>
      </c>
      <c r="D498" t="s">
        <v>143</v>
      </c>
      <c r="E498" s="103">
        <v>2175367.3680000002</v>
      </c>
      <c r="H498" s="103" t="s">
        <v>14</v>
      </c>
    </row>
    <row r="499" spans="3:8" hidden="1">
      <c r="C499" s="108">
        <v>44737</v>
      </c>
      <c r="D499" t="s">
        <v>143</v>
      </c>
      <c r="E499" s="103">
        <v>339151.61600000004</v>
      </c>
      <c r="H499" s="103" t="s">
        <v>2</v>
      </c>
    </row>
    <row r="500" spans="3:8" hidden="1">
      <c r="C500" s="108">
        <v>44741</v>
      </c>
      <c r="D500" t="s">
        <v>143</v>
      </c>
      <c r="E500" s="103">
        <v>927360.24800000002</v>
      </c>
      <c r="H500" s="103" t="s">
        <v>14</v>
      </c>
    </row>
    <row r="501" spans="3:8" hidden="1">
      <c r="C501" s="108">
        <v>44734</v>
      </c>
      <c r="D501" t="s">
        <v>143</v>
      </c>
      <c r="E501" s="103">
        <v>631143.38400000008</v>
      </c>
      <c r="H501" s="103" t="s">
        <v>10</v>
      </c>
    </row>
    <row r="502" spans="3:8" hidden="1">
      <c r="C502" s="108">
        <v>44728</v>
      </c>
      <c r="D502" t="s">
        <v>143</v>
      </c>
      <c r="E502" s="103">
        <v>592884.73600000003</v>
      </c>
      <c r="H502" s="103" t="s">
        <v>2</v>
      </c>
    </row>
    <row r="503" spans="3:8" hidden="1">
      <c r="C503" s="108">
        <v>44725</v>
      </c>
      <c r="D503" t="s">
        <v>143</v>
      </c>
      <c r="E503" s="103">
        <v>385696.70400000009</v>
      </c>
      <c r="H503" s="103" t="s">
        <v>10</v>
      </c>
    </row>
    <row r="504" spans="3:8" hidden="1">
      <c r="C504" s="108">
        <v>44730</v>
      </c>
      <c r="D504" t="s">
        <v>143</v>
      </c>
      <c r="E504" s="103">
        <v>776408.67799999996</v>
      </c>
      <c r="H504" s="103" t="s">
        <v>2</v>
      </c>
    </row>
    <row r="505" spans="3:8" hidden="1">
      <c r="C505" s="108">
        <v>44734</v>
      </c>
      <c r="D505" t="s">
        <v>143</v>
      </c>
      <c r="E505" s="103">
        <v>606141.81600000011</v>
      </c>
      <c r="H505" s="103" t="s">
        <v>10</v>
      </c>
    </row>
    <row r="506" spans="3:8" hidden="1">
      <c r="C506" s="108">
        <v>44726</v>
      </c>
      <c r="D506" t="s">
        <v>143</v>
      </c>
      <c r="E506" s="103">
        <v>997180.00599999994</v>
      </c>
      <c r="H506" s="103" t="s">
        <v>2</v>
      </c>
    </row>
    <row r="507" spans="3:8" hidden="1">
      <c r="C507" s="108">
        <v>44729</v>
      </c>
      <c r="D507" t="s">
        <v>143</v>
      </c>
      <c r="E507" s="103">
        <v>443840.86999999988</v>
      </c>
      <c r="H507" s="103" t="s">
        <v>2</v>
      </c>
    </row>
    <row r="508" spans="3:8" hidden="1">
      <c r="C508" s="108">
        <v>44768</v>
      </c>
      <c r="D508" t="s">
        <v>143</v>
      </c>
      <c r="E508" s="103">
        <v>2609434.5480000004</v>
      </c>
      <c r="H508" s="103" t="s">
        <v>14</v>
      </c>
    </row>
    <row r="509" spans="3:8" hidden="1">
      <c r="C509" s="108">
        <v>44772</v>
      </c>
      <c r="D509" t="s">
        <v>143</v>
      </c>
      <c r="E509" s="103">
        <v>871011.75200000009</v>
      </c>
      <c r="H509" s="103" t="s">
        <v>2</v>
      </c>
    </row>
    <row r="510" spans="3:8" hidden="1">
      <c r="C510" s="108">
        <v>44764</v>
      </c>
      <c r="D510" t="s">
        <v>143</v>
      </c>
      <c r="E510" s="103">
        <v>1169056.0980000002</v>
      </c>
      <c r="H510" s="103" t="s">
        <v>14</v>
      </c>
    </row>
    <row r="511" spans="3:8" hidden="1">
      <c r="C511" s="108">
        <v>44768</v>
      </c>
      <c r="D511" t="s">
        <v>143</v>
      </c>
      <c r="E511" s="103">
        <v>1153649.2240000002</v>
      </c>
      <c r="H511" s="103" t="s">
        <v>10</v>
      </c>
    </row>
    <row r="512" spans="3:8" hidden="1">
      <c r="C512" s="108">
        <v>44764</v>
      </c>
      <c r="D512" t="s">
        <v>143</v>
      </c>
      <c r="E512" s="103">
        <v>657977.64800000004</v>
      </c>
      <c r="H512" s="103" t="s">
        <v>2</v>
      </c>
    </row>
    <row r="513" spans="3:8" hidden="1">
      <c r="C513" s="108">
        <v>44772</v>
      </c>
      <c r="D513" t="s">
        <v>143</v>
      </c>
      <c r="E513" s="103">
        <v>439512.08000000007</v>
      </c>
      <c r="H513" s="103" t="s">
        <v>10</v>
      </c>
    </row>
    <row r="514" spans="3:8" hidden="1">
      <c r="C514" s="108">
        <v>44771</v>
      </c>
      <c r="D514" t="s">
        <v>143</v>
      </c>
      <c r="E514" s="103">
        <v>1167437.362666666</v>
      </c>
      <c r="H514" s="103" t="s">
        <v>2</v>
      </c>
    </row>
    <row r="515" spans="3:8" hidden="1">
      <c r="C515" s="108">
        <v>44758</v>
      </c>
      <c r="D515" t="s">
        <v>143</v>
      </c>
      <c r="E515" s="103">
        <v>434913.00000000006</v>
      </c>
      <c r="H515" s="103" t="s">
        <v>10</v>
      </c>
    </row>
    <row r="516" spans="3:8" hidden="1">
      <c r="C516" s="108">
        <v>44758</v>
      </c>
      <c r="D516" t="s">
        <v>143</v>
      </c>
      <c r="E516" s="103">
        <v>748692.61066666595</v>
      </c>
      <c r="H516" s="103" t="s">
        <v>2</v>
      </c>
    </row>
    <row r="517" spans="3:8" hidden="1">
      <c r="C517" s="108">
        <v>44760</v>
      </c>
      <c r="D517" t="s">
        <v>143</v>
      </c>
      <c r="E517" s="103">
        <v>395248.6746666659</v>
      </c>
      <c r="H517" s="103" t="s">
        <v>2</v>
      </c>
    </row>
    <row r="518" spans="3:8" hidden="1">
      <c r="C518" s="108">
        <v>44782</v>
      </c>
      <c r="D518" t="s">
        <v>143</v>
      </c>
      <c r="E518" s="103">
        <v>1627946.5740000003</v>
      </c>
      <c r="H518" s="103" t="s">
        <v>14</v>
      </c>
    </row>
    <row r="519" spans="3:8" hidden="1">
      <c r="C519" s="108">
        <v>44798</v>
      </c>
      <c r="D519" t="s">
        <v>143</v>
      </c>
      <c r="E519" s="103">
        <v>1160638.2760000001</v>
      </c>
      <c r="H519" s="103" t="s">
        <v>2</v>
      </c>
    </row>
    <row r="520" spans="3:8" hidden="1">
      <c r="C520" s="108">
        <v>44787</v>
      </c>
      <c r="D520" t="s">
        <v>143</v>
      </c>
      <c r="E520" s="103">
        <v>303428.73400000005</v>
      </c>
      <c r="H520" s="103" t="s">
        <v>14</v>
      </c>
    </row>
    <row r="521" spans="3:8" hidden="1">
      <c r="C521" s="108">
        <v>44788</v>
      </c>
      <c r="D521" t="s">
        <v>143</v>
      </c>
      <c r="E521" s="103">
        <v>1167354.1800000002</v>
      </c>
      <c r="H521" s="103" t="s">
        <v>10</v>
      </c>
    </row>
    <row r="522" spans="3:8" hidden="1">
      <c r="C522" s="108">
        <v>44788</v>
      </c>
      <c r="D522" t="s">
        <v>143</v>
      </c>
      <c r="E522" s="103">
        <v>676292.30800000008</v>
      </c>
      <c r="H522" s="103" t="s">
        <v>2</v>
      </c>
    </row>
    <row r="523" spans="3:8" hidden="1">
      <c r="C523" s="108">
        <v>44787</v>
      </c>
      <c r="D523" t="s">
        <v>143</v>
      </c>
      <c r="E523" s="103">
        <v>464131.94400000008</v>
      </c>
      <c r="H523" s="103" t="s">
        <v>10</v>
      </c>
    </row>
    <row r="524" spans="3:8" hidden="1">
      <c r="C524" s="108">
        <v>44800</v>
      </c>
      <c r="D524" t="s">
        <v>143</v>
      </c>
      <c r="E524" s="103">
        <v>820385.08266666613</v>
      </c>
      <c r="H524" s="103" t="s">
        <v>2</v>
      </c>
    </row>
    <row r="525" spans="3:8" hidden="1">
      <c r="C525" s="108">
        <v>44787</v>
      </c>
      <c r="D525" t="s">
        <v>143</v>
      </c>
      <c r="E525" s="103">
        <v>1164544.4520000003</v>
      </c>
      <c r="H525" s="103" t="s">
        <v>10</v>
      </c>
    </row>
    <row r="526" spans="3:8" hidden="1">
      <c r="C526" s="108">
        <v>44784</v>
      </c>
      <c r="D526" t="s">
        <v>143</v>
      </c>
      <c r="E526" s="103">
        <v>1075011.9726666661</v>
      </c>
      <c r="H526" s="103" t="s">
        <v>2</v>
      </c>
    </row>
    <row r="527" spans="3:8" hidden="1">
      <c r="C527" s="108">
        <v>44790</v>
      </c>
      <c r="D527" t="s">
        <v>143</v>
      </c>
      <c r="E527" s="103">
        <v>480389.33866666612</v>
      </c>
      <c r="H527" s="103" t="s">
        <v>2</v>
      </c>
    </row>
    <row r="528" spans="3:8" hidden="1">
      <c r="C528" s="108">
        <v>44833</v>
      </c>
      <c r="D528" t="s">
        <v>143</v>
      </c>
      <c r="E528" s="103">
        <v>1943756.4420000003</v>
      </c>
      <c r="H528" s="103" t="s">
        <v>14</v>
      </c>
    </row>
    <row r="529" spans="3:8" hidden="1">
      <c r="C529" s="108">
        <v>44830</v>
      </c>
      <c r="D529" t="s">
        <v>143</v>
      </c>
      <c r="E529" s="103">
        <v>962314.08000000007</v>
      </c>
      <c r="H529" s="103" t="s">
        <v>2</v>
      </c>
    </row>
    <row r="530" spans="3:8" hidden="1">
      <c r="C530" s="108">
        <v>44827</v>
      </c>
      <c r="D530" t="s">
        <v>143</v>
      </c>
      <c r="E530" s="103">
        <v>362284.50600000005</v>
      </c>
      <c r="H530" s="103" t="s">
        <v>14</v>
      </c>
    </row>
    <row r="531" spans="3:8" hidden="1">
      <c r="C531" s="108">
        <v>44826</v>
      </c>
      <c r="D531" t="s">
        <v>143</v>
      </c>
      <c r="E531" s="103">
        <v>962348.4040000001</v>
      </c>
      <c r="H531" s="103" t="s">
        <v>10</v>
      </c>
    </row>
    <row r="532" spans="3:8" hidden="1">
      <c r="C532" s="108">
        <v>44820</v>
      </c>
      <c r="D532" t="s">
        <v>143</v>
      </c>
      <c r="E532" s="103">
        <v>1226818.2660000001</v>
      </c>
      <c r="H532" s="103" t="s">
        <v>2</v>
      </c>
    </row>
    <row r="533" spans="3:8" hidden="1">
      <c r="C533" s="108">
        <v>44832</v>
      </c>
      <c r="D533" t="s">
        <v>143</v>
      </c>
      <c r="E533" s="103">
        <v>412372.39</v>
      </c>
      <c r="H533" s="103" t="s">
        <v>10</v>
      </c>
    </row>
    <row r="534" spans="3:8" hidden="1">
      <c r="C534" s="108">
        <v>44831</v>
      </c>
      <c r="D534" t="s">
        <v>143</v>
      </c>
      <c r="E534" s="103">
        <v>247688.78599999967</v>
      </c>
      <c r="H534" s="103" t="s">
        <v>2</v>
      </c>
    </row>
    <row r="535" spans="3:8" hidden="1">
      <c r="C535" s="108">
        <v>44831</v>
      </c>
      <c r="D535" t="s">
        <v>143</v>
      </c>
      <c r="E535" s="103">
        <v>748727.946</v>
      </c>
      <c r="H535" s="103" t="s">
        <v>10</v>
      </c>
    </row>
    <row r="536" spans="3:8" hidden="1">
      <c r="C536" s="108">
        <v>44834</v>
      </c>
      <c r="D536" t="s">
        <v>143</v>
      </c>
      <c r="E536" s="103">
        <v>931046.34399999981</v>
      </c>
      <c r="H536" s="103" t="s">
        <v>2</v>
      </c>
    </row>
    <row r="537" spans="3:8" hidden="1">
      <c r="C537" s="108">
        <v>44825</v>
      </c>
      <c r="D537" t="s">
        <v>143</v>
      </c>
      <c r="E537" s="103">
        <v>400319.55399999971</v>
      </c>
      <c r="H537" s="103" t="s">
        <v>2</v>
      </c>
    </row>
    <row r="538" spans="3:8" hidden="1">
      <c r="C538" s="108">
        <v>44847</v>
      </c>
      <c r="D538" t="s">
        <v>143</v>
      </c>
      <c r="E538" s="103">
        <v>2066553.7620000003</v>
      </c>
      <c r="H538" s="103" t="s">
        <v>14</v>
      </c>
    </row>
    <row r="539" spans="3:8" hidden="1">
      <c r="C539" s="108">
        <v>44852</v>
      </c>
      <c r="D539" t="s">
        <v>143</v>
      </c>
      <c r="E539" s="103">
        <v>341749.31400000001</v>
      </c>
      <c r="H539" s="103" t="s">
        <v>2</v>
      </c>
    </row>
    <row r="540" spans="3:8" hidden="1">
      <c r="C540" s="108">
        <v>44861</v>
      </c>
      <c r="D540" t="s">
        <v>143</v>
      </c>
      <c r="E540" s="103">
        <v>120585.02400000002</v>
      </c>
      <c r="H540" s="103" t="s">
        <v>14</v>
      </c>
    </row>
    <row r="541" spans="3:8" hidden="1">
      <c r="C541" s="108">
        <v>44851</v>
      </c>
      <c r="D541" t="s">
        <v>143</v>
      </c>
      <c r="E541" s="103">
        <v>559045.33799999999</v>
      </c>
      <c r="H541" s="103" t="s">
        <v>10</v>
      </c>
    </row>
    <row r="542" spans="3:8" hidden="1">
      <c r="C542" s="108">
        <v>44855</v>
      </c>
      <c r="D542" t="s">
        <v>143</v>
      </c>
      <c r="E542" s="103">
        <v>874464.92999999993</v>
      </c>
      <c r="H542" s="103" t="s">
        <v>2</v>
      </c>
    </row>
    <row r="543" spans="3:8" hidden="1">
      <c r="C543" s="108">
        <v>44850</v>
      </c>
      <c r="D543" t="s">
        <v>143</v>
      </c>
      <c r="E543" s="103">
        <v>447806.51400000002</v>
      </c>
      <c r="H543" s="103" t="s">
        <v>10</v>
      </c>
    </row>
    <row r="544" spans="3:8" hidden="1">
      <c r="C544" s="108">
        <v>44857</v>
      </c>
      <c r="D544" t="s">
        <v>143</v>
      </c>
      <c r="E544" s="103">
        <v>851886.81066666672</v>
      </c>
      <c r="H544" s="103" t="s">
        <v>2</v>
      </c>
    </row>
    <row r="545" spans="3:8" hidden="1">
      <c r="C545" s="108">
        <v>44858</v>
      </c>
      <c r="D545" t="s">
        <v>143</v>
      </c>
      <c r="E545" s="103">
        <v>974372.76</v>
      </c>
      <c r="H545" s="103" t="s">
        <v>10</v>
      </c>
    </row>
    <row r="546" spans="3:8" hidden="1">
      <c r="C546" s="108">
        <v>44854</v>
      </c>
      <c r="D546" t="s">
        <v>143</v>
      </c>
      <c r="E546" s="103">
        <v>897470.39466666663</v>
      </c>
      <c r="H546" s="103" t="s">
        <v>2</v>
      </c>
    </row>
    <row r="547" spans="3:8" hidden="1">
      <c r="C547" s="108">
        <v>44859</v>
      </c>
      <c r="D547" t="s">
        <v>143</v>
      </c>
      <c r="E547" s="103">
        <v>1223316.4806666668</v>
      </c>
      <c r="H547" s="103" t="s">
        <v>2</v>
      </c>
    </row>
    <row r="548" spans="3:8" hidden="1">
      <c r="C548" s="108">
        <v>44894</v>
      </c>
      <c r="D548" t="s">
        <v>143</v>
      </c>
      <c r="E548" s="103">
        <v>2410365.6540000006</v>
      </c>
      <c r="H548" s="103" t="s">
        <v>14</v>
      </c>
    </row>
    <row r="549" spans="3:8" hidden="1">
      <c r="C549" s="108">
        <v>44884</v>
      </c>
      <c r="D549" t="s">
        <v>143</v>
      </c>
      <c r="E549" s="103">
        <v>621150.64200000011</v>
      </c>
      <c r="H549" s="103" t="s">
        <v>2</v>
      </c>
    </row>
    <row r="550" spans="3:8" hidden="1">
      <c r="C550" s="108">
        <v>44883</v>
      </c>
      <c r="D550" t="s">
        <v>143</v>
      </c>
      <c r="E550" s="103">
        <v>769844.28600000008</v>
      </c>
      <c r="H550" s="103" t="s">
        <v>14</v>
      </c>
    </row>
    <row r="551" spans="3:8" hidden="1">
      <c r="C551" s="108">
        <v>44891</v>
      </c>
      <c r="D551" t="s">
        <v>143</v>
      </c>
      <c r="E551" s="103">
        <v>492322.68400000007</v>
      </c>
      <c r="H551" s="103" t="s">
        <v>10</v>
      </c>
    </row>
    <row r="552" spans="3:8" hidden="1">
      <c r="C552" s="108">
        <v>44893</v>
      </c>
      <c r="D552" t="s">
        <v>143</v>
      </c>
      <c r="E552" s="103">
        <v>872123.07000000007</v>
      </c>
      <c r="H552" s="103" t="s">
        <v>2</v>
      </c>
    </row>
    <row r="553" spans="3:8" hidden="1">
      <c r="C553" s="108">
        <v>44874</v>
      </c>
      <c r="D553" t="s">
        <v>143</v>
      </c>
      <c r="E553" s="103">
        <v>407584.84200000006</v>
      </c>
      <c r="H553" s="103" t="s">
        <v>10</v>
      </c>
    </row>
    <row r="554" spans="3:8" hidden="1">
      <c r="C554" s="108">
        <v>44880</v>
      </c>
      <c r="D554" t="s">
        <v>143</v>
      </c>
      <c r="E554" s="103">
        <v>741423.15333333332</v>
      </c>
      <c r="H554" s="103" t="s">
        <v>2</v>
      </c>
    </row>
    <row r="555" spans="3:8" hidden="1">
      <c r="C555" s="108">
        <v>44879</v>
      </c>
      <c r="D555" t="s">
        <v>143</v>
      </c>
      <c r="E555" s="103">
        <v>292233.50800000003</v>
      </c>
      <c r="H555" s="103" t="s">
        <v>10</v>
      </c>
    </row>
    <row r="556" spans="3:8" hidden="1">
      <c r="C556" s="108">
        <v>44879</v>
      </c>
      <c r="D556" t="s">
        <v>143</v>
      </c>
      <c r="E556" s="103">
        <v>1138150.4493333334</v>
      </c>
      <c r="H556" s="103" t="s">
        <v>2</v>
      </c>
    </row>
    <row r="557" spans="3:8" hidden="1">
      <c r="C557" s="108">
        <v>44882</v>
      </c>
      <c r="D557" t="s">
        <v>143</v>
      </c>
      <c r="E557" s="103">
        <v>778330.86333333328</v>
      </c>
      <c r="H557" s="103" t="s">
        <v>2</v>
      </c>
    </row>
    <row r="558" spans="3:8" hidden="1">
      <c r="C558" s="108">
        <v>44910</v>
      </c>
      <c r="D558" t="s">
        <v>143</v>
      </c>
      <c r="E558" s="103">
        <v>1990773.1560000002</v>
      </c>
      <c r="H558" s="103" t="s">
        <v>14</v>
      </c>
    </row>
    <row r="559" spans="3:8" hidden="1">
      <c r="C559" s="108">
        <v>44925</v>
      </c>
      <c r="D559" t="s">
        <v>143</v>
      </c>
      <c r="E559" s="103">
        <v>322188.84000000003</v>
      </c>
      <c r="H559" s="103" t="s">
        <v>2</v>
      </c>
    </row>
    <row r="560" spans="3:8" hidden="1">
      <c r="C560" s="108">
        <v>44919</v>
      </c>
      <c r="D560" t="s">
        <v>143</v>
      </c>
      <c r="E560" s="103">
        <v>247718.89200000002</v>
      </c>
      <c r="H560" s="103" t="s">
        <v>14</v>
      </c>
    </row>
    <row r="561" spans="3:8" hidden="1">
      <c r="C561" s="108">
        <v>44916</v>
      </c>
      <c r="D561" t="s">
        <v>143</v>
      </c>
      <c r="E561" s="103">
        <v>612818.25600000005</v>
      </c>
      <c r="H561" s="103" t="s">
        <v>10</v>
      </c>
    </row>
    <row r="562" spans="3:8" hidden="1">
      <c r="C562" s="108">
        <v>44910</v>
      </c>
      <c r="D562" t="s">
        <v>143</v>
      </c>
      <c r="E562" s="103">
        <v>447512.68800000002</v>
      </c>
      <c r="H562" s="103" t="s">
        <v>2</v>
      </c>
    </row>
    <row r="563" spans="3:8" hidden="1">
      <c r="C563" s="108">
        <v>44913</v>
      </c>
      <c r="D563" t="s">
        <v>143</v>
      </c>
      <c r="E563" s="103">
        <v>410076.78400000004</v>
      </c>
      <c r="H563" s="103" t="s">
        <v>10</v>
      </c>
    </row>
    <row r="564" spans="3:8" hidden="1">
      <c r="C564" s="108">
        <v>44913</v>
      </c>
      <c r="D564" t="s">
        <v>143</v>
      </c>
      <c r="E564" s="103">
        <v>896130.98266666662</v>
      </c>
      <c r="H564" s="103" t="s">
        <v>2</v>
      </c>
    </row>
    <row r="565" spans="3:8" hidden="1">
      <c r="C565" s="108">
        <v>44910</v>
      </c>
      <c r="D565" t="s">
        <v>143</v>
      </c>
      <c r="E565" s="103">
        <v>624073.16400000011</v>
      </c>
      <c r="H565" s="103" t="s">
        <v>10</v>
      </c>
    </row>
    <row r="566" spans="3:8" hidden="1">
      <c r="C566" s="108">
        <v>44925</v>
      </c>
      <c r="D566" t="s">
        <v>143</v>
      </c>
      <c r="E566" s="103">
        <v>1093926.1786666666</v>
      </c>
      <c r="H566" s="103" t="s">
        <v>2</v>
      </c>
    </row>
    <row r="567" spans="3:8" hidden="1">
      <c r="C567" s="108">
        <v>44912</v>
      </c>
      <c r="D567" t="s">
        <v>143</v>
      </c>
      <c r="E567" s="103">
        <v>1120563.8386666665</v>
      </c>
      <c r="H567" s="103" t="s">
        <v>2</v>
      </c>
    </row>
    <row r="568" spans="3:8" hidden="1"/>
    <row r="569" spans="3:8" hidden="1">
      <c r="E569" s="44">
        <f>SUM(E63:E567)</f>
        <v>316308219.90400004</v>
      </c>
      <c r="F569" s="44">
        <f>SUM(F63:F567)</f>
        <v>316308219.90799999</v>
      </c>
    </row>
  </sheetData>
  <phoneticPr fontId="6"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D05FA-6176-438A-BD6A-B0A61740D488}">
  <sheetPr codeName="Sheet91"/>
  <dimension ref="A1:N50"/>
  <sheetViews>
    <sheetView topLeftCell="A11" workbookViewId="0">
      <selection activeCell="C24" sqref="C24:C32"/>
    </sheetView>
  </sheetViews>
  <sheetFormatPr baseColWidth="10" defaultColWidth="9.83203125" defaultRowHeight="15"/>
  <cols>
    <col min="1" max="1" width="15.6640625" style="2" bestFit="1" customWidth="1"/>
    <col min="2" max="10" width="9.83203125" style="2"/>
    <col min="11" max="11" width="11.5" style="2" customWidth="1"/>
    <col min="12" max="16384" width="9.83203125" style="2"/>
  </cols>
  <sheetData>
    <row r="1" spans="1:14" s="40" customFormat="1" ht="17" thickBot="1">
      <c r="A1" s="36" t="s">
        <v>29</v>
      </c>
      <c r="B1" s="37" t="s">
        <v>30</v>
      </c>
      <c r="C1" s="38" t="s">
        <v>17</v>
      </c>
      <c r="D1" s="39" t="s">
        <v>18</v>
      </c>
      <c r="E1" s="39" t="s">
        <v>19</v>
      </c>
      <c r="F1" s="39" t="s">
        <v>20</v>
      </c>
      <c r="G1" s="39" t="s">
        <v>21</v>
      </c>
      <c r="H1" s="39" t="s">
        <v>22</v>
      </c>
      <c r="I1" s="39" t="s">
        <v>23</v>
      </c>
      <c r="J1" s="39" t="s">
        <v>24</v>
      </c>
      <c r="K1" s="39" t="s">
        <v>25</v>
      </c>
      <c r="L1" s="39" t="s">
        <v>26</v>
      </c>
      <c r="M1" s="39" t="s">
        <v>27</v>
      </c>
      <c r="N1" s="37" t="s">
        <v>28</v>
      </c>
    </row>
    <row r="2" spans="1:14">
      <c r="A2" s="10" t="s">
        <v>31</v>
      </c>
      <c r="B2" s="11" t="s">
        <v>2</v>
      </c>
      <c r="C2" s="12">
        <v>12838</v>
      </c>
      <c r="D2" s="13">
        <v>17385</v>
      </c>
      <c r="E2" s="13">
        <v>15686</v>
      </c>
      <c r="F2" s="13">
        <v>20722</v>
      </c>
      <c r="G2" s="13">
        <v>13878</v>
      </c>
      <c r="H2" s="13">
        <v>7933</v>
      </c>
      <c r="I2" s="13">
        <v>19981</v>
      </c>
      <c r="J2" s="13">
        <v>28238</v>
      </c>
      <c r="K2" s="13">
        <v>21840</v>
      </c>
      <c r="L2" s="13">
        <v>8037</v>
      </c>
      <c r="M2" s="13">
        <v>15231</v>
      </c>
      <c r="N2" s="11">
        <v>7620</v>
      </c>
    </row>
    <row r="3" spans="1:14">
      <c r="A3" s="14" t="s">
        <v>32</v>
      </c>
      <c r="B3" s="15" t="s">
        <v>2</v>
      </c>
      <c r="C3" s="16">
        <v>23741</v>
      </c>
      <c r="D3" s="2">
        <v>27693</v>
      </c>
      <c r="E3" s="2">
        <v>7401</v>
      </c>
      <c r="F3" s="2">
        <v>22741</v>
      </c>
      <c r="G3" s="2">
        <v>11815</v>
      </c>
      <c r="H3" s="2">
        <v>13868</v>
      </c>
      <c r="I3" s="2">
        <v>15094</v>
      </c>
      <c r="J3" s="2">
        <v>16454</v>
      </c>
      <c r="K3" s="2">
        <v>27843</v>
      </c>
      <c r="L3" s="2">
        <v>20565</v>
      </c>
      <c r="M3" s="2">
        <v>21385</v>
      </c>
      <c r="N3" s="15">
        <v>10584</v>
      </c>
    </row>
    <row r="4" spans="1:14">
      <c r="A4" s="14" t="s">
        <v>33</v>
      </c>
      <c r="B4" s="15" t="s">
        <v>2</v>
      </c>
      <c r="C4" s="16">
        <v>25828</v>
      </c>
      <c r="D4" s="2">
        <v>18060</v>
      </c>
      <c r="E4" s="2">
        <v>9122</v>
      </c>
      <c r="F4" s="17">
        <v>9789</v>
      </c>
      <c r="G4" s="2">
        <v>17952</v>
      </c>
      <c r="H4" s="2">
        <v>19329</v>
      </c>
      <c r="I4" s="2">
        <v>26733</v>
      </c>
      <c r="J4" s="2">
        <v>17878</v>
      </c>
      <c r="K4" s="2">
        <v>7193</v>
      </c>
      <c r="L4" s="2">
        <v>20162</v>
      </c>
      <c r="M4" s="2">
        <v>15440</v>
      </c>
      <c r="N4" s="15">
        <v>23988</v>
      </c>
    </row>
    <row r="5" spans="1:14">
      <c r="A5" s="14" t="s">
        <v>34</v>
      </c>
      <c r="B5" s="15" t="s">
        <v>2</v>
      </c>
      <c r="C5" s="16">
        <v>28736</v>
      </c>
      <c r="D5" s="2">
        <v>25908</v>
      </c>
      <c r="E5" s="2">
        <v>13842</v>
      </c>
      <c r="F5" s="2">
        <v>23028</v>
      </c>
      <c r="G5" s="2">
        <v>23724</v>
      </c>
      <c r="H5" s="2">
        <v>24493</v>
      </c>
      <c r="I5" s="2">
        <v>17127</v>
      </c>
      <c r="J5" s="2">
        <v>24073</v>
      </c>
      <c r="K5" s="2">
        <v>22702</v>
      </c>
      <c r="L5" s="2">
        <v>21234</v>
      </c>
      <c r="M5" s="2">
        <v>25168</v>
      </c>
      <c r="N5" s="15">
        <v>28666</v>
      </c>
    </row>
    <row r="6" spans="1:14" ht="16" thickBot="1">
      <c r="A6" s="18" t="s">
        <v>35</v>
      </c>
      <c r="B6" s="19" t="s">
        <v>2</v>
      </c>
      <c r="C6" s="20">
        <v>21774</v>
      </c>
      <c r="D6" s="21">
        <v>27985</v>
      </c>
      <c r="E6" s="21">
        <v>7022</v>
      </c>
      <c r="F6" s="21">
        <v>21083</v>
      </c>
      <c r="G6" s="21">
        <v>18588</v>
      </c>
      <c r="H6" s="21">
        <v>11550</v>
      </c>
      <c r="I6" s="21">
        <v>9019</v>
      </c>
      <c r="J6" s="21">
        <v>9606</v>
      </c>
      <c r="K6" s="21">
        <v>10657</v>
      </c>
      <c r="L6" s="21">
        <v>28897</v>
      </c>
      <c r="M6" s="21">
        <v>16345</v>
      </c>
      <c r="N6" s="19">
        <v>29296</v>
      </c>
    </row>
    <row r="7" spans="1:14">
      <c r="A7" s="14" t="s">
        <v>36</v>
      </c>
      <c r="B7" s="15" t="s">
        <v>10</v>
      </c>
      <c r="C7" s="16">
        <v>12640</v>
      </c>
      <c r="D7" s="2">
        <v>27518</v>
      </c>
      <c r="E7" s="2">
        <v>17223</v>
      </c>
      <c r="F7" s="2">
        <v>18198</v>
      </c>
      <c r="G7" s="2">
        <v>12261</v>
      </c>
      <c r="H7" s="2">
        <v>17267</v>
      </c>
      <c r="I7" s="2">
        <v>28847</v>
      </c>
      <c r="J7" s="2">
        <v>26590</v>
      </c>
      <c r="K7" s="2">
        <v>24142</v>
      </c>
      <c r="L7" s="2">
        <v>13529</v>
      </c>
      <c r="M7" s="2">
        <v>12962</v>
      </c>
      <c r="N7" s="15">
        <v>16008</v>
      </c>
    </row>
    <row r="8" spans="1:14">
      <c r="A8" s="14" t="s">
        <v>37</v>
      </c>
      <c r="B8" s="15" t="s">
        <v>10</v>
      </c>
      <c r="C8" s="16">
        <v>10396</v>
      </c>
      <c r="D8" s="2">
        <v>10293</v>
      </c>
      <c r="E8" s="2">
        <v>10462</v>
      </c>
      <c r="F8" s="2">
        <v>10149</v>
      </c>
      <c r="G8" s="2">
        <v>10491</v>
      </c>
      <c r="H8" s="2">
        <v>10552</v>
      </c>
      <c r="I8" s="2">
        <v>10990</v>
      </c>
      <c r="J8" s="2">
        <v>10572</v>
      </c>
      <c r="K8" s="2">
        <v>10345</v>
      </c>
      <c r="L8" s="2">
        <v>10837</v>
      </c>
      <c r="M8" s="2">
        <v>10731</v>
      </c>
      <c r="N8" s="15">
        <v>10712</v>
      </c>
    </row>
    <row r="9" spans="1:14" ht="16" thickBot="1">
      <c r="A9" s="14" t="s">
        <v>38</v>
      </c>
      <c r="B9" s="15" t="s">
        <v>10</v>
      </c>
      <c r="C9" s="16">
        <v>14160</v>
      </c>
      <c r="D9" s="2">
        <v>9368</v>
      </c>
      <c r="E9" s="2">
        <v>26980</v>
      </c>
      <c r="F9" s="2">
        <v>11198</v>
      </c>
      <c r="G9" s="2">
        <v>23599</v>
      </c>
      <c r="H9" s="2">
        <v>16583</v>
      </c>
      <c r="I9" s="2">
        <v>10875</v>
      </c>
      <c r="J9" s="2">
        <v>26526</v>
      </c>
      <c r="K9" s="2">
        <v>18783</v>
      </c>
      <c r="L9" s="2">
        <v>23580</v>
      </c>
      <c r="M9" s="2">
        <v>7694</v>
      </c>
      <c r="N9" s="15">
        <v>16302</v>
      </c>
    </row>
    <row r="10" spans="1:14">
      <c r="A10" s="10" t="s">
        <v>39</v>
      </c>
      <c r="B10" s="11" t="s">
        <v>14</v>
      </c>
      <c r="C10" s="12">
        <v>84978</v>
      </c>
      <c r="D10" s="13">
        <v>45741</v>
      </c>
      <c r="E10" s="13">
        <v>63942</v>
      </c>
      <c r="F10" s="13">
        <v>59013</v>
      </c>
      <c r="G10" s="13">
        <v>71262</v>
      </c>
      <c r="H10" s="13">
        <v>53094</v>
      </c>
      <c r="I10" s="13">
        <v>57474</v>
      </c>
      <c r="J10" s="13">
        <v>33087</v>
      </c>
      <c r="K10" s="13">
        <v>42831</v>
      </c>
      <c r="L10" s="13">
        <v>44421</v>
      </c>
      <c r="M10" s="13">
        <v>56367</v>
      </c>
      <c r="N10" s="11">
        <v>46338</v>
      </c>
    </row>
    <row r="11" spans="1:14" ht="16" thickBot="1">
      <c r="A11" s="18" t="s">
        <v>40</v>
      </c>
      <c r="B11" s="19" t="s">
        <v>14</v>
      </c>
      <c r="C11" s="20">
        <v>11342</v>
      </c>
      <c r="D11" s="21">
        <v>5468</v>
      </c>
      <c r="E11" s="21">
        <v>17151</v>
      </c>
      <c r="F11" s="21">
        <v>28757</v>
      </c>
      <c r="G11" s="21">
        <v>3778</v>
      </c>
      <c r="H11" s="21">
        <v>22634</v>
      </c>
      <c r="I11" s="21">
        <v>25749</v>
      </c>
      <c r="J11" s="21">
        <v>6167</v>
      </c>
      <c r="K11" s="21">
        <v>7983</v>
      </c>
      <c r="L11" s="21">
        <v>2592</v>
      </c>
      <c r="M11" s="21">
        <v>18003</v>
      </c>
      <c r="N11" s="19">
        <v>5766</v>
      </c>
    </row>
    <row r="14" spans="1:14" ht="16" thickBot="1"/>
    <row r="15" spans="1:14" ht="16" thickBot="1">
      <c r="A15" s="35" t="s">
        <v>43</v>
      </c>
      <c r="B15" s="23" t="s">
        <v>17</v>
      </c>
      <c r="C15" s="24" t="s">
        <v>18</v>
      </c>
      <c r="D15" s="24" t="s">
        <v>19</v>
      </c>
      <c r="E15" s="24" t="s">
        <v>20</v>
      </c>
      <c r="F15" s="24" t="s">
        <v>21</v>
      </c>
      <c r="G15" s="24" t="s">
        <v>22</v>
      </c>
      <c r="H15" s="24" t="s">
        <v>23</v>
      </c>
      <c r="I15" s="24" t="s">
        <v>24</v>
      </c>
      <c r="J15" s="24" t="s">
        <v>25</v>
      </c>
      <c r="K15" s="24" t="s">
        <v>26</v>
      </c>
      <c r="L15" s="24" t="s">
        <v>27</v>
      </c>
      <c r="M15" s="22" t="s">
        <v>28</v>
      </c>
    </row>
    <row r="16" spans="1:14">
      <c r="A16" s="12" t="s">
        <v>2</v>
      </c>
      <c r="B16" s="12">
        <f>SUM(C2:C6)</f>
        <v>112917</v>
      </c>
      <c r="C16" s="13">
        <f t="shared" ref="C16:L16" si="0">SUM(D2:D6)</f>
        <v>117031</v>
      </c>
      <c r="D16" s="13">
        <f t="shared" si="0"/>
        <v>53073</v>
      </c>
      <c r="E16" s="13">
        <f t="shared" si="0"/>
        <v>97363</v>
      </c>
      <c r="F16" s="13">
        <f t="shared" si="0"/>
        <v>85957</v>
      </c>
      <c r="G16" s="13">
        <f t="shared" si="0"/>
        <v>77173</v>
      </c>
      <c r="H16" s="13">
        <f t="shared" si="0"/>
        <v>87954</v>
      </c>
      <c r="I16" s="13">
        <f t="shared" si="0"/>
        <v>96249</v>
      </c>
      <c r="J16" s="13">
        <f t="shared" si="0"/>
        <v>90235</v>
      </c>
      <c r="K16" s="13">
        <f t="shared" si="0"/>
        <v>98895</v>
      </c>
      <c r="L16" s="13">
        <f t="shared" si="0"/>
        <v>93569</v>
      </c>
      <c r="M16" s="11">
        <f>SUM(N2:N6)</f>
        <v>100154</v>
      </c>
    </row>
    <row r="17" spans="1:14">
      <c r="A17" s="16" t="s">
        <v>10</v>
      </c>
      <c r="B17" s="16">
        <f>SUM(C7:C9)</f>
        <v>37196</v>
      </c>
      <c r="C17" s="2">
        <f t="shared" ref="C17:L17" si="1">SUM(D7:D9)</f>
        <v>47179</v>
      </c>
      <c r="D17" s="2">
        <f t="shared" si="1"/>
        <v>54665</v>
      </c>
      <c r="E17" s="2">
        <f t="shared" si="1"/>
        <v>39545</v>
      </c>
      <c r="F17" s="2">
        <f t="shared" si="1"/>
        <v>46351</v>
      </c>
      <c r="G17" s="2">
        <f t="shared" si="1"/>
        <v>44402</v>
      </c>
      <c r="H17" s="2">
        <f t="shared" si="1"/>
        <v>50712</v>
      </c>
      <c r="I17" s="2">
        <f t="shared" si="1"/>
        <v>63688</v>
      </c>
      <c r="J17" s="2">
        <f t="shared" si="1"/>
        <v>53270</v>
      </c>
      <c r="K17" s="2">
        <f t="shared" si="1"/>
        <v>47946</v>
      </c>
      <c r="L17" s="2">
        <f t="shared" si="1"/>
        <v>31387</v>
      </c>
      <c r="M17" s="15">
        <f>SUM(N7:N9)</f>
        <v>43022</v>
      </c>
    </row>
    <row r="18" spans="1:14" ht="16" thickBot="1">
      <c r="A18" s="20" t="s">
        <v>14</v>
      </c>
      <c r="B18" s="20">
        <f>SUM(C10:C11)</f>
        <v>96320</v>
      </c>
      <c r="C18" s="21">
        <f t="shared" ref="C18:M18" si="2">SUM(D10:D11)</f>
        <v>51209</v>
      </c>
      <c r="D18" s="21">
        <f t="shared" si="2"/>
        <v>81093</v>
      </c>
      <c r="E18" s="21">
        <f t="shared" si="2"/>
        <v>87770</v>
      </c>
      <c r="F18" s="21">
        <f t="shared" si="2"/>
        <v>75040</v>
      </c>
      <c r="G18" s="21">
        <f t="shared" si="2"/>
        <v>75728</v>
      </c>
      <c r="H18" s="21">
        <f t="shared" si="2"/>
        <v>83223</v>
      </c>
      <c r="I18" s="21">
        <f t="shared" si="2"/>
        <v>39254</v>
      </c>
      <c r="J18" s="21">
        <f t="shared" si="2"/>
        <v>50814</v>
      </c>
      <c r="K18" s="21">
        <f t="shared" si="2"/>
        <v>47013</v>
      </c>
      <c r="L18" s="21">
        <f t="shared" si="2"/>
        <v>74370</v>
      </c>
      <c r="M18" s="19">
        <f t="shared" si="2"/>
        <v>52104</v>
      </c>
    </row>
    <row r="22" spans="1:14" ht="16" thickBot="1"/>
    <row r="23" spans="1:14" ht="17" thickBot="1">
      <c r="A23" s="36" t="s">
        <v>29</v>
      </c>
      <c r="B23" s="37" t="s">
        <v>30</v>
      </c>
      <c r="C23" s="38" t="s">
        <v>17</v>
      </c>
      <c r="D23" s="39" t="s">
        <v>18</v>
      </c>
      <c r="E23" s="39" t="s">
        <v>19</v>
      </c>
      <c r="F23" s="39" t="s">
        <v>20</v>
      </c>
      <c r="G23" s="39" t="s">
        <v>21</v>
      </c>
      <c r="H23" s="39" t="s">
        <v>22</v>
      </c>
      <c r="I23" s="39" t="s">
        <v>23</v>
      </c>
      <c r="J23" s="39" t="s">
        <v>24</v>
      </c>
      <c r="K23" s="39" t="s">
        <v>25</v>
      </c>
      <c r="L23" s="39" t="s">
        <v>26</v>
      </c>
      <c r="M23" s="39" t="s">
        <v>27</v>
      </c>
      <c r="N23" s="37" t="s">
        <v>28</v>
      </c>
    </row>
    <row r="24" spans="1:14">
      <c r="A24" s="10" t="s">
        <v>39</v>
      </c>
      <c r="B24" s="10" t="s">
        <v>14</v>
      </c>
      <c r="C24" s="10">
        <v>84978</v>
      </c>
      <c r="D24" s="10">
        <v>45741</v>
      </c>
      <c r="E24" s="10">
        <v>63942</v>
      </c>
      <c r="F24" s="10">
        <v>59013</v>
      </c>
      <c r="G24" s="10">
        <v>71262</v>
      </c>
      <c r="H24" s="10">
        <v>53094</v>
      </c>
      <c r="I24" s="10">
        <v>57474</v>
      </c>
      <c r="J24" s="10">
        <v>33087</v>
      </c>
      <c r="K24" s="10">
        <v>42831</v>
      </c>
      <c r="L24" s="10">
        <v>44421</v>
      </c>
      <c r="M24" s="10">
        <v>56367</v>
      </c>
      <c r="N24" s="10">
        <v>46338</v>
      </c>
    </row>
    <row r="25" spans="1:14">
      <c r="A25" s="14" t="s">
        <v>31</v>
      </c>
      <c r="B25" s="14" t="s">
        <v>2</v>
      </c>
      <c r="C25" s="14">
        <v>12838</v>
      </c>
      <c r="D25" s="14">
        <v>17385</v>
      </c>
      <c r="E25" s="14">
        <v>15686</v>
      </c>
      <c r="F25" s="14">
        <v>20722</v>
      </c>
      <c r="G25" s="14">
        <v>13878</v>
      </c>
      <c r="H25" s="14">
        <v>7933</v>
      </c>
      <c r="I25" s="14">
        <v>19981</v>
      </c>
      <c r="J25" s="14">
        <v>28238</v>
      </c>
      <c r="K25" s="14">
        <v>21840</v>
      </c>
      <c r="L25" s="14">
        <v>8037</v>
      </c>
      <c r="M25" s="14">
        <v>15231</v>
      </c>
      <c r="N25" s="14">
        <v>7620</v>
      </c>
    </row>
    <row r="26" spans="1:14">
      <c r="A26" s="14" t="s">
        <v>40</v>
      </c>
      <c r="B26" s="14" t="s">
        <v>14</v>
      </c>
      <c r="C26" s="14">
        <v>11342</v>
      </c>
      <c r="D26" s="14">
        <v>5468</v>
      </c>
      <c r="E26" s="14">
        <v>17151</v>
      </c>
      <c r="F26" s="14">
        <v>28757</v>
      </c>
      <c r="G26" s="14">
        <v>3778</v>
      </c>
      <c r="H26" s="14">
        <v>22634</v>
      </c>
      <c r="I26" s="14">
        <v>25749</v>
      </c>
      <c r="J26" s="14">
        <v>6167</v>
      </c>
      <c r="K26" s="14">
        <v>7983</v>
      </c>
      <c r="L26" s="14">
        <v>2592</v>
      </c>
      <c r="M26" s="14">
        <v>18003</v>
      </c>
      <c r="N26" s="14">
        <v>5766</v>
      </c>
    </row>
    <row r="27" spans="1:14">
      <c r="A27" s="14" t="s">
        <v>36</v>
      </c>
      <c r="B27" s="14" t="s">
        <v>10</v>
      </c>
      <c r="C27" s="14">
        <v>12640</v>
      </c>
      <c r="D27" s="14">
        <v>27518</v>
      </c>
      <c r="E27" s="14">
        <v>17223</v>
      </c>
      <c r="F27" s="14">
        <v>18198</v>
      </c>
      <c r="G27" s="14">
        <v>12261</v>
      </c>
      <c r="H27" s="14">
        <v>17267</v>
      </c>
      <c r="I27" s="14">
        <v>28847</v>
      </c>
      <c r="J27" s="14">
        <v>26590</v>
      </c>
      <c r="K27" s="14">
        <v>24142</v>
      </c>
      <c r="L27" s="14">
        <v>13529</v>
      </c>
      <c r="M27" s="14">
        <v>12962</v>
      </c>
      <c r="N27" s="14">
        <v>16008</v>
      </c>
    </row>
    <row r="28" spans="1:14">
      <c r="A28" s="14" t="s">
        <v>32</v>
      </c>
      <c r="B28" s="14" t="s">
        <v>2</v>
      </c>
      <c r="C28" s="14">
        <v>23741</v>
      </c>
      <c r="D28" s="14">
        <v>27693</v>
      </c>
      <c r="E28" s="14">
        <v>7401</v>
      </c>
      <c r="F28" s="14">
        <v>22741</v>
      </c>
      <c r="G28" s="14">
        <v>11815</v>
      </c>
      <c r="H28" s="14">
        <v>13868</v>
      </c>
      <c r="I28" s="14">
        <v>15094</v>
      </c>
      <c r="J28" s="14">
        <v>16454</v>
      </c>
      <c r="K28" s="14">
        <v>27843</v>
      </c>
      <c r="L28" s="14">
        <v>20565</v>
      </c>
      <c r="M28" s="14">
        <v>21385</v>
      </c>
      <c r="N28" s="14">
        <v>10584</v>
      </c>
    </row>
    <row r="29" spans="1:14">
      <c r="A29" s="14" t="s">
        <v>37</v>
      </c>
      <c r="B29" s="14" t="s">
        <v>10</v>
      </c>
      <c r="C29" s="14">
        <v>10396</v>
      </c>
      <c r="D29" s="14">
        <v>10293</v>
      </c>
      <c r="E29" s="14">
        <v>10462</v>
      </c>
      <c r="F29" s="14">
        <v>10149</v>
      </c>
      <c r="G29" s="14">
        <v>10491</v>
      </c>
      <c r="H29" s="14">
        <v>10552</v>
      </c>
      <c r="I29" s="14">
        <v>10990</v>
      </c>
      <c r="J29" s="14">
        <v>10572</v>
      </c>
      <c r="K29" s="14">
        <v>10345</v>
      </c>
      <c r="L29" s="14">
        <v>10837</v>
      </c>
      <c r="M29" s="14">
        <v>10731</v>
      </c>
      <c r="N29" s="14">
        <v>10712</v>
      </c>
    </row>
    <row r="30" spans="1:14">
      <c r="A30" s="14" t="s">
        <v>33</v>
      </c>
      <c r="B30" s="14" t="s">
        <v>2</v>
      </c>
      <c r="C30" s="14">
        <v>25828</v>
      </c>
      <c r="D30" s="14">
        <v>18060</v>
      </c>
      <c r="E30" s="14">
        <v>9122</v>
      </c>
      <c r="F30" s="388">
        <v>9789</v>
      </c>
      <c r="G30" s="14">
        <v>17952</v>
      </c>
      <c r="H30" s="14">
        <v>19329</v>
      </c>
      <c r="I30" s="14">
        <v>26733</v>
      </c>
      <c r="J30" s="14">
        <v>17878</v>
      </c>
      <c r="K30" s="14">
        <v>7193</v>
      </c>
      <c r="L30" s="14">
        <v>20162</v>
      </c>
      <c r="M30" s="14">
        <v>15440</v>
      </c>
      <c r="N30" s="14">
        <v>23988</v>
      </c>
    </row>
    <row r="31" spans="1:14">
      <c r="A31" s="14" t="s">
        <v>38</v>
      </c>
      <c r="B31" s="14" t="s">
        <v>10</v>
      </c>
      <c r="C31" s="14">
        <v>14160</v>
      </c>
      <c r="D31" s="14">
        <v>9368</v>
      </c>
      <c r="E31" s="14">
        <v>26980</v>
      </c>
      <c r="F31" s="14">
        <v>11198</v>
      </c>
      <c r="G31" s="14">
        <v>23599</v>
      </c>
      <c r="H31" s="14">
        <v>16583</v>
      </c>
      <c r="I31" s="14">
        <v>10875</v>
      </c>
      <c r="J31" s="14">
        <v>26526</v>
      </c>
      <c r="K31" s="14">
        <v>18783</v>
      </c>
      <c r="L31" s="14">
        <v>23580</v>
      </c>
      <c r="M31" s="14">
        <v>7694</v>
      </c>
      <c r="N31" s="14">
        <v>16302</v>
      </c>
    </row>
    <row r="32" spans="1:14">
      <c r="A32" s="14" t="s">
        <v>34</v>
      </c>
      <c r="B32" s="14" t="s">
        <v>2</v>
      </c>
      <c r="C32" s="14">
        <v>28736</v>
      </c>
      <c r="D32" s="14">
        <v>25908</v>
      </c>
      <c r="E32" s="14">
        <v>13842</v>
      </c>
      <c r="F32" s="14">
        <v>23028</v>
      </c>
      <c r="G32" s="14">
        <v>23724</v>
      </c>
      <c r="H32" s="14">
        <v>24493</v>
      </c>
      <c r="I32" s="14">
        <v>17127</v>
      </c>
      <c r="J32" s="14">
        <v>24073</v>
      </c>
      <c r="K32" s="14">
        <v>22702</v>
      </c>
      <c r="L32" s="14">
        <v>21234</v>
      </c>
      <c r="M32" s="14">
        <v>25168</v>
      </c>
      <c r="N32" s="14">
        <v>28666</v>
      </c>
    </row>
    <row r="33" spans="1:14" ht="16" thickBot="1">
      <c r="A33" s="18" t="s">
        <v>35</v>
      </c>
      <c r="B33" s="18" t="s">
        <v>2</v>
      </c>
      <c r="C33" s="18">
        <v>21774</v>
      </c>
      <c r="D33" s="18">
        <v>27985</v>
      </c>
      <c r="E33" s="18">
        <v>7022</v>
      </c>
      <c r="F33" s="18">
        <v>21083</v>
      </c>
      <c r="G33" s="18">
        <v>18588</v>
      </c>
      <c r="H33" s="18">
        <v>11550</v>
      </c>
      <c r="I33" s="18">
        <v>9019</v>
      </c>
      <c r="J33" s="18">
        <v>9606</v>
      </c>
      <c r="K33" s="18">
        <v>10657</v>
      </c>
      <c r="L33" s="18">
        <v>28897</v>
      </c>
      <c r="M33" s="18">
        <v>16345</v>
      </c>
      <c r="N33" s="18">
        <v>29296</v>
      </c>
    </row>
    <row r="39" spans="1:14" ht="16" thickBot="1"/>
    <row r="40" spans="1:14" ht="17" thickBot="1">
      <c r="A40" s="36" t="s">
        <v>29</v>
      </c>
      <c r="B40" s="37" t="s">
        <v>30</v>
      </c>
      <c r="C40" s="38" t="s">
        <v>17</v>
      </c>
      <c r="D40" s="39" t="s">
        <v>18</v>
      </c>
      <c r="E40" s="39" t="s">
        <v>19</v>
      </c>
      <c r="F40" s="39" t="s">
        <v>20</v>
      </c>
      <c r="G40" s="39" t="s">
        <v>21</v>
      </c>
      <c r="H40" s="39" t="s">
        <v>22</v>
      </c>
      <c r="I40" s="39" t="s">
        <v>23</v>
      </c>
      <c r="J40" s="39" t="s">
        <v>24</v>
      </c>
      <c r="K40" s="39" t="s">
        <v>25</v>
      </c>
      <c r="L40" s="39" t="s">
        <v>26</v>
      </c>
      <c r="M40" s="39" t="s">
        <v>27</v>
      </c>
      <c r="N40" s="37" t="s">
        <v>28</v>
      </c>
    </row>
    <row r="41" spans="1:14" ht="16" thickBot="1">
      <c r="A41" s="10" t="s">
        <v>39</v>
      </c>
      <c r="B41" s="10" t="s">
        <v>14</v>
      </c>
      <c r="C41" s="10">
        <f>VLOOKUP($B41,'Cost Structure'!$B$2:$O$23,'Cost Structure'!D$1,0)</f>
        <v>44.742000000000004</v>
      </c>
      <c r="D41" s="10">
        <f>VLOOKUP($B41,'Cost Structure'!$B$2:$O$23,'Cost Structure'!E$1,0)</f>
        <v>47.192000000000007</v>
      </c>
      <c r="E41" s="10">
        <f>VLOOKUP($B41,'Cost Structure'!$B$2:$O$23,'Cost Structure'!F$1,0)</f>
        <v>48.172000000000004</v>
      </c>
      <c r="F41" s="10">
        <f>VLOOKUP($B41,'Cost Structure'!$B$2:$O$23,'Cost Structure'!G$1,0)</f>
        <v>44.952000000000005</v>
      </c>
      <c r="G41" s="10">
        <f>VLOOKUP($B41,'Cost Structure'!$B$2:$O$23,'Cost Structure'!H$1,0)</f>
        <v>48.732000000000006</v>
      </c>
      <c r="H41" s="10">
        <f>VLOOKUP($B41,'Cost Structure'!$B$2:$O$23,'Cost Structure'!I$1,0)</f>
        <v>40.972000000000001</v>
      </c>
      <c r="I41" s="10">
        <f>VLOOKUP($B41,'Cost Structure'!$B$2:$O$23,'Cost Structure'!J$1,0)</f>
        <v>45.402000000000008</v>
      </c>
      <c r="J41" s="10">
        <f>VLOOKUP($B41,'Cost Structure'!$B$2:$O$23,'Cost Structure'!K$1,0)</f>
        <v>49.202000000000005</v>
      </c>
      <c r="K41" s="10">
        <f>VLOOKUP($B41,'Cost Structure'!$B$2:$O$23,'Cost Structure'!L$1,0)</f>
        <v>45.382000000000005</v>
      </c>
      <c r="L41" s="10">
        <f>VLOOKUP($B41,'Cost Structure'!$B$2:$O$23,'Cost Structure'!M$1,0)</f>
        <v>46.522000000000006</v>
      </c>
      <c r="M41" s="10">
        <f>VLOOKUP($B41,'Cost Structure'!$B$2:$O$23,'Cost Structure'!N$1,0)</f>
        <v>42.762000000000008</v>
      </c>
      <c r="N41" s="10">
        <f>VLOOKUP($B41,'Cost Structure'!$B$2:$O$23,'Cost Structure'!O$1,0)</f>
        <v>42.962000000000003</v>
      </c>
    </row>
    <row r="42" spans="1:14" ht="16" thickBot="1">
      <c r="A42" s="14" t="s">
        <v>31</v>
      </c>
      <c r="B42" s="14" t="s">
        <v>2</v>
      </c>
      <c r="C42" s="10">
        <f>VLOOKUP($B42,'Cost Structure'!$B$2:$O$23,'Cost Structure'!D$1,0)</f>
        <v>42.252000000000002</v>
      </c>
      <c r="D42" s="10">
        <f>VLOOKUP($B42,'Cost Structure'!$B$2:$O$23,'Cost Structure'!E$1,0)</f>
        <v>39.862000000000002</v>
      </c>
      <c r="E42" s="10">
        <f>VLOOKUP($B42,'Cost Structure'!$B$2:$O$23,'Cost Structure'!F$1,0)</f>
        <v>39.922000000000004</v>
      </c>
      <c r="F42" s="10">
        <f>VLOOKUP($B42,'Cost Structure'!$B$2:$O$23,'Cost Structure'!G$1,0)</f>
        <v>44.312000000000005</v>
      </c>
      <c r="G42" s="10">
        <f>VLOOKUP($B42,'Cost Structure'!$B$2:$O$23,'Cost Structure'!H$1,0)</f>
        <v>42.862000000000002</v>
      </c>
      <c r="H42" s="10">
        <f>VLOOKUP($B42,'Cost Structure'!$B$2:$O$23,'Cost Structure'!I$1,0)</f>
        <v>42.752000000000002</v>
      </c>
      <c r="I42" s="10">
        <f>VLOOKUP($B42,'Cost Structure'!$B$2:$O$23,'Cost Structure'!J$1,0)</f>
        <v>43.592000000000006</v>
      </c>
      <c r="J42" s="10">
        <f>VLOOKUP($B42,'Cost Structure'!$B$2:$O$23,'Cost Structure'!K$1,0)</f>
        <v>41.102000000000004</v>
      </c>
      <c r="K42" s="10">
        <f>VLOOKUP($B42,'Cost Structure'!$B$2:$O$23,'Cost Structure'!L$1,0)</f>
        <v>44.062000000000005</v>
      </c>
      <c r="L42" s="10">
        <f>VLOOKUP($B42,'Cost Structure'!$B$2:$O$23,'Cost Structure'!M$1,0)</f>
        <v>42.521999999999998</v>
      </c>
      <c r="M42" s="10">
        <f>VLOOKUP($B42,'Cost Structure'!$B$2:$O$23,'Cost Structure'!N$1,0)</f>
        <v>40.782000000000004</v>
      </c>
      <c r="N42" s="10">
        <f>VLOOKUP($B42,'Cost Structure'!$B$2:$O$23,'Cost Structure'!O$1,0)</f>
        <v>42.282000000000004</v>
      </c>
    </row>
    <row r="43" spans="1:14" ht="16" thickBot="1">
      <c r="A43" s="14" t="s">
        <v>40</v>
      </c>
      <c r="B43" s="14" t="s">
        <v>14</v>
      </c>
      <c r="C43" s="10">
        <f>VLOOKUP($B43,'Cost Structure'!$B$2:$O$23,'Cost Structure'!D$1,0)</f>
        <v>44.742000000000004</v>
      </c>
      <c r="D43" s="10">
        <f>VLOOKUP($B43,'Cost Structure'!$B$2:$O$23,'Cost Structure'!E$1,0)</f>
        <v>47.192000000000007</v>
      </c>
      <c r="E43" s="10">
        <f>VLOOKUP($B43,'Cost Structure'!$B$2:$O$23,'Cost Structure'!F$1,0)</f>
        <v>48.172000000000004</v>
      </c>
      <c r="F43" s="10">
        <f>VLOOKUP($B43,'Cost Structure'!$B$2:$O$23,'Cost Structure'!G$1,0)</f>
        <v>44.952000000000005</v>
      </c>
      <c r="G43" s="10">
        <f>VLOOKUP($B43,'Cost Structure'!$B$2:$O$23,'Cost Structure'!H$1,0)</f>
        <v>48.732000000000006</v>
      </c>
      <c r="H43" s="10">
        <f>VLOOKUP($B43,'Cost Structure'!$B$2:$O$23,'Cost Structure'!I$1,0)</f>
        <v>40.972000000000001</v>
      </c>
      <c r="I43" s="10">
        <f>VLOOKUP($B43,'Cost Structure'!$B$2:$O$23,'Cost Structure'!J$1,0)</f>
        <v>45.402000000000008</v>
      </c>
      <c r="J43" s="10">
        <f>VLOOKUP($B43,'Cost Structure'!$B$2:$O$23,'Cost Structure'!K$1,0)</f>
        <v>49.202000000000005</v>
      </c>
      <c r="K43" s="10">
        <f>VLOOKUP($B43,'Cost Structure'!$B$2:$O$23,'Cost Structure'!L$1,0)</f>
        <v>45.382000000000005</v>
      </c>
      <c r="L43" s="10">
        <f>VLOOKUP($B43,'Cost Structure'!$B$2:$O$23,'Cost Structure'!M$1,0)</f>
        <v>46.522000000000006</v>
      </c>
      <c r="M43" s="10">
        <f>VLOOKUP($B43,'Cost Structure'!$B$2:$O$23,'Cost Structure'!N$1,0)</f>
        <v>42.762000000000008</v>
      </c>
      <c r="N43" s="10">
        <f>VLOOKUP($B43,'Cost Structure'!$B$2:$O$23,'Cost Structure'!O$1,0)</f>
        <v>42.962000000000003</v>
      </c>
    </row>
    <row r="44" spans="1:14" ht="16" thickBot="1">
      <c r="A44" s="14" t="s">
        <v>36</v>
      </c>
      <c r="B44" s="14" t="s">
        <v>10</v>
      </c>
      <c r="C44" s="10">
        <f>VLOOKUP($B44,'Cost Structure'!$B$2:$O$23,'Cost Structure'!D$1,0)</f>
        <v>39.852000000000004</v>
      </c>
      <c r="D44" s="10">
        <f>VLOOKUP($B44,'Cost Structure'!$B$2:$O$23,'Cost Structure'!E$1,0)</f>
        <v>42.462000000000003</v>
      </c>
      <c r="E44" s="10">
        <f>VLOOKUP($B44,'Cost Structure'!$B$2:$O$23,'Cost Structure'!F$1,0)</f>
        <v>43.122000000000007</v>
      </c>
      <c r="F44" s="10">
        <f>VLOOKUP($B44,'Cost Structure'!$B$2:$O$23,'Cost Structure'!G$1,0)</f>
        <v>40.112000000000002</v>
      </c>
      <c r="G44" s="10">
        <f>VLOOKUP($B44,'Cost Structure'!$B$2:$O$23,'Cost Structure'!H$1,0)</f>
        <v>43.062000000000005</v>
      </c>
      <c r="H44" s="10">
        <f>VLOOKUP($B44,'Cost Structure'!$B$2:$O$23,'Cost Structure'!I$1,0)</f>
        <v>36.552000000000007</v>
      </c>
      <c r="I44" s="10">
        <f>VLOOKUP($B44,'Cost Structure'!$B$2:$O$23,'Cost Structure'!J$1,0)</f>
        <v>39.992000000000004</v>
      </c>
      <c r="J44" s="10">
        <f>VLOOKUP($B44,'Cost Structure'!$B$2:$O$23,'Cost Structure'!K$1,0)</f>
        <v>43.902000000000008</v>
      </c>
      <c r="K44" s="10">
        <f>VLOOKUP($B44,'Cost Structure'!$B$2:$O$23,'Cost Structure'!L$1,0)</f>
        <v>39.862000000000002</v>
      </c>
      <c r="L44" s="10">
        <f>VLOOKUP($B44,'Cost Structure'!$B$2:$O$23,'Cost Structure'!M$1,0)</f>
        <v>41.322000000000003</v>
      </c>
      <c r="M44" s="10">
        <f>VLOOKUP($B44,'Cost Structure'!$B$2:$O$23,'Cost Structure'!N$1,0)</f>
        <v>37.982000000000006</v>
      </c>
      <c r="N44" s="10">
        <f>VLOOKUP($B44,'Cost Structure'!$B$2:$O$23,'Cost Structure'!O$1,0)</f>
        <v>38.282000000000004</v>
      </c>
    </row>
    <row r="45" spans="1:14" ht="16" thickBot="1">
      <c r="A45" s="14" t="s">
        <v>32</v>
      </c>
      <c r="B45" s="14" t="s">
        <v>2</v>
      </c>
      <c r="C45" s="10">
        <f>VLOOKUP($B45,'Cost Structure'!$B$2:$O$23,'Cost Structure'!D$1,0)</f>
        <v>42.252000000000002</v>
      </c>
      <c r="D45" s="10">
        <f>VLOOKUP($B45,'Cost Structure'!$B$2:$O$23,'Cost Structure'!E$1,0)</f>
        <v>39.862000000000002</v>
      </c>
      <c r="E45" s="10">
        <f>VLOOKUP($B45,'Cost Structure'!$B$2:$O$23,'Cost Structure'!F$1,0)</f>
        <v>39.922000000000004</v>
      </c>
      <c r="F45" s="10">
        <f>VLOOKUP($B45,'Cost Structure'!$B$2:$O$23,'Cost Structure'!G$1,0)</f>
        <v>44.312000000000005</v>
      </c>
      <c r="G45" s="10">
        <f>VLOOKUP($B45,'Cost Structure'!$B$2:$O$23,'Cost Structure'!H$1,0)</f>
        <v>42.862000000000002</v>
      </c>
      <c r="H45" s="10">
        <f>VLOOKUP($B45,'Cost Structure'!$B$2:$O$23,'Cost Structure'!I$1,0)</f>
        <v>42.752000000000002</v>
      </c>
      <c r="I45" s="10">
        <f>VLOOKUP($B45,'Cost Structure'!$B$2:$O$23,'Cost Structure'!J$1,0)</f>
        <v>43.592000000000006</v>
      </c>
      <c r="J45" s="10">
        <f>VLOOKUP($B45,'Cost Structure'!$B$2:$O$23,'Cost Structure'!K$1,0)</f>
        <v>41.102000000000004</v>
      </c>
      <c r="K45" s="10">
        <f>VLOOKUP($B45,'Cost Structure'!$B$2:$O$23,'Cost Structure'!L$1,0)</f>
        <v>44.062000000000005</v>
      </c>
      <c r="L45" s="10">
        <f>VLOOKUP($B45,'Cost Structure'!$B$2:$O$23,'Cost Structure'!M$1,0)</f>
        <v>42.521999999999998</v>
      </c>
      <c r="M45" s="10">
        <f>VLOOKUP($B45,'Cost Structure'!$B$2:$O$23,'Cost Structure'!N$1,0)</f>
        <v>40.782000000000004</v>
      </c>
      <c r="N45" s="10">
        <f>VLOOKUP($B45,'Cost Structure'!$B$2:$O$23,'Cost Structure'!O$1,0)</f>
        <v>42.282000000000004</v>
      </c>
    </row>
    <row r="46" spans="1:14" ht="16" thickBot="1">
      <c r="A46" s="14" t="s">
        <v>37</v>
      </c>
      <c r="B46" s="14" t="s">
        <v>10</v>
      </c>
      <c r="C46" s="10">
        <f>VLOOKUP($B46,'Cost Structure'!$B$2:$O$23,'Cost Structure'!D$1,0)</f>
        <v>39.852000000000004</v>
      </c>
      <c r="D46" s="10">
        <f>VLOOKUP($B46,'Cost Structure'!$B$2:$O$23,'Cost Structure'!E$1,0)</f>
        <v>42.462000000000003</v>
      </c>
      <c r="E46" s="10">
        <f>VLOOKUP($B46,'Cost Structure'!$B$2:$O$23,'Cost Structure'!F$1,0)</f>
        <v>43.122000000000007</v>
      </c>
      <c r="F46" s="10">
        <f>VLOOKUP($B46,'Cost Structure'!$B$2:$O$23,'Cost Structure'!G$1,0)</f>
        <v>40.112000000000002</v>
      </c>
      <c r="G46" s="10">
        <f>VLOOKUP($B46,'Cost Structure'!$B$2:$O$23,'Cost Structure'!H$1,0)</f>
        <v>43.062000000000005</v>
      </c>
      <c r="H46" s="10">
        <f>VLOOKUP($B46,'Cost Structure'!$B$2:$O$23,'Cost Structure'!I$1,0)</f>
        <v>36.552000000000007</v>
      </c>
      <c r="I46" s="10">
        <f>VLOOKUP($B46,'Cost Structure'!$B$2:$O$23,'Cost Structure'!J$1,0)</f>
        <v>39.992000000000004</v>
      </c>
      <c r="J46" s="10">
        <f>VLOOKUP($B46,'Cost Structure'!$B$2:$O$23,'Cost Structure'!K$1,0)</f>
        <v>43.902000000000008</v>
      </c>
      <c r="K46" s="10">
        <f>VLOOKUP($B46,'Cost Structure'!$B$2:$O$23,'Cost Structure'!L$1,0)</f>
        <v>39.862000000000002</v>
      </c>
      <c r="L46" s="10">
        <f>VLOOKUP($B46,'Cost Structure'!$B$2:$O$23,'Cost Structure'!M$1,0)</f>
        <v>41.322000000000003</v>
      </c>
      <c r="M46" s="10">
        <f>VLOOKUP($B46,'Cost Structure'!$B$2:$O$23,'Cost Structure'!N$1,0)</f>
        <v>37.982000000000006</v>
      </c>
      <c r="N46" s="10">
        <f>VLOOKUP($B46,'Cost Structure'!$B$2:$O$23,'Cost Structure'!O$1,0)</f>
        <v>38.282000000000004</v>
      </c>
    </row>
    <row r="47" spans="1:14" ht="16" thickBot="1">
      <c r="A47" s="14" t="s">
        <v>33</v>
      </c>
      <c r="B47" s="14" t="s">
        <v>2</v>
      </c>
      <c r="C47" s="10">
        <f>VLOOKUP($B47,'Cost Structure'!$B$2:$O$23,'Cost Structure'!D$1,0)</f>
        <v>42.252000000000002</v>
      </c>
      <c r="D47" s="10">
        <f>VLOOKUP($B47,'Cost Structure'!$B$2:$O$23,'Cost Structure'!E$1,0)</f>
        <v>39.862000000000002</v>
      </c>
      <c r="E47" s="10">
        <f>VLOOKUP($B47,'Cost Structure'!$B$2:$O$23,'Cost Structure'!F$1,0)</f>
        <v>39.922000000000004</v>
      </c>
      <c r="F47" s="10">
        <f>VLOOKUP($B47,'Cost Structure'!$B$2:$O$23,'Cost Structure'!G$1,0)</f>
        <v>44.312000000000005</v>
      </c>
      <c r="G47" s="10">
        <f>VLOOKUP($B47,'Cost Structure'!$B$2:$O$23,'Cost Structure'!H$1,0)</f>
        <v>42.862000000000002</v>
      </c>
      <c r="H47" s="10">
        <f>VLOOKUP($B47,'Cost Structure'!$B$2:$O$23,'Cost Structure'!I$1,0)</f>
        <v>42.752000000000002</v>
      </c>
      <c r="I47" s="10">
        <f>VLOOKUP($B47,'Cost Structure'!$B$2:$O$23,'Cost Structure'!J$1,0)</f>
        <v>43.592000000000006</v>
      </c>
      <c r="J47" s="10">
        <f>VLOOKUP($B47,'Cost Structure'!$B$2:$O$23,'Cost Structure'!K$1,0)</f>
        <v>41.102000000000004</v>
      </c>
      <c r="K47" s="10">
        <f>VLOOKUP($B47,'Cost Structure'!$B$2:$O$23,'Cost Structure'!L$1,0)</f>
        <v>44.062000000000005</v>
      </c>
      <c r="L47" s="10">
        <f>VLOOKUP($B47,'Cost Structure'!$B$2:$O$23,'Cost Structure'!M$1,0)</f>
        <v>42.521999999999998</v>
      </c>
      <c r="M47" s="10">
        <f>VLOOKUP($B47,'Cost Structure'!$B$2:$O$23,'Cost Structure'!N$1,0)</f>
        <v>40.782000000000004</v>
      </c>
      <c r="N47" s="10">
        <f>VLOOKUP($B47,'Cost Structure'!$B$2:$O$23,'Cost Structure'!O$1,0)</f>
        <v>42.282000000000004</v>
      </c>
    </row>
    <row r="48" spans="1:14" ht="16" thickBot="1">
      <c r="A48" s="14" t="s">
        <v>38</v>
      </c>
      <c r="B48" s="14" t="s">
        <v>10</v>
      </c>
      <c r="C48" s="10">
        <f>VLOOKUP($B48,'Cost Structure'!$B$2:$O$23,'Cost Structure'!D$1,0)</f>
        <v>39.852000000000004</v>
      </c>
      <c r="D48" s="10">
        <f>VLOOKUP($B48,'Cost Structure'!$B$2:$O$23,'Cost Structure'!E$1,0)</f>
        <v>42.462000000000003</v>
      </c>
      <c r="E48" s="10">
        <f>VLOOKUP($B48,'Cost Structure'!$B$2:$O$23,'Cost Structure'!F$1,0)</f>
        <v>43.122000000000007</v>
      </c>
      <c r="F48" s="10">
        <f>VLOOKUP($B48,'Cost Structure'!$B$2:$O$23,'Cost Structure'!G$1,0)</f>
        <v>40.112000000000002</v>
      </c>
      <c r="G48" s="10">
        <f>VLOOKUP($B48,'Cost Structure'!$B$2:$O$23,'Cost Structure'!H$1,0)</f>
        <v>43.062000000000005</v>
      </c>
      <c r="H48" s="10">
        <f>VLOOKUP($B48,'Cost Structure'!$B$2:$O$23,'Cost Structure'!I$1,0)</f>
        <v>36.552000000000007</v>
      </c>
      <c r="I48" s="10">
        <f>VLOOKUP($B48,'Cost Structure'!$B$2:$O$23,'Cost Structure'!J$1,0)</f>
        <v>39.992000000000004</v>
      </c>
      <c r="J48" s="10">
        <f>VLOOKUP($B48,'Cost Structure'!$B$2:$O$23,'Cost Structure'!K$1,0)</f>
        <v>43.902000000000008</v>
      </c>
      <c r="K48" s="10">
        <f>VLOOKUP($B48,'Cost Structure'!$B$2:$O$23,'Cost Structure'!L$1,0)</f>
        <v>39.862000000000002</v>
      </c>
      <c r="L48" s="10">
        <f>VLOOKUP($B48,'Cost Structure'!$B$2:$O$23,'Cost Structure'!M$1,0)</f>
        <v>41.322000000000003</v>
      </c>
      <c r="M48" s="10">
        <f>VLOOKUP($B48,'Cost Structure'!$B$2:$O$23,'Cost Structure'!N$1,0)</f>
        <v>37.982000000000006</v>
      </c>
      <c r="N48" s="10">
        <f>VLOOKUP($B48,'Cost Structure'!$B$2:$O$23,'Cost Structure'!O$1,0)</f>
        <v>38.282000000000004</v>
      </c>
    </row>
    <row r="49" spans="1:14" ht="16" thickBot="1">
      <c r="A49" s="14" t="s">
        <v>34</v>
      </c>
      <c r="B49" s="14" t="s">
        <v>2</v>
      </c>
      <c r="C49" s="10">
        <f>VLOOKUP($B49,'Cost Structure'!$B$2:$O$23,'Cost Structure'!D$1,0)</f>
        <v>42.252000000000002</v>
      </c>
      <c r="D49" s="10">
        <f>VLOOKUP($B49,'Cost Structure'!$B$2:$O$23,'Cost Structure'!E$1,0)</f>
        <v>39.862000000000002</v>
      </c>
      <c r="E49" s="10">
        <f>VLOOKUP($B49,'Cost Structure'!$B$2:$O$23,'Cost Structure'!F$1,0)</f>
        <v>39.922000000000004</v>
      </c>
      <c r="F49" s="10">
        <f>VLOOKUP($B49,'Cost Structure'!$B$2:$O$23,'Cost Structure'!G$1,0)</f>
        <v>44.312000000000005</v>
      </c>
      <c r="G49" s="10">
        <f>VLOOKUP($B49,'Cost Structure'!$B$2:$O$23,'Cost Structure'!H$1,0)</f>
        <v>42.862000000000002</v>
      </c>
      <c r="H49" s="10">
        <f>VLOOKUP($B49,'Cost Structure'!$B$2:$O$23,'Cost Structure'!I$1,0)</f>
        <v>42.752000000000002</v>
      </c>
      <c r="I49" s="10">
        <f>VLOOKUP($B49,'Cost Structure'!$B$2:$O$23,'Cost Structure'!J$1,0)</f>
        <v>43.592000000000006</v>
      </c>
      <c r="J49" s="10">
        <f>VLOOKUP($B49,'Cost Structure'!$B$2:$O$23,'Cost Structure'!K$1,0)</f>
        <v>41.102000000000004</v>
      </c>
      <c r="K49" s="10">
        <f>VLOOKUP($B49,'Cost Structure'!$B$2:$O$23,'Cost Structure'!L$1,0)</f>
        <v>44.062000000000005</v>
      </c>
      <c r="L49" s="10">
        <f>VLOOKUP($B49,'Cost Structure'!$B$2:$O$23,'Cost Structure'!M$1,0)</f>
        <v>42.521999999999998</v>
      </c>
      <c r="M49" s="10">
        <f>VLOOKUP($B49,'Cost Structure'!$B$2:$O$23,'Cost Structure'!N$1,0)</f>
        <v>40.782000000000004</v>
      </c>
      <c r="N49" s="10">
        <f>VLOOKUP($B49,'Cost Structure'!$B$2:$O$23,'Cost Structure'!O$1,0)</f>
        <v>42.282000000000004</v>
      </c>
    </row>
    <row r="50" spans="1:14" ht="16" thickBot="1">
      <c r="A50" s="18" t="s">
        <v>35</v>
      </c>
      <c r="B50" s="18" t="s">
        <v>2</v>
      </c>
      <c r="C50" s="10">
        <f>VLOOKUP($B50,'Cost Structure'!$B$2:$O$23,'Cost Structure'!D$1,0)</f>
        <v>42.252000000000002</v>
      </c>
      <c r="D50" s="10">
        <f>VLOOKUP($B50,'Cost Structure'!$B$2:$O$23,'Cost Structure'!E$1,0)</f>
        <v>39.862000000000002</v>
      </c>
      <c r="E50" s="10">
        <f>VLOOKUP($B50,'Cost Structure'!$B$2:$O$23,'Cost Structure'!F$1,0)</f>
        <v>39.922000000000004</v>
      </c>
      <c r="F50" s="10">
        <f>VLOOKUP($B50,'Cost Structure'!$B$2:$O$23,'Cost Structure'!G$1,0)</f>
        <v>44.312000000000005</v>
      </c>
      <c r="G50" s="10">
        <f>VLOOKUP($B50,'Cost Structure'!$B$2:$O$23,'Cost Structure'!H$1,0)</f>
        <v>42.862000000000002</v>
      </c>
      <c r="H50" s="10">
        <f>VLOOKUP($B50,'Cost Structure'!$B$2:$O$23,'Cost Structure'!I$1,0)</f>
        <v>42.752000000000002</v>
      </c>
      <c r="I50" s="10">
        <f>VLOOKUP($B50,'Cost Structure'!$B$2:$O$23,'Cost Structure'!J$1,0)</f>
        <v>43.592000000000006</v>
      </c>
      <c r="J50" s="10">
        <f>VLOOKUP($B50,'Cost Structure'!$B$2:$O$23,'Cost Structure'!K$1,0)</f>
        <v>41.102000000000004</v>
      </c>
      <c r="K50" s="10">
        <f>VLOOKUP($B50,'Cost Structure'!$B$2:$O$23,'Cost Structure'!L$1,0)</f>
        <v>44.062000000000005</v>
      </c>
      <c r="L50" s="10">
        <f>VLOOKUP($B50,'Cost Structure'!$B$2:$O$23,'Cost Structure'!M$1,0)</f>
        <v>42.521999999999998</v>
      </c>
      <c r="M50" s="10">
        <f>VLOOKUP($B50,'Cost Structure'!$B$2:$O$23,'Cost Structure'!N$1,0)</f>
        <v>40.782000000000004</v>
      </c>
      <c r="N50" s="10">
        <f>VLOOKUP($B50,'Cost Structure'!$B$2:$O$23,'Cost Structure'!O$1,0)</f>
        <v>42.282000000000004</v>
      </c>
    </row>
  </sheetData>
  <autoFilter ref="A23:N32" xr:uid="{009D05FA-6176-438A-BD6A-B0A61740D488}">
    <sortState xmlns:xlrd2="http://schemas.microsoft.com/office/spreadsheetml/2017/richdata2" ref="A24:N32">
      <sortCondition ref="A23:A32"/>
    </sortState>
  </autoFilter>
  <pageMargins left="0.7" right="0.7" top="0.75" bottom="0.75" header="0.3" footer="0.3"/>
  <ignoredErrors>
    <ignoredError sqref="B16 C16:M18 B17:B18" formulaRange="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1D87C-7AAC-4391-89E2-B073ED10F4E3}">
  <sheetPr codeName="Sheet101"/>
  <dimension ref="A1:O23"/>
  <sheetViews>
    <sheetView workbookViewId="0"/>
  </sheetViews>
  <sheetFormatPr baseColWidth="10" defaultColWidth="8.83203125" defaultRowHeight="15"/>
  <cols>
    <col min="1" max="1" width="15.33203125" bestFit="1" customWidth="1"/>
    <col min="3" max="14" width="10.33203125" bestFit="1" customWidth="1"/>
  </cols>
  <sheetData>
    <row r="1" spans="1:15">
      <c r="A1" s="51" t="s">
        <v>29</v>
      </c>
      <c r="B1" s="51" t="s">
        <v>30</v>
      </c>
      <c r="C1" s="51" t="s">
        <v>17</v>
      </c>
      <c r="D1" s="51" t="s">
        <v>18</v>
      </c>
      <c r="E1" s="51" t="s">
        <v>19</v>
      </c>
      <c r="F1" s="51" t="s">
        <v>20</v>
      </c>
      <c r="G1" s="51" t="s">
        <v>21</v>
      </c>
      <c r="H1" s="51" t="s">
        <v>22</v>
      </c>
      <c r="I1" s="51" t="s">
        <v>23</v>
      </c>
      <c r="J1" s="51" t="s">
        <v>24</v>
      </c>
      <c r="K1" s="51" t="s">
        <v>25</v>
      </c>
      <c r="L1" s="51" t="s">
        <v>26</v>
      </c>
      <c r="M1" s="51" t="s">
        <v>27</v>
      </c>
      <c r="N1" s="51" t="s">
        <v>28</v>
      </c>
    </row>
    <row r="2" spans="1:15">
      <c r="A2" s="52" t="s">
        <v>39</v>
      </c>
      <c r="B2" s="52" t="s">
        <v>14</v>
      </c>
      <c r="C2" s="53">
        <v>50</v>
      </c>
      <c r="D2" s="53">
        <v>53</v>
      </c>
      <c r="E2" s="53">
        <v>59</v>
      </c>
      <c r="F2" s="53">
        <v>48</v>
      </c>
      <c r="G2" s="53">
        <v>53</v>
      </c>
      <c r="H2" s="53">
        <v>66</v>
      </c>
      <c r="I2" s="53">
        <v>55</v>
      </c>
      <c r="J2" s="53">
        <v>50</v>
      </c>
      <c r="K2" s="53">
        <v>49</v>
      </c>
      <c r="L2" s="53">
        <v>60</v>
      </c>
      <c r="M2" s="53">
        <v>62</v>
      </c>
      <c r="N2" s="53">
        <v>45</v>
      </c>
    </row>
    <row r="3" spans="1:15">
      <c r="A3" s="52" t="s">
        <v>31</v>
      </c>
      <c r="B3" s="52" t="s">
        <v>2</v>
      </c>
      <c r="C3" s="53">
        <v>68</v>
      </c>
      <c r="D3" s="53">
        <v>59</v>
      </c>
      <c r="E3" s="53">
        <v>67</v>
      </c>
      <c r="F3" s="53">
        <v>69</v>
      </c>
      <c r="G3" s="53">
        <v>65</v>
      </c>
      <c r="H3" s="53">
        <v>65</v>
      </c>
      <c r="I3" s="53">
        <v>51</v>
      </c>
      <c r="J3" s="53">
        <v>48</v>
      </c>
      <c r="K3" s="53">
        <v>64</v>
      </c>
      <c r="L3" s="53">
        <v>53</v>
      </c>
      <c r="M3" s="53">
        <v>50</v>
      </c>
      <c r="N3" s="53">
        <v>60</v>
      </c>
    </row>
    <row r="4" spans="1:15">
      <c r="A4" s="52" t="s">
        <v>40</v>
      </c>
      <c r="B4" s="52" t="s">
        <v>14</v>
      </c>
      <c r="C4" s="53">
        <v>53</v>
      </c>
      <c r="D4" s="53">
        <v>50</v>
      </c>
      <c r="E4" s="53">
        <v>71</v>
      </c>
      <c r="F4" s="53">
        <v>51</v>
      </c>
      <c r="G4" s="53">
        <v>46</v>
      </c>
      <c r="H4" s="53">
        <v>70</v>
      </c>
      <c r="I4" s="53">
        <v>68</v>
      </c>
      <c r="J4" s="53">
        <v>72</v>
      </c>
      <c r="K4" s="53">
        <v>48</v>
      </c>
      <c r="L4" s="53">
        <v>67</v>
      </c>
      <c r="M4" s="53">
        <v>47</v>
      </c>
      <c r="N4" s="53">
        <v>64</v>
      </c>
    </row>
    <row r="5" spans="1:15">
      <c r="A5" s="52" t="s">
        <v>36</v>
      </c>
      <c r="B5" s="52" t="s">
        <v>10</v>
      </c>
      <c r="C5" s="53">
        <v>51</v>
      </c>
      <c r="D5" s="53">
        <v>49</v>
      </c>
      <c r="E5" s="53">
        <v>50</v>
      </c>
      <c r="F5" s="53">
        <v>59</v>
      </c>
      <c r="G5" s="53">
        <v>69</v>
      </c>
      <c r="H5" s="53">
        <v>53</v>
      </c>
      <c r="I5" s="53">
        <v>69</v>
      </c>
      <c r="J5" s="53">
        <v>55</v>
      </c>
      <c r="K5" s="53">
        <v>58</v>
      </c>
      <c r="L5" s="53">
        <v>70</v>
      </c>
      <c r="M5" s="53">
        <v>64</v>
      </c>
      <c r="N5" s="53">
        <v>61</v>
      </c>
    </row>
    <row r="6" spans="1:15">
      <c r="A6" s="52" t="s">
        <v>32</v>
      </c>
      <c r="B6" s="52" t="s">
        <v>2</v>
      </c>
      <c r="C6" s="53">
        <v>47</v>
      </c>
      <c r="D6" s="53">
        <v>66</v>
      </c>
      <c r="E6" s="53">
        <v>57</v>
      </c>
      <c r="F6" s="53">
        <v>55</v>
      </c>
      <c r="G6" s="53">
        <v>48</v>
      </c>
      <c r="H6" s="53">
        <v>58</v>
      </c>
      <c r="I6" s="53">
        <v>50</v>
      </c>
      <c r="J6" s="53">
        <v>46</v>
      </c>
      <c r="K6" s="53">
        <v>71</v>
      </c>
      <c r="L6" s="53">
        <v>68</v>
      </c>
      <c r="M6" s="53">
        <v>52</v>
      </c>
      <c r="N6" s="53">
        <v>64</v>
      </c>
    </row>
    <row r="7" spans="1:15">
      <c r="A7" s="52" t="s">
        <v>37</v>
      </c>
      <c r="B7" s="52" t="s">
        <v>10</v>
      </c>
      <c r="C7" s="53">
        <v>53</v>
      </c>
      <c r="D7" s="53">
        <v>47</v>
      </c>
      <c r="E7" s="53">
        <v>56</v>
      </c>
      <c r="F7" s="53">
        <v>55</v>
      </c>
      <c r="G7" s="53">
        <v>68</v>
      </c>
      <c r="H7" s="53">
        <v>64</v>
      </c>
      <c r="I7" s="53">
        <v>61</v>
      </c>
      <c r="J7" s="53">
        <v>67</v>
      </c>
      <c r="K7" s="53">
        <v>66</v>
      </c>
      <c r="L7" s="53">
        <v>45</v>
      </c>
      <c r="M7" s="53">
        <v>67</v>
      </c>
      <c r="N7" s="53">
        <v>53</v>
      </c>
    </row>
    <row r="8" spans="1:15">
      <c r="A8" s="52" t="s">
        <v>33</v>
      </c>
      <c r="B8" s="52" t="s">
        <v>2</v>
      </c>
      <c r="C8" s="53">
        <v>68</v>
      </c>
      <c r="D8" s="53">
        <v>71</v>
      </c>
      <c r="E8" s="53">
        <v>49</v>
      </c>
      <c r="F8" s="54">
        <v>45</v>
      </c>
      <c r="G8" s="53">
        <v>52</v>
      </c>
      <c r="H8" s="53">
        <v>60</v>
      </c>
      <c r="I8" s="53">
        <v>66</v>
      </c>
      <c r="J8" s="53">
        <v>65</v>
      </c>
      <c r="K8" s="53">
        <v>68</v>
      </c>
      <c r="L8" s="53">
        <v>57</v>
      </c>
      <c r="M8" s="53">
        <v>49</v>
      </c>
      <c r="N8" s="53">
        <v>50</v>
      </c>
    </row>
    <row r="9" spans="1:15">
      <c r="A9" s="52" t="s">
        <v>38</v>
      </c>
      <c r="B9" s="52" t="s">
        <v>10</v>
      </c>
      <c r="C9" s="53">
        <v>71</v>
      </c>
      <c r="D9" s="53">
        <v>58</v>
      </c>
      <c r="E9" s="53">
        <v>52</v>
      </c>
      <c r="F9" s="53">
        <v>60</v>
      </c>
      <c r="G9" s="53">
        <v>59</v>
      </c>
      <c r="H9" s="53">
        <v>71</v>
      </c>
      <c r="I9" s="53">
        <v>48</v>
      </c>
      <c r="J9" s="53">
        <v>61</v>
      </c>
      <c r="K9" s="53">
        <v>56</v>
      </c>
      <c r="L9" s="53">
        <v>59</v>
      </c>
      <c r="M9" s="53">
        <v>54</v>
      </c>
      <c r="N9" s="53">
        <v>66</v>
      </c>
    </row>
    <row r="10" spans="1:15">
      <c r="A10" s="52" t="s">
        <v>34</v>
      </c>
      <c r="B10" s="52" t="s">
        <v>2</v>
      </c>
      <c r="C10" s="53">
        <v>64</v>
      </c>
      <c r="D10" s="53">
        <v>58</v>
      </c>
      <c r="E10" s="53">
        <v>48</v>
      </c>
      <c r="F10" s="53">
        <v>72</v>
      </c>
      <c r="G10" s="53">
        <v>52</v>
      </c>
      <c r="H10" s="53">
        <v>67</v>
      </c>
      <c r="I10" s="53">
        <v>53</v>
      </c>
      <c r="J10" s="53">
        <v>54</v>
      </c>
      <c r="K10" s="53">
        <v>64</v>
      </c>
      <c r="L10" s="53">
        <v>53</v>
      </c>
      <c r="M10" s="53">
        <v>49</v>
      </c>
      <c r="N10" s="53">
        <v>61</v>
      </c>
    </row>
    <row r="11" spans="1:15">
      <c r="A11" s="52" t="s">
        <v>35</v>
      </c>
      <c r="B11" s="52" t="s">
        <v>2</v>
      </c>
      <c r="C11" s="53">
        <v>51</v>
      </c>
      <c r="D11" s="53">
        <v>72</v>
      </c>
      <c r="E11" s="53">
        <v>53</v>
      </c>
      <c r="F11" s="53">
        <v>52</v>
      </c>
      <c r="G11" s="53">
        <v>72</v>
      </c>
      <c r="H11" s="53">
        <v>52</v>
      </c>
      <c r="I11" s="53">
        <v>64</v>
      </c>
      <c r="J11" s="53">
        <v>63</v>
      </c>
      <c r="K11" s="53">
        <v>52</v>
      </c>
      <c r="L11" s="53">
        <v>55</v>
      </c>
      <c r="M11" s="53">
        <v>68</v>
      </c>
      <c r="N11" s="53">
        <v>56</v>
      </c>
    </row>
    <row r="14" spans="1:15">
      <c r="B14" s="52" t="s">
        <v>39</v>
      </c>
      <c r="C14" s="52" t="s">
        <v>14</v>
      </c>
      <c r="D14" s="144">
        <f>(D2-C2)/C2</f>
        <v>0.06</v>
      </c>
      <c r="E14" s="144">
        <f>(E2-D2)/D2</f>
        <v>0.11320754716981132</v>
      </c>
      <c r="F14" s="144">
        <f t="shared" ref="F14:N14" si="0">(F2-E2)/E2</f>
        <v>-0.1864406779661017</v>
      </c>
      <c r="G14" s="144">
        <f t="shared" si="0"/>
        <v>0.10416666666666667</v>
      </c>
      <c r="H14" s="144">
        <f t="shared" si="0"/>
        <v>0.24528301886792453</v>
      </c>
      <c r="I14" s="144">
        <f t="shared" si="0"/>
        <v>-0.16666666666666666</v>
      </c>
      <c r="J14" s="144">
        <f t="shared" si="0"/>
        <v>-9.0909090909090912E-2</v>
      </c>
      <c r="K14" s="144">
        <f t="shared" si="0"/>
        <v>-0.02</v>
      </c>
      <c r="L14" s="144">
        <f t="shared" si="0"/>
        <v>0.22448979591836735</v>
      </c>
      <c r="M14" s="144">
        <f t="shared" si="0"/>
        <v>3.3333333333333333E-2</v>
      </c>
      <c r="N14" s="144">
        <f t="shared" si="0"/>
        <v>-0.27419354838709675</v>
      </c>
      <c r="O14" s="144"/>
    </row>
    <row r="15" spans="1:15">
      <c r="B15" s="52" t="s">
        <v>31</v>
      </c>
      <c r="C15" s="52" t="s">
        <v>2</v>
      </c>
      <c r="D15" s="144">
        <f t="shared" ref="D15:E23" si="1">(D3-C3)/C3</f>
        <v>-0.13235294117647059</v>
      </c>
      <c r="E15" s="144">
        <f t="shared" si="1"/>
        <v>0.13559322033898305</v>
      </c>
      <c r="F15" s="144">
        <f t="shared" ref="F15:N15" si="2">(F3-E3)/E3</f>
        <v>2.9850746268656716E-2</v>
      </c>
      <c r="G15" s="144">
        <f t="shared" si="2"/>
        <v>-5.7971014492753624E-2</v>
      </c>
      <c r="H15" s="144">
        <f t="shared" si="2"/>
        <v>0</v>
      </c>
      <c r="I15" s="144">
        <f t="shared" si="2"/>
        <v>-0.2153846153846154</v>
      </c>
      <c r="J15" s="144">
        <f t="shared" si="2"/>
        <v>-5.8823529411764705E-2</v>
      </c>
      <c r="K15" s="144">
        <f t="shared" si="2"/>
        <v>0.33333333333333331</v>
      </c>
      <c r="L15" s="144">
        <f t="shared" si="2"/>
        <v>-0.171875</v>
      </c>
      <c r="M15" s="144">
        <f t="shared" si="2"/>
        <v>-5.6603773584905662E-2</v>
      </c>
      <c r="N15" s="144">
        <f t="shared" si="2"/>
        <v>0.2</v>
      </c>
      <c r="O15" s="144"/>
    </row>
    <row r="16" spans="1:15">
      <c r="B16" s="52" t="s">
        <v>40</v>
      </c>
      <c r="C16" s="52" t="s">
        <v>14</v>
      </c>
      <c r="D16" s="144">
        <f t="shared" si="1"/>
        <v>-5.6603773584905662E-2</v>
      </c>
      <c r="E16" s="144">
        <f t="shared" si="1"/>
        <v>0.42</v>
      </c>
      <c r="F16" s="144">
        <f t="shared" ref="F16:N16" si="3">(F4-E4)/E4</f>
        <v>-0.28169014084507044</v>
      </c>
      <c r="G16" s="144">
        <f t="shared" si="3"/>
        <v>-9.8039215686274508E-2</v>
      </c>
      <c r="H16" s="144">
        <f t="shared" si="3"/>
        <v>0.52173913043478259</v>
      </c>
      <c r="I16" s="144">
        <f t="shared" si="3"/>
        <v>-2.8571428571428571E-2</v>
      </c>
      <c r="J16" s="144">
        <f t="shared" si="3"/>
        <v>5.8823529411764705E-2</v>
      </c>
      <c r="K16" s="144">
        <f t="shared" si="3"/>
        <v>-0.33333333333333331</v>
      </c>
      <c r="L16" s="144">
        <f t="shared" si="3"/>
        <v>0.39583333333333331</v>
      </c>
      <c r="M16" s="144">
        <f t="shared" si="3"/>
        <v>-0.29850746268656714</v>
      </c>
      <c r="N16" s="144">
        <f t="shared" si="3"/>
        <v>0.36170212765957449</v>
      </c>
      <c r="O16" s="144"/>
    </row>
    <row r="17" spans="2:15">
      <c r="B17" s="52" t="s">
        <v>36</v>
      </c>
      <c r="C17" s="52" t="s">
        <v>10</v>
      </c>
      <c r="D17" s="144">
        <f t="shared" si="1"/>
        <v>-3.9215686274509803E-2</v>
      </c>
      <c r="E17" s="144">
        <f t="shared" si="1"/>
        <v>2.0408163265306121E-2</v>
      </c>
      <c r="F17" s="144">
        <f t="shared" ref="F17:N17" si="4">(F5-E5)/E5</f>
        <v>0.18</v>
      </c>
      <c r="G17" s="144">
        <f t="shared" si="4"/>
        <v>0.16949152542372881</v>
      </c>
      <c r="H17" s="144">
        <f t="shared" si="4"/>
        <v>-0.2318840579710145</v>
      </c>
      <c r="I17" s="144">
        <f t="shared" si="4"/>
        <v>0.30188679245283018</v>
      </c>
      <c r="J17" s="144">
        <f t="shared" si="4"/>
        <v>-0.20289855072463769</v>
      </c>
      <c r="K17" s="144">
        <f t="shared" si="4"/>
        <v>5.4545454545454543E-2</v>
      </c>
      <c r="L17" s="144">
        <f t="shared" si="4"/>
        <v>0.20689655172413793</v>
      </c>
      <c r="M17" s="144">
        <f t="shared" si="4"/>
        <v>-8.5714285714285715E-2</v>
      </c>
      <c r="N17" s="144">
        <f t="shared" si="4"/>
        <v>-4.6875E-2</v>
      </c>
      <c r="O17" s="144"/>
    </row>
    <row r="18" spans="2:15">
      <c r="B18" s="145" t="s">
        <v>32</v>
      </c>
      <c r="C18" s="145" t="s">
        <v>2</v>
      </c>
      <c r="D18" s="146">
        <f>(D6-C6)/C6</f>
        <v>0.40425531914893614</v>
      </c>
      <c r="E18" s="144">
        <f t="shared" si="1"/>
        <v>-0.13636363636363635</v>
      </c>
      <c r="F18" s="144">
        <f t="shared" ref="F18:N18" si="5">(F6-E6)/E6</f>
        <v>-3.5087719298245612E-2</v>
      </c>
      <c r="G18" s="144">
        <f t="shared" si="5"/>
        <v>-0.12727272727272726</v>
      </c>
      <c r="H18" s="144">
        <f t="shared" si="5"/>
        <v>0.20833333333333334</v>
      </c>
      <c r="I18" s="144">
        <f t="shared" si="5"/>
        <v>-0.13793103448275862</v>
      </c>
      <c r="J18" s="144">
        <f t="shared" si="5"/>
        <v>-0.08</v>
      </c>
      <c r="K18" s="144">
        <f t="shared" si="5"/>
        <v>0.54347826086956519</v>
      </c>
      <c r="L18" s="144">
        <f t="shared" si="5"/>
        <v>-4.2253521126760563E-2</v>
      </c>
      <c r="M18" s="144">
        <f t="shared" si="5"/>
        <v>-0.23529411764705882</v>
      </c>
      <c r="N18" s="144">
        <f t="shared" si="5"/>
        <v>0.23076923076923078</v>
      </c>
      <c r="O18" s="144"/>
    </row>
    <row r="19" spans="2:15">
      <c r="B19" s="52" t="s">
        <v>37</v>
      </c>
      <c r="C19" s="52" t="s">
        <v>10</v>
      </c>
      <c r="D19" s="144">
        <f t="shared" si="1"/>
        <v>-0.11320754716981132</v>
      </c>
      <c r="E19" s="144">
        <f t="shared" si="1"/>
        <v>0.19148936170212766</v>
      </c>
      <c r="F19" s="144">
        <f t="shared" ref="F19:N19" si="6">(F7-E7)/E7</f>
        <v>-1.7857142857142856E-2</v>
      </c>
      <c r="G19" s="144">
        <f t="shared" si="6"/>
        <v>0.23636363636363636</v>
      </c>
      <c r="H19" s="144">
        <f t="shared" si="6"/>
        <v>-5.8823529411764705E-2</v>
      </c>
      <c r="I19" s="144">
        <f t="shared" si="6"/>
        <v>-4.6875E-2</v>
      </c>
      <c r="J19" s="144">
        <f t="shared" si="6"/>
        <v>9.8360655737704916E-2</v>
      </c>
      <c r="K19" s="144">
        <f t="shared" si="6"/>
        <v>-1.4925373134328358E-2</v>
      </c>
      <c r="L19" s="144">
        <f t="shared" si="6"/>
        <v>-0.31818181818181818</v>
      </c>
      <c r="M19" s="144">
        <f t="shared" si="6"/>
        <v>0.48888888888888887</v>
      </c>
      <c r="N19" s="144">
        <f t="shared" si="6"/>
        <v>-0.20895522388059701</v>
      </c>
      <c r="O19" s="144"/>
    </row>
    <row r="20" spans="2:15">
      <c r="B20" s="52" t="s">
        <v>33</v>
      </c>
      <c r="C20" s="52" t="s">
        <v>2</v>
      </c>
      <c r="D20" s="144">
        <f t="shared" si="1"/>
        <v>4.4117647058823532E-2</v>
      </c>
      <c r="E20" s="144">
        <f t="shared" si="1"/>
        <v>-0.30985915492957744</v>
      </c>
      <c r="F20" s="144">
        <f t="shared" ref="F20:N20" si="7">(F8-E8)/E8</f>
        <v>-8.1632653061224483E-2</v>
      </c>
      <c r="G20" s="144">
        <f t="shared" si="7"/>
        <v>0.15555555555555556</v>
      </c>
      <c r="H20" s="144">
        <f t="shared" si="7"/>
        <v>0.15384615384615385</v>
      </c>
      <c r="I20" s="144">
        <f t="shared" si="7"/>
        <v>0.1</v>
      </c>
      <c r="J20" s="144">
        <f t="shared" si="7"/>
        <v>-1.5151515151515152E-2</v>
      </c>
      <c r="K20" s="144">
        <f t="shared" si="7"/>
        <v>4.6153846153846156E-2</v>
      </c>
      <c r="L20" s="144">
        <f t="shared" si="7"/>
        <v>-0.16176470588235295</v>
      </c>
      <c r="M20" s="144">
        <f t="shared" si="7"/>
        <v>-0.14035087719298245</v>
      </c>
      <c r="N20" s="144">
        <f t="shared" si="7"/>
        <v>2.0408163265306121E-2</v>
      </c>
      <c r="O20" s="144"/>
    </row>
    <row r="21" spans="2:15">
      <c r="B21" s="52" t="s">
        <v>38</v>
      </c>
      <c r="C21" s="52" t="s">
        <v>10</v>
      </c>
      <c r="D21" s="144">
        <f t="shared" si="1"/>
        <v>-0.18309859154929578</v>
      </c>
      <c r="E21" s="144">
        <f t="shared" si="1"/>
        <v>-0.10344827586206896</v>
      </c>
      <c r="F21" s="144">
        <f t="shared" ref="F21:N21" si="8">(F9-E9)/E9</f>
        <v>0.15384615384615385</v>
      </c>
      <c r="G21" s="144">
        <f t="shared" si="8"/>
        <v>-1.6666666666666666E-2</v>
      </c>
      <c r="H21" s="144">
        <f t="shared" si="8"/>
        <v>0.20338983050847459</v>
      </c>
      <c r="I21" s="144">
        <f t="shared" si="8"/>
        <v>-0.323943661971831</v>
      </c>
      <c r="J21" s="144">
        <f t="shared" si="8"/>
        <v>0.27083333333333331</v>
      </c>
      <c r="K21" s="144">
        <f t="shared" si="8"/>
        <v>-8.1967213114754092E-2</v>
      </c>
      <c r="L21" s="144">
        <f t="shared" si="8"/>
        <v>5.3571428571428568E-2</v>
      </c>
      <c r="M21" s="144">
        <f t="shared" si="8"/>
        <v>-8.4745762711864403E-2</v>
      </c>
      <c r="N21" s="144">
        <f t="shared" si="8"/>
        <v>0.22222222222222221</v>
      </c>
      <c r="O21" s="144"/>
    </row>
    <row r="22" spans="2:15">
      <c r="B22" s="52" t="s">
        <v>34</v>
      </c>
      <c r="C22" s="52" t="s">
        <v>2</v>
      </c>
      <c r="D22" s="144">
        <f t="shared" si="1"/>
        <v>-9.375E-2</v>
      </c>
      <c r="E22" s="144">
        <f t="shared" si="1"/>
        <v>-0.17241379310344829</v>
      </c>
      <c r="F22" s="144">
        <f t="shared" ref="F22:N22" si="9">(F10-E10)/E10</f>
        <v>0.5</v>
      </c>
      <c r="G22" s="144">
        <f t="shared" si="9"/>
        <v>-0.27777777777777779</v>
      </c>
      <c r="H22" s="144">
        <f t="shared" si="9"/>
        <v>0.28846153846153844</v>
      </c>
      <c r="I22" s="144">
        <f t="shared" si="9"/>
        <v>-0.20895522388059701</v>
      </c>
      <c r="J22" s="144">
        <f t="shared" si="9"/>
        <v>1.8867924528301886E-2</v>
      </c>
      <c r="K22" s="144">
        <f t="shared" si="9"/>
        <v>0.18518518518518517</v>
      </c>
      <c r="L22" s="144">
        <f t="shared" si="9"/>
        <v>-0.171875</v>
      </c>
      <c r="M22" s="144">
        <f t="shared" si="9"/>
        <v>-7.5471698113207544E-2</v>
      </c>
      <c r="N22" s="144">
        <f t="shared" si="9"/>
        <v>0.24489795918367346</v>
      </c>
      <c r="O22" s="144"/>
    </row>
    <row r="23" spans="2:15">
      <c r="B23" s="145" t="s">
        <v>35</v>
      </c>
      <c r="C23" s="145" t="s">
        <v>2</v>
      </c>
      <c r="D23" s="146">
        <f t="shared" si="1"/>
        <v>0.41176470588235292</v>
      </c>
      <c r="E23" s="144">
        <f t="shared" si="1"/>
        <v>-0.2638888888888889</v>
      </c>
      <c r="F23" s="144">
        <f t="shared" ref="F23:N23" si="10">(F11-E11)/E11</f>
        <v>-1.8867924528301886E-2</v>
      </c>
      <c r="G23" s="144">
        <f t="shared" si="10"/>
        <v>0.38461538461538464</v>
      </c>
      <c r="H23" s="144">
        <f t="shared" si="10"/>
        <v>-0.27777777777777779</v>
      </c>
      <c r="I23" s="144">
        <f t="shared" si="10"/>
        <v>0.23076923076923078</v>
      </c>
      <c r="J23" s="144">
        <f t="shared" si="10"/>
        <v>-1.5625E-2</v>
      </c>
      <c r="K23" s="144">
        <f t="shared" si="10"/>
        <v>-0.17460317460317459</v>
      </c>
      <c r="L23" s="144">
        <f t="shared" si="10"/>
        <v>5.7692307692307696E-2</v>
      </c>
      <c r="M23" s="144">
        <f t="shared" si="10"/>
        <v>0.23636363636363636</v>
      </c>
      <c r="N23" s="144">
        <f t="shared" si="10"/>
        <v>-0.17647058823529413</v>
      </c>
      <c r="O23" s="144"/>
    </row>
  </sheetData>
  <autoFilter ref="A1:N10" xr:uid="{4691D87C-7AAC-4391-89E2-B073ED10F4E3}">
    <sortState xmlns:xlrd2="http://schemas.microsoft.com/office/spreadsheetml/2017/richdata2" ref="A2:N10">
      <sortCondition ref="A1:A10"/>
    </sortState>
  </autoFilter>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B6179-D2A1-4754-BA14-77C5EC4AF458}">
  <sheetPr codeName="Sheet111"/>
  <dimension ref="A1:O71"/>
  <sheetViews>
    <sheetView workbookViewId="0">
      <selection activeCell="A2" sqref="A2:N25"/>
    </sheetView>
  </sheetViews>
  <sheetFormatPr baseColWidth="10" defaultColWidth="9.5" defaultRowHeight="15"/>
  <cols>
    <col min="1" max="1" width="14.5" bestFit="1" customWidth="1"/>
    <col min="2" max="2" width="12.5" bestFit="1" customWidth="1"/>
    <col min="3" max="3" width="13.6640625" bestFit="1" customWidth="1"/>
    <col min="4" max="4" width="14.5" bestFit="1" customWidth="1"/>
    <col min="5" max="10" width="13.6640625" bestFit="1" customWidth="1"/>
    <col min="11" max="11" width="16.5" bestFit="1" customWidth="1"/>
    <col min="12" max="12" width="14" bestFit="1" customWidth="1"/>
    <col min="13" max="14" width="15.83203125" bestFit="1" customWidth="1"/>
    <col min="15" max="15" width="14.33203125" bestFit="1" customWidth="1"/>
  </cols>
  <sheetData>
    <row r="1" spans="1:15" ht="16" thickBot="1">
      <c r="C1">
        <v>3</v>
      </c>
      <c r="D1">
        <v>4</v>
      </c>
      <c r="E1">
        <v>5</v>
      </c>
      <c r="F1">
        <v>6</v>
      </c>
      <c r="G1">
        <v>7</v>
      </c>
      <c r="H1">
        <v>8</v>
      </c>
      <c r="I1">
        <v>9</v>
      </c>
      <c r="J1">
        <v>10</v>
      </c>
      <c r="K1">
        <v>11</v>
      </c>
      <c r="L1">
        <v>12</v>
      </c>
      <c r="M1">
        <v>13</v>
      </c>
      <c r="N1">
        <v>14</v>
      </c>
    </row>
    <row r="2" spans="1:15" s="50" customFormat="1" ht="17" thickBot="1">
      <c r="A2" s="59" t="s">
        <v>49</v>
      </c>
      <c r="B2" s="60" t="s">
        <v>50</v>
      </c>
      <c r="C2" s="61" t="s">
        <v>17</v>
      </c>
      <c r="D2" s="62" t="s">
        <v>18</v>
      </c>
      <c r="E2" s="62" t="s">
        <v>19</v>
      </c>
      <c r="F2" s="62" t="s">
        <v>20</v>
      </c>
      <c r="G2" s="62" t="s">
        <v>21</v>
      </c>
      <c r="H2" s="62" t="s">
        <v>22</v>
      </c>
      <c r="I2" s="62" t="s">
        <v>23</v>
      </c>
      <c r="J2" s="62" t="s">
        <v>24</v>
      </c>
      <c r="K2" s="62" t="s">
        <v>25</v>
      </c>
      <c r="L2" s="62" t="s">
        <v>26</v>
      </c>
      <c r="M2" s="62" t="s">
        <v>27</v>
      </c>
      <c r="N2" s="63" t="s">
        <v>28</v>
      </c>
    </row>
    <row r="3" spans="1:15">
      <c r="A3" s="55" t="s">
        <v>39</v>
      </c>
      <c r="B3" s="49" t="str">
        <f>VLOOKUP(A3,'Selling prices'!A:B,2,0)</f>
        <v>Product C</v>
      </c>
      <c r="C3">
        <f>+VLOOKUP($A$3,'Sales volumes'!$A:$N,Revenue!C1,0)</f>
        <v>84978</v>
      </c>
      <c r="D3">
        <f>+VLOOKUP($A$3,'Sales volumes'!$A:$N,Revenue!D1,0)</f>
        <v>45741</v>
      </c>
      <c r="E3">
        <f>+VLOOKUP($A$3,'Sales volumes'!$A:$N,Revenue!E1,0)</f>
        <v>63942</v>
      </c>
      <c r="F3">
        <f>+VLOOKUP($A$3,'Sales volumes'!$A:$N,Revenue!F1,0)</f>
        <v>59013</v>
      </c>
      <c r="G3">
        <f>+VLOOKUP($A$3,'Sales volumes'!$A:$N,Revenue!G1,0)</f>
        <v>71262</v>
      </c>
      <c r="H3">
        <f>+VLOOKUP($A$3,'Sales volumes'!$A:$N,Revenue!H1,0)</f>
        <v>53094</v>
      </c>
      <c r="I3">
        <f>+VLOOKUP($A$3,'Sales volumes'!$A:$N,Revenue!I1,0)</f>
        <v>57474</v>
      </c>
      <c r="J3">
        <f>+VLOOKUP($A$3,'Sales volumes'!$A:$N,Revenue!J1,0)</f>
        <v>33087</v>
      </c>
      <c r="K3">
        <f>+VLOOKUP($A$3,'Sales volumes'!$A:$N,Revenue!K1,0)</f>
        <v>42831</v>
      </c>
      <c r="L3">
        <f>+VLOOKUP($A$3,'Sales volumes'!$A:$N,Revenue!L1,0)</f>
        <v>44421</v>
      </c>
      <c r="M3">
        <f>+VLOOKUP($A$3,'Sales volumes'!$A:$N,Revenue!M1,0)</f>
        <v>56367</v>
      </c>
      <c r="N3" s="56">
        <f>+VLOOKUP($A$3,'Sales volumes'!$A:$N,Revenue!N1,0)</f>
        <v>46338</v>
      </c>
    </row>
    <row r="4" spans="1:15">
      <c r="A4" s="55" t="s">
        <v>31</v>
      </c>
      <c r="B4" s="49" t="str">
        <f>VLOOKUP(A4,'Selling prices'!A:B,2,0)</f>
        <v>Product A</v>
      </c>
      <c r="C4">
        <f>+VLOOKUP($A$4,'Sales volumes'!$A:$N,Revenue!C1,0)</f>
        <v>12838</v>
      </c>
      <c r="D4">
        <f>+VLOOKUP($A$4,'Sales volumes'!$A:$N,Revenue!D1,0)</f>
        <v>17385</v>
      </c>
      <c r="E4">
        <f>+VLOOKUP($A$4,'Sales volumes'!$A:$N,Revenue!E1,0)</f>
        <v>15686</v>
      </c>
      <c r="F4">
        <f>+VLOOKUP($A$4,'Sales volumes'!$A:$N,Revenue!F1,0)</f>
        <v>20722</v>
      </c>
      <c r="G4">
        <f>+VLOOKUP($A$4,'Sales volumes'!$A:$N,Revenue!G1,0)</f>
        <v>13878</v>
      </c>
      <c r="H4">
        <f>+VLOOKUP($A$4,'Sales volumes'!$A:$N,Revenue!H1,0)</f>
        <v>7933</v>
      </c>
      <c r="I4">
        <f>+VLOOKUP($A$4,'Sales volumes'!$A:$N,Revenue!I1,0)</f>
        <v>19981</v>
      </c>
      <c r="J4">
        <f>+VLOOKUP($A$4,'Sales volumes'!$A:$N,Revenue!J1,0)</f>
        <v>28238</v>
      </c>
      <c r="K4">
        <f>+VLOOKUP($A$4,'Sales volumes'!$A:$N,Revenue!K1,0)</f>
        <v>21840</v>
      </c>
      <c r="L4">
        <f>+VLOOKUP($A$4,'Sales volumes'!$A:$N,Revenue!L1,0)</f>
        <v>8037</v>
      </c>
      <c r="M4">
        <f>+VLOOKUP($A$4,'Sales volumes'!$A:$N,Revenue!M1,0)</f>
        <v>15231</v>
      </c>
      <c r="N4" s="56">
        <f>+VLOOKUP($A$4,'Sales volumes'!$A:$N,Revenue!N1,0)</f>
        <v>7620</v>
      </c>
    </row>
    <row r="5" spans="1:15">
      <c r="A5" s="55" t="s">
        <v>40</v>
      </c>
      <c r="B5" s="49" t="str">
        <f>VLOOKUP(A5,'Selling prices'!A:B,2,0)</f>
        <v>Product C</v>
      </c>
      <c r="C5">
        <f>+VLOOKUP($A$5,'Sales volumes'!$A:$N,Revenue!C1,0)</f>
        <v>11342</v>
      </c>
      <c r="D5">
        <f>+VLOOKUP($A$5,'Sales volumes'!$A:$N,Revenue!D1,0)</f>
        <v>5468</v>
      </c>
      <c r="E5">
        <f>+VLOOKUP($A$5,'Sales volumes'!$A:$N,Revenue!E1,0)</f>
        <v>17151</v>
      </c>
      <c r="F5">
        <f>+VLOOKUP($A$5,'Sales volumes'!$A:$N,Revenue!F1,0)</f>
        <v>28757</v>
      </c>
      <c r="G5">
        <f>+VLOOKUP($A$5,'Sales volumes'!$A:$N,Revenue!G1,0)</f>
        <v>3778</v>
      </c>
      <c r="H5">
        <f>+VLOOKUP($A$5,'Sales volumes'!$A:$N,Revenue!H1,0)</f>
        <v>22634</v>
      </c>
      <c r="I5">
        <f>+VLOOKUP($A$5,'Sales volumes'!$A:$N,Revenue!I1,0)</f>
        <v>25749</v>
      </c>
      <c r="J5">
        <f>+VLOOKUP($A$5,'Sales volumes'!$A:$N,Revenue!J1,0)</f>
        <v>6167</v>
      </c>
      <c r="K5">
        <f>+VLOOKUP($A$5,'Sales volumes'!$A:$N,Revenue!K1,0)</f>
        <v>7983</v>
      </c>
      <c r="L5">
        <f>+VLOOKUP($A$5,'Sales volumes'!$A:$N,Revenue!L1,0)</f>
        <v>2592</v>
      </c>
      <c r="M5">
        <f>+VLOOKUP($A$5,'Sales volumes'!$A:$N,Revenue!M1,0)</f>
        <v>18003</v>
      </c>
      <c r="N5" s="56">
        <f>+VLOOKUP($A$5,'Sales volumes'!$A:$N,Revenue!N1,0)</f>
        <v>5766</v>
      </c>
    </row>
    <row r="6" spans="1:15">
      <c r="A6" s="55" t="s">
        <v>36</v>
      </c>
      <c r="B6" s="49" t="str">
        <f>VLOOKUP(A6,'Selling prices'!A:B,2,0)</f>
        <v>Product B</v>
      </c>
      <c r="C6">
        <f>+VLOOKUP($A$6,'Sales volumes'!$A:$N,Revenue!C1,0)</f>
        <v>12640</v>
      </c>
      <c r="D6">
        <f>+VLOOKUP($A$6,'Sales volumes'!$A:$N,Revenue!D1,0)</f>
        <v>27518</v>
      </c>
      <c r="E6">
        <f>+VLOOKUP($A$6,'Sales volumes'!$A:$N,Revenue!E1,0)</f>
        <v>17223</v>
      </c>
      <c r="F6">
        <f>+VLOOKUP($A$6,'Sales volumes'!$A:$N,Revenue!F1,0)</f>
        <v>18198</v>
      </c>
      <c r="G6">
        <f>+VLOOKUP($A$6,'Sales volumes'!$A:$N,Revenue!G1,0)</f>
        <v>12261</v>
      </c>
      <c r="H6">
        <f>+VLOOKUP($A$6,'Sales volumes'!$A:$N,Revenue!H1,0)</f>
        <v>17267</v>
      </c>
      <c r="I6">
        <f>+VLOOKUP($A$6,'Sales volumes'!$A:$N,Revenue!I1,0)</f>
        <v>28847</v>
      </c>
      <c r="J6">
        <f>+VLOOKUP($A$6,'Sales volumes'!$A:$N,Revenue!J1,0)</f>
        <v>26590</v>
      </c>
      <c r="K6">
        <f>+VLOOKUP($A$6,'Sales volumes'!$A:$N,Revenue!K1,0)</f>
        <v>24142</v>
      </c>
      <c r="L6">
        <f>+VLOOKUP($A$6,'Sales volumes'!$A:$N,Revenue!L1,0)</f>
        <v>13529</v>
      </c>
      <c r="M6">
        <f>+VLOOKUP($A$6,'Sales volumes'!$A:$N,Revenue!M1,0)</f>
        <v>12962</v>
      </c>
      <c r="N6" s="56">
        <f>+VLOOKUP($A$6,'Sales volumes'!$A:$N,Revenue!N1,0)</f>
        <v>16008</v>
      </c>
    </row>
    <row r="7" spans="1:15">
      <c r="A7" s="55" t="s">
        <v>32</v>
      </c>
      <c r="B7" s="49" t="str">
        <f>VLOOKUP(A7,'Selling prices'!A:B,2,0)</f>
        <v>Product A</v>
      </c>
      <c r="C7">
        <f>+VLOOKUP($A$7,'Sales volumes'!$A:$N,Revenue!C1,0)</f>
        <v>23741</v>
      </c>
      <c r="D7">
        <f>+VLOOKUP($A$7,'Sales volumes'!$A:$N,Revenue!D1,0)</f>
        <v>27693</v>
      </c>
      <c r="E7">
        <f>+VLOOKUP($A$7,'Sales volumes'!$A:$N,Revenue!E1,0)</f>
        <v>7401</v>
      </c>
      <c r="F7">
        <f>+VLOOKUP($A$7,'Sales volumes'!$A:$N,Revenue!F1,0)</f>
        <v>22741</v>
      </c>
      <c r="G7">
        <f>+VLOOKUP($A$7,'Sales volumes'!$A:$N,Revenue!G1,0)</f>
        <v>11815</v>
      </c>
      <c r="H7">
        <f>+VLOOKUP($A$7,'Sales volumes'!$A:$N,Revenue!H1,0)</f>
        <v>13868</v>
      </c>
      <c r="I7">
        <f>+VLOOKUP($A$7,'Sales volumes'!$A:$N,Revenue!I1,0)</f>
        <v>15094</v>
      </c>
      <c r="J7">
        <f>+VLOOKUP($A$7,'Sales volumes'!$A:$N,Revenue!J1,0)</f>
        <v>16454</v>
      </c>
      <c r="K7">
        <f>+VLOOKUP($A$7,'Sales volumes'!$A:$N,Revenue!K1,0)</f>
        <v>27843</v>
      </c>
      <c r="L7">
        <f>+VLOOKUP($A$7,'Sales volumes'!$A:$N,Revenue!L1,0)</f>
        <v>20565</v>
      </c>
      <c r="M7">
        <f>+VLOOKUP($A$7,'Sales volumes'!$A:$N,Revenue!M1,0)</f>
        <v>21385</v>
      </c>
      <c r="N7" s="56">
        <f>+VLOOKUP($A$7,'Sales volumes'!$A:$N,Revenue!N1,0)</f>
        <v>10584</v>
      </c>
    </row>
    <row r="8" spans="1:15">
      <c r="A8" s="55" t="s">
        <v>37</v>
      </c>
      <c r="B8" s="49" t="str">
        <f>VLOOKUP(A8,'Selling prices'!A:B,2,0)</f>
        <v>Product B</v>
      </c>
      <c r="C8">
        <f>+VLOOKUP($A$8,'Sales volumes'!$A:$N,Revenue!C1,0)</f>
        <v>10396</v>
      </c>
      <c r="D8">
        <f>+VLOOKUP($A$8,'Sales volumes'!$A:$N,Revenue!D1,0)</f>
        <v>10293</v>
      </c>
      <c r="E8">
        <f>+VLOOKUP($A$8,'Sales volumes'!$A:$N,Revenue!E1,0)</f>
        <v>10462</v>
      </c>
      <c r="F8">
        <f>+VLOOKUP($A$8,'Sales volumes'!$A:$N,Revenue!F1,0)</f>
        <v>10149</v>
      </c>
      <c r="G8">
        <f>+VLOOKUP($A$8,'Sales volumes'!$A:$N,Revenue!G1,0)</f>
        <v>10491</v>
      </c>
      <c r="H8">
        <f>+VLOOKUP($A$8,'Sales volumes'!$A:$N,Revenue!H1,0)</f>
        <v>10552</v>
      </c>
      <c r="I8">
        <f>+VLOOKUP($A$8,'Sales volumes'!$A:$N,Revenue!I1,0)</f>
        <v>10990</v>
      </c>
      <c r="J8">
        <f>+VLOOKUP($A$8,'Sales volumes'!$A:$N,Revenue!J1,0)</f>
        <v>10572</v>
      </c>
      <c r="K8">
        <f>+VLOOKUP($A$8,'Sales volumes'!$A:$N,Revenue!K1,0)</f>
        <v>10345</v>
      </c>
      <c r="L8">
        <f>+VLOOKUP($A$8,'Sales volumes'!$A:$N,Revenue!L1,0)</f>
        <v>10837</v>
      </c>
      <c r="M8">
        <f>+VLOOKUP($A$8,'Sales volumes'!$A:$N,Revenue!M1,0)</f>
        <v>10731</v>
      </c>
      <c r="N8" s="56">
        <f>+VLOOKUP($A$8,'Sales volumes'!$A:$N,Revenue!N1,0)</f>
        <v>10712</v>
      </c>
    </row>
    <row r="9" spans="1:15">
      <c r="A9" s="55" t="s">
        <v>33</v>
      </c>
      <c r="B9" s="49" t="str">
        <f>VLOOKUP(A9,'Selling prices'!A:B,2,0)</f>
        <v>Product A</v>
      </c>
      <c r="C9">
        <f>+VLOOKUP($A$9,'Sales volumes'!$A:$N,Revenue!C1,0)</f>
        <v>25828</v>
      </c>
      <c r="D9">
        <f>+VLOOKUP($A$9,'Sales volumes'!$A:$N,Revenue!D1,0)</f>
        <v>18060</v>
      </c>
      <c r="E9">
        <f>+VLOOKUP($A$9,'Sales volumes'!$A:$N,Revenue!E1,0)</f>
        <v>9122</v>
      </c>
      <c r="F9">
        <f>+VLOOKUP($A$9,'Sales volumes'!$A:$N,Revenue!F1,0)</f>
        <v>9789</v>
      </c>
      <c r="G9">
        <f>+VLOOKUP($A$9,'Sales volumes'!$A:$N,Revenue!G1,0)</f>
        <v>17952</v>
      </c>
      <c r="H9">
        <f>+VLOOKUP($A$9,'Sales volumes'!$A:$N,Revenue!H1,0)</f>
        <v>19329</v>
      </c>
      <c r="I9">
        <f>+VLOOKUP($A$9,'Sales volumes'!$A:$N,Revenue!I1,0)</f>
        <v>26733</v>
      </c>
      <c r="J9">
        <f>+VLOOKUP($A$9,'Sales volumes'!$A:$N,Revenue!J1,0)</f>
        <v>17878</v>
      </c>
      <c r="K9">
        <f>+VLOOKUP($A$9,'Sales volumes'!$A:$N,Revenue!K1,0)</f>
        <v>7193</v>
      </c>
      <c r="L9">
        <f>+VLOOKUP($A$9,'Sales volumes'!$A:$N,Revenue!L1,0)</f>
        <v>20162</v>
      </c>
      <c r="M9">
        <f>+VLOOKUP($A$9,'Sales volumes'!$A:$N,Revenue!M1,0)</f>
        <v>15440</v>
      </c>
      <c r="N9" s="56">
        <f>+VLOOKUP($A$9,'Sales volumes'!$A:$N,Revenue!N1,0)</f>
        <v>23988</v>
      </c>
    </row>
    <row r="10" spans="1:15">
      <c r="A10" s="55" t="s">
        <v>38</v>
      </c>
      <c r="B10" s="49" t="str">
        <f>VLOOKUP(A10,'Selling prices'!A:B,2,0)</f>
        <v>Product B</v>
      </c>
      <c r="C10">
        <f>+VLOOKUP($A$10,'Sales volumes'!$A:$N,Revenue!C1,0)</f>
        <v>14160</v>
      </c>
      <c r="D10">
        <f>+VLOOKUP($A$10,'Sales volumes'!$A:$N,Revenue!D1,0)</f>
        <v>9368</v>
      </c>
      <c r="E10">
        <f>+VLOOKUP($A$10,'Sales volumes'!$A:$N,Revenue!E1,0)</f>
        <v>26980</v>
      </c>
      <c r="F10">
        <f>+VLOOKUP($A$10,'Sales volumes'!$A:$N,Revenue!F1,0)</f>
        <v>11198</v>
      </c>
      <c r="G10">
        <f>+VLOOKUP($A$10,'Sales volumes'!$A:$N,Revenue!G1,0)</f>
        <v>23599</v>
      </c>
      <c r="H10">
        <f>+VLOOKUP($A$10,'Sales volumes'!$A:$N,Revenue!H1,0)</f>
        <v>16583</v>
      </c>
      <c r="I10">
        <f>+VLOOKUP($A$10,'Sales volumes'!$A:$N,Revenue!I1,0)</f>
        <v>10875</v>
      </c>
      <c r="J10">
        <f>+VLOOKUP($A$10,'Sales volumes'!$A:$N,Revenue!J1,0)</f>
        <v>26526</v>
      </c>
      <c r="K10">
        <f>+VLOOKUP($A$10,'Sales volumes'!$A:$N,Revenue!K1,0)</f>
        <v>18783</v>
      </c>
      <c r="L10">
        <f>+VLOOKUP($A$10,'Sales volumes'!$A:$N,Revenue!L1,0)</f>
        <v>23580</v>
      </c>
      <c r="M10">
        <f>+VLOOKUP($A$10,'Sales volumes'!$A:$N,Revenue!M1,0)</f>
        <v>7694</v>
      </c>
      <c r="N10" s="56">
        <f>+VLOOKUP($A$10,'Sales volumes'!$A:$N,Revenue!N1,0)</f>
        <v>16302</v>
      </c>
    </row>
    <row r="11" spans="1:15">
      <c r="A11" s="55" t="s">
        <v>34</v>
      </c>
      <c r="B11" s="49" t="str">
        <f>VLOOKUP(A11,'Selling prices'!A:B,2,0)</f>
        <v>Product A</v>
      </c>
      <c r="C11">
        <f>+VLOOKUP($A$11,'Sales volumes'!$A:$N,Revenue!C1,0)</f>
        <v>28736</v>
      </c>
      <c r="D11">
        <f>+VLOOKUP($A$11,'Sales volumes'!$A:$N,Revenue!D1,0)</f>
        <v>25908</v>
      </c>
      <c r="E11">
        <f>+VLOOKUP($A$11,'Sales volumes'!$A:$N,Revenue!E1,0)</f>
        <v>13842</v>
      </c>
      <c r="F11">
        <f>+VLOOKUP($A$11,'Sales volumes'!$A:$N,Revenue!F1,0)</f>
        <v>23028</v>
      </c>
      <c r="G11">
        <f>+VLOOKUP($A$11,'Sales volumes'!$A:$N,Revenue!G1,0)</f>
        <v>23724</v>
      </c>
      <c r="H11">
        <f>+VLOOKUP($A$11,'Sales volumes'!$A:$N,Revenue!H1,0)</f>
        <v>24493</v>
      </c>
      <c r="I11">
        <f>+VLOOKUP($A$11,'Sales volumes'!$A:$N,Revenue!I1,0)</f>
        <v>17127</v>
      </c>
      <c r="J11">
        <f>+VLOOKUP($A$11,'Sales volumes'!$A:$N,Revenue!J1,0)</f>
        <v>24073</v>
      </c>
      <c r="K11">
        <f>+VLOOKUP($A$11,'Sales volumes'!$A:$N,Revenue!K1,0)</f>
        <v>22702</v>
      </c>
      <c r="L11">
        <f>+VLOOKUP($A$11,'Sales volumes'!$A:$N,Revenue!L1,0)</f>
        <v>21234</v>
      </c>
      <c r="M11">
        <f>+VLOOKUP($A$11,'Sales volumes'!$A:$N,Revenue!M1,0)</f>
        <v>25168</v>
      </c>
      <c r="N11" s="56">
        <f>+VLOOKUP($A$11,'Sales volumes'!$A:$N,Revenue!N1,0)</f>
        <v>28666</v>
      </c>
    </row>
    <row r="12" spans="1:15" ht="16" thickBot="1">
      <c r="A12" s="57" t="s">
        <v>35</v>
      </c>
      <c r="B12" s="8" t="str">
        <f>VLOOKUP(A12,'Selling prices'!A:B,2,0)</f>
        <v>Product A</v>
      </c>
      <c r="C12" s="9">
        <f>+VLOOKUP($A$12,'Sales volumes'!$A:$N,Revenue!C1,0)</f>
        <v>21774</v>
      </c>
      <c r="D12" s="9">
        <f>+VLOOKUP($A$12,'Sales volumes'!$A:$N,Revenue!D1,0)</f>
        <v>27985</v>
      </c>
      <c r="E12" s="9">
        <f>+VLOOKUP($A$12,'Sales volumes'!$A:$N,Revenue!E1,0)</f>
        <v>7022</v>
      </c>
      <c r="F12" s="9">
        <f>+VLOOKUP($A$12,'Sales volumes'!$A:$N,Revenue!F1,0)</f>
        <v>21083</v>
      </c>
      <c r="G12" s="9">
        <f>+VLOOKUP($A$12,'Sales volumes'!$A:$N,Revenue!G1,0)</f>
        <v>18588</v>
      </c>
      <c r="H12" s="9">
        <f>+VLOOKUP($A$12,'Sales volumes'!$A:$N,Revenue!H1,0)</f>
        <v>11550</v>
      </c>
      <c r="I12" s="9">
        <f>+VLOOKUP($A$12,'Sales volumes'!$A:$N,Revenue!I1,0)</f>
        <v>9019</v>
      </c>
      <c r="J12" s="9">
        <f>+VLOOKUP($A$12,'Sales volumes'!$A:$N,Revenue!J1,0)</f>
        <v>9606</v>
      </c>
      <c r="K12" s="9">
        <f>+VLOOKUP($A$12,'Sales volumes'!$A:$N,Revenue!K1,0)</f>
        <v>10657</v>
      </c>
      <c r="L12" s="9">
        <f>+VLOOKUP($A$12,'Sales volumes'!$A:$N,Revenue!L1,0)</f>
        <v>28897</v>
      </c>
      <c r="M12" s="9">
        <f>+VLOOKUP($A$12,'Sales volumes'!$A:$N,Revenue!M1,0)</f>
        <v>16345</v>
      </c>
      <c r="N12" s="58">
        <f>+VLOOKUP($A$12,'Sales volumes'!$A:$N,Revenue!N1,0)</f>
        <v>29296</v>
      </c>
    </row>
    <row r="14" spans="1:15" ht="16" thickBot="1">
      <c r="C14" s="44">
        <f>SUM(C16:C25)</f>
        <v>13745707</v>
      </c>
      <c r="D14" s="44">
        <f t="shared" ref="D14:N14" si="0">SUM(D16:D25)</f>
        <v>12726467</v>
      </c>
      <c r="E14" s="44">
        <f t="shared" si="0"/>
        <v>10796660</v>
      </c>
      <c r="F14" s="44">
        <f t="shared" si="0"/>
        <v>12478398</v>
      </c>
      <c r="G14" s="44">
        <f t="shared" si="0"/>
        <v>11877090</v>
      </c>
      <c r="H14" s="44">
        <f t="shared" si="0"/>
        <v>12577816</v>
      </c>
      <c r="I14" s="44">
        <f t="shared" si="0"/>
        <v>13117891</v>
      </c>
      <c r="J14" s="44">
        <f t="shared" si="0"/>
        <v>11066732</v>
      </c>
      <c r="K14" s="44">
        <f t="shared" si="0"/>
        <v>11487586</v>
      </c>
      <c r="L14" s="44">
        <f t="shared" si="0"/>
        <v>11353191</v>
      </c>
      <c r="M14" s="44">
        <f t="shared" si="0"/>
        <v>11279738</v>
      </c>
      <c r="N14" s="44">
        <f t="shared" si="0"/>
        <v>10797568</v>
      </c>
    </row>
    <row r="15" spans="1:15" ht="17" thickBot="1">
      <c r="A15" s="59" t="s">
        <v>100</v>
      </c>
      <c r="B15" s="77" t="s">
        <v>50</v>
      </c>
      <c r="C15" s="62" t="s">
        <v>17</v>
      </c>
      <c r="D15" s="62" t="s">
        <v>18</v>
      </c>
      <c r="E15" s="62" t="s">
        <v>19</v>
      </c>
      <c r="F15" s="62" t="s">
        <v>20</v>
      </c>
      <c r="G15" s="62" t="s">
        <v>21</v>
      </c>
      <c r="H15" s="62" t="s">
        <v>22</v>
      </c>
      <c r="I15" s="62" t="s">
        <v>23</v>
      </c>
      <c r="J15" s="62" t="s">
        <v>24</v>
      </c>
      <c r="K15" s="62" t="s">
        <v>25</v>
      </c>
      <c r="L15" s="62" t="s">
        <v>26</v>
      </c>
      <c r="M15" s="62" t="s">
        <v>27</v>
      </c>
      <c r="N15" s="63" t="s">
        <v>28</v>
      </c>
    </row>
    <row r="16" spans="1:15">
      <c r="A16" s="55" t="s">
        <v>39</v>
      </c>
      <c r="B16" s="78" t="str">
        <f>VLOOKUP(A16,'Selling prices'!A:B,2,0)</f>
        <v>Product C</v>
      </c>
      <c r="C16" s="44">
        <f>C3*'Selling prices'!C2</f>
        <v>4248900</v>
      </c>
      <c r="D16" s="44">
        <f>D3*'Selling prices'!D2</f>
        <v>2424273</v>
      </c>
      <c r="E16" s="44">
        <f>E3*'Selling prices'!E2</f>
        <v>3772578</v>
      </c>
      <c r="F16" s="44">
        <f>F3*'Selling prices'!F2</f>
        <v>2832624</v>
      </c>
      <c r="G16" s="44">
        <f>G3*'Selling prices'!G2</f>
        <v>3776886</v>
      </c>
      <c r="H16" s="44">
        <f>H3*'Selling prices'!H2</f>
        <v>3504204</v>
      </c>
      <c r="I16" s="44">
        <f>I3*'Selling prices'!I2</f>
        <v>3161070</v>
      </c>
      <c r="J16" s="44">
        <f>J3*'Selling prices'!J2</f>
        <v>1654350</v>
      </c>
      <c r="K16" s="44">
        <f>K3*'Selling prices'!K2</f>
        <v>2098719</v>
      </c>
      <c r="L16" s="44">
        <f>L3*'Selling prices'!L2</f>
        <v>2665260</v>
      </c>
      <c r="M16" s="44">
        <f>M3*'Selling prices'!M2</f>
        <v>3494754</v>
      </c>
      <c r="N16" s="64">
        <f>N3*'Selling prices'!N2</f>
        <v>2085210</v>
      </c>
      <c r="O16" s="44"/>
    </row>
    <row r="17" spans="1:15">
      <c r="A17" s="55" t="s">
        <v>31</v>
      </c>
      <c r="B17" s="78" t="str">
        <f>VLOOKUP(A17,'Selling prices'!A:B,2,0)</f>
        <v>Product A</v>
      </c>
      <c r="C17" s="44">
        <f>C4*'Selling prices'!C3</f>
        <v>872984</v>
      </c>
      <c r="D17" s="44">
        <f>D4*'Selling prices'!D3</f>
        <v>1025715</v>
      </c>
      <c r="E17" s="44">
        <f>E4*'Selling prices'!E3</f>
        <v>1050962</v>
      </c>
      <c r="F17" s="44">
        <f>F4*'Selling prices'!F3</f>
        <v>1429818</v>
      </c>
      <c r="G17" s="44">
        <f>G4*'Selling prices'!G3</f>
        <v>902070</v>
      </c>
      <c r="H17" s="44">
        <f>H4*'Selling prices'!H3</f>
        <v>515645</v>
      </c>
      <c r="I17" s="44">
        <f>I4*'Selling prices'!I3</f>
        <v>1019031</v>
      </c>
      <c r="J17" s="44">
        <f>J4*'Selling prices'!J3</f>
        <v>1355424</v>
      </c>
      <c r="K17" s="44">
        <f>K4*'Selling prices'!K3</f>
        <v>1397760</v>
      </c>
      <c r="L17" s="44">
        <f>L4*'Selling prices'!L3</f>
        <v>425961</v>
      </c>
      <c r="M17" s="44">
        <f>M4*'Selling prices'!M3</f>
        <v>761550</v>
      </c>
      <c r="N17" s="64">
        <f>N4*'Selling prices'!N3</f>
        <v>457200</v>
      </c>
      <c r="O17" s="44"/>
    </row>
    <row r="18" spans="1:15">
      <c r="A18" s="55" t="s">
        <v>40</v>
      </c>
      <c r="B18" s="78" t="str">
        <f>VLOOKUP(A18,'Selling prices'!A:B,2,0)</f>
        <v>Product C</v>
      </c>
      <c r="C18" s="44">
        <f>C5*'Selling prices'!C4</f>
        <v>601126</v>
      </c>
      <c r="D18" s="44">
        <f>D5*'Selling prices'!D4</f>
        <v>273400</v>
      </c>
      <c r="E18" s="44">
        <f>E5*'Selling prices'!E4</f>
        <v>1217721</v>
      </c>
      <c r="F18" s="44">
        <f>F5*'Selling prices'!F4</f>
        <v>1466607</v>
      </c>
      <c r="G18" s="44">
        <f>G5*'Selling prices'!G4</f>
        <v>173788</v>
      </c>
      <c r="H18" s="44">
        <f>H5*'Selling prices'!H4</f>
        <v>1584380</v>
      </c>
      <c r="I18" s="44">
        <f>I5*'Selling prices'!I4</f>
        <v>1750932</v>
      </c>
      <c r="J18" s="44">
        <f>J5*'Selling prices'!J4</f>
        <v>444024</v>
      </c>
      <c r="K18" s="44">
        <f>K5*'Selling prices'!K4</f>
        <v>383184</v>
      </c>
      <c r="L18" s="44">
        <f>L5*'Selling prices'!L4</f>
        <v>173664</v>
      </c>
      <c r="M18" s="44">
        <f>M5*'Selling prices'!M4</f>
        <v>846141</v>
      </c>
      <c r="N18" s="64">
        <f>N5*'Selling prices'!N4</f>
        <v>369024</v>
      </c>
      <c r="O18" s="44"/>
    </row>
    <row r="19" spans="1:15">
      <c r="A19" s="55" t="s">
        <v>36</v>
      </c>
      <c r="B19" s="78" t="str">
        <f>VLOOKUP(A19,'Selling prices'!A:B,2,0)</f>
        <v>Product B</v>
      </c>
      <c r="C19" s="44">
        <f>C6*'Selling prices'!C5</f>
        <v>644640</v>
      </c>
      <c r="D19" s="44">
        <f>D6*'Selling prices'!D5</f>
        <v>1348382</v>
      </c>
      <c r="E19" s="44">
        <f>E6*'Selling prices'!E5</f>
        <v>861150</v>
      </c>
      <c r="F19" s="44">
        <f>F6*'Selling prices'!F5</f>
        <v>1073682</v>
      </c>
      <c r="G19" s="44">
        <f>G6*'Selling prices'!G5</f>
        <v>846009</v>
      </c>
      <c r="H19" s="44">
        <f>H6*'Selling prices'!H5</f>
        <v>915151</v>
      </c>
      <c r="I19" s="44">
        <f>I6*'Selling prices'!I5</f>
        <v>1990443</v>
      </c>
      <c r="J19" s="44">
        <f>J6*'Selling prices'!J5</f>
        <v>1462450</v>
      </c>
      <c r="K19" s="44">
        <f>K6*'Selling prices'!K5</f>
        <v>1400236</v>
      </c>
      <c r="L19" s="44">
        <f>L6*'Selling prices'!L5</f>
        <v>947030</v>
      </c>
      <c r="M19" s="44">
        <f>M6*'Selling prices'!M5</f>
        <v>829568</v>
      </c>
      <c r="N19" s="64">
        <f>N6*'Selling prices'!N5</f>
        <v>976488</v>
      </c>
      <c r="O19" s="44"/>
    </row>
    <row r="20" spans="1:15">
      <c r="A20" s="55" t="s">
        <v>32</v>
      </c>
      <c r="B20" s="78" t="str">
        <f>VLOOKUP(A20,'Selling prices'!A:B,2,0)</f>
        <v>Product A</v>
      </c>
      <c r="C20" s="44">
        <f>C7*'Selling prices'!C6</f>
        <v>1115827</v>
      </c>
      <c r="D20" s="44">
        <f>D7*'Selling prices'!D6</f>
        <v>1827738</v>
      </c>
      <c r="E20" s="44">
        <f>E7*'Selling prices'!E6</f>
        <v>421857</v>
      </c>
      <c r="F20" s="44">
        <f>F7*'Selling prices'!F6</f>
        <v>1250755</v>
      </c>
      <c r="G20" s="44">
        <f>G7*'Selling prices'!G6</f>
        <v>567120</v>
      </c>
      <c r="H20" s="44">
        <f>H7*'Selling prices'!H6</f>
        <v>804344</v>
      </c>
      <c r="I20" s="44">
        <f>I7*'Selling prices'!I6</f>
        <v>754700</v>
      </c>
      <c r="J20" s="44">
        <f>J7*'Selling prices'!J6</f>
        <v>756884</v>
      </c>
      <c r="K20" s="44">
        <f>K7*'Selling prices'!K6</f>
        <v>1976853</v>
      </c>
      <c r="L20" s="44">
        <f>L7*'Selling prices'!L6</f>
        <v>1398420</v>
      </c>
      <c r="M20" s="44">
        <f>M7*'Selling prices'!M6</f>
        <v>1112020</v>
      </c>
      <c r="N20" s="64">
        <f>N7*'Selling prices'!N6</f>
        <v>677376</v>
      </c>
      <c r="O20" s="44"/>
    </row>
    <row r="21" spans="1:15">
      <c r="A21" s="55" t="s">
        <v>37</v>
      </c>
      <c r="B21" s="78" t="str">
        <f>VLOOKUP(A21,'Selling prices'!A:B,2,0)</f>
        <v>Product B</v>
      </c>
      <c r="C21" s="44">
        <f>C8*'Selling prices'!C7</f>
        <v>550988</v>
      </c>
      <c r="D21" s="44">
        <f>D8*'Selling prices'!D7</f>
        <v>483771</v>
      </c>
      <c r="E21" s="44">
        <f>E8*'Selling prices'!E7</f>
        <v>585872</v>
      </c>
      <c r="F21" s="44">
        <f>F8*'Selling prices'!F7</f>
        <v>558195</v>
      </c>
      <c r="G21" s="44">
        <f>G8*'Selling prices'!G7</f>
        <v>713388</v>
      </c>
      <c r="H21" s="44">
        <f>H8*'Selling prices'!H7</f>
        <v>675328</v>
      </c>
      <c r="I21" s="44">
        <f>I8*'Selling prices'!I7</f>
        <v>670390</v>
      </c>
      <c r="J21" s="44">
        <f>J8*'Selling prices'!J7</f>
        <v>708324</v>
      </c>
      <c r="K21" s="44">
        <f>K8*'Selling prices'!K7</f>
        <v>682770</v>
      </c>
      <c r="L21" s="44">
        <f>L8*'Selling prices'!L7</f>
        <v>487665</v>
      </c>
      <c r="M21" s="44">
        <f>M8*'Selling prices'!M7</f>
        <v>718977</v>
      </c>
      <c r="N21" s="64">
        <f>N8*'Selling prices'!N7</f>
        <v>567736</v>
      </c>
      <c r="O21" s="44"/>
    </row>
    <row r="22" spans="1:15">
      <c r="A22" s="55" t="s">
        <v>33</v>
      </c>
      <c r="B22" s="78" t="str">
        <f>VLOOKUP(A22,'Selling prices'!A:B,2,0)</f>
        <v>Product A</v>
      </c>
      <c r="C22" s="44">
        <f>C9*'Selling prices'!C8</f>
        <v>1756304</v>
      </c>
      <c r="D22" s="44">
        <f>D9*'Selling prices'!D8</f>
        <v>1282260</v>
      </c>
      <c r="E22" s="44">
        <f>E9*'Selling prices'!E8</f>
        <v>446978</v>
      </c>
      <c r="F22" s="44">
        <f>F9*'Selling prices'!F8</f>
        <v>440505</v>
      </c>
      <c r="G22" s="44">
        <f>G9*'Selling prices'!G8</f>
        <v>933504</v>
      </c>
      <c r="H22" s="44">
        <f>H9*'Selling prices'!H8</f>
        <v>1159740</v>
      </c>
      <c r="I22" s="44">
        <f>I9*'Selling prices'!I8</f>
        <v>1764378</v>
      </c>
      <c r="J22" s="44">
        <f>J9*'Selling prices'!J8</f>
        <v>1162070</v>
      </c>
      <c r="K22" s="44">
        <f>K9*'Selling prices'!K8</f>
        <v>489124</v>
      </c>
      <c r="L22" s="44">
        <f>L9*'Selling prices'!L8</f>
        <v>1149234</v>
      </c>
      <c r="M22" s="44">
        <f>M9*'Selling prices'!M8</f>
        <v>756560</v>
      </c>
      <c r="N22" s="64">
        <f>N9*'Selling prices'!N8</f>
        <v>1199400</v>
      </c>
      <c r="O22" s="44"/>
    </row>
    <row r="23" spans="1:15">
      <c r="A23" s="55" t="s">
        <v>38</v>
      </c>
      <c r="B23" s="78" t="str">
        <f>VLOOKUP(A23,'Selling prices'!A:B,2,0)</f>
        <v>Product B</v>
      </c>
      <c r="C23" s="44">
        <f>C10*'Selling prices'!C9</f>
        <v>1005360</v>
      </c>
      <c r="D23" s="44">
        <f>D10*'Selling prices'!D9</f>
        <v>543344</v>
      </c>
      <c r="E23" s="44">
        <f>E10*'Selling prices'!E9</f>
        <v>1402960</v>
      </c>
      <c r="F23" s="44">
        <f>F10*'Selling prices'!F9</f>
        <v>671880</v>
      </c>
      <c r="G23" s="44">
        <f>G10*'Selling prices'!G9</f>
        <v>1392341</v>
      </c>
      <c r="H23" s="44">
        <f>H10*'Selling prices'!H9</f>
        <v>1177393</v>
      </c>
      <c r="I23" s="44">
        <f>I10*'Selling prices'!I9</f>
        <v>522000</v>
      </c>
      <c r="J23" s="44">
        <f>J10*'Selling prices'!J9</f>
        <v>1618086</v>
      </c>
      <c r="K23" s="44">
        <f>K10*'Selling prices'!K9</f>
        <v>1051848</v>
      </c>
      <c r="L23" s="44">
        <f>L10*'Selling prices'!L9</f>
        <v>1391220</v>
      </c>
      <c r="M23" s="44">
        <f>M10*'Selling prices'!M9</f>
        <v>415476</v>
      </c>
      <c r="N23" s="64">
        <f>N10*'Selling prices'!N9</f>
        <v>1075932</v>
      </c>
      <c r="O23" s="44"/>
    </row>
    <row r="24" spans="1:15">
      <c r="A24" s="55" t="s">
        <v>34</v>
      </c>
      <c r="B24" s="78" t="str">
        <f>VLOOKUP(A24,'Selling prices'!A:B,2,0)</f>
        <v>Product A</v>
      </c>
      <c r="C24" s="44">
        <f>C11*'Selling prices'!C10</f>
        <v>1839104</v>
      </c>
      <c r="D24" s="44">
        <f>D11*'Selling prices'!D10</f>
        <v>1502664</v>
      </c>
      <c r="E24" s="44">
        <f>E11*'Selling prices'!E10</f>
        <v>664416</v>
      </c>
      <c r="F24" s="44">
        <f>F11*'Selling prices'!F10</f>
        <v>1658016</v>
      </c>
      <c r="G24" s="44">
        <f>G11*'Selling prices'!G10</f>
        <v>1233648</v>
      </c>
      <c r="H24" s="44">
        <f>H11*'Selling prices'!H10</f>
        <v>1641031</v>
      </c>
      <c r="I24" s="44">
        <f>I11*'Selling prices'!I10</f>
        <v>907731</v>
      </c>
      <c r="J24" s="44">
        <f>J11*'Selling prices'!J10</f>
        <v>1299942</v>
      </c>
      <c r="K24" s="44">
        <f>K11*'Selling prices'!K10</f>
        <v>1452928</v>
      </c>
      <c r="L24" s="44">
        <f>L11*'Selling prices'!L10</f>
        <v>1125402</v>
      </c>
      <c r="M24" s="44">
        <f>M11*'Selling prices'!M10</f>
        <v>1233232</v>
      </c>
      <c r="N24" s="64">
        <f>N11*'Selling prices'!N10</f>
        <v>1748626</v>
      </c>
      <c r="O24" s="44"/>
    </row>
    <row r="25" spans="1:15" ht="16" thickBot="1">
      <c r="A25" s="57" t="s">
        <v>35</v>
      </c>
      <c r="B25" s="79" t="str">
        <f>VLOOKUP(A25,'Selling prices'!A:B,2,0)</f>
        <v>Product A</v>
      </c>
      <c r="C25" s="65">
        <f>C12*'Selling prices'!C11</f>
        <v>1110474</v>
      </c>
      <c r="D25" s="65">
        <f>D12*'Selling prices'!D11</f>
        <v>2014920</v>
      </c>
      <c r="E25" s="65">
        <f>E12*'Selling prices'!E11</f>
        <v>372166</v>
      </c>
      <c r="F25" s="65">
        <f>F12*'Selling prices'!F11</f>
        <v>1096316</v>
      </c>
      <c r="G25" s="65">
        <f>G12*'Selling prices'!G11</f>
        <v>1338336</v>
      </c>
      <c r="H25" s="65">
        <f>H12*'Selling prices'!H11</f>
        <v>600600</v>
      </c>
      <c r="I25" s="65">
        <f>I12*'Selling prices'!I11</f>
        <v>577216</v>
      </c>
      <c r="J25" s="65">
        <f>J12*'Selling prices'!J11</f>
        <v>605178</v>
      </c>
      <c r="K25" s="65">
        <f>K12*'Selling prices'!K11</f>
        <v>554164</v>
      </c>
      <c r="L25" s="65">
        <f>L12*'Selling prices'!L11</f>
        <v>1589335</v>
      </c>
      <c r="M25" s="65">
        <f>M12*'Selling prices'!M11</f>
        <v>1111460</v>
      </c>
      <c r="N25" s="66">
        <f>N12*'Selling prices'!N11</f>
        <v>1640576</v>
      </c>
      <c r="O25" s="44"/>
    </row>
    <row r="26" spans="1:15" s="44" customFormat="1" ht="17" thickBot="1">
      <c r="A26" s="59" t="s">
        <v>102</v>
      </c>
      <c r="B26" s="77" t="s">
        <v>50</v>
      </c>
      <c r="C26" s="62" t="s">
        <v>17</v>
      </c>
      <c r="D26" s="62" t="s">
        <v>18</v>
      </c>
      <c r="E26" s="62" t="s">
        <v>19</v>
      </c>
      <c r="F26" s="62" t="s">
        <v>20</v>
      </c>
      <c r="G26" s="62" t="s">
        <v>21</v>
      </c>
      <c r="H26" s="62" t="s">
        <v>22</v>
      </c>
      <c r="I26" s="62" t="s">
        <v>23</v>
      </c>
      <c r="J26" s="62" t="s">
        <v>24</v>
      </c>
      <c r="K26" s="62" t="s">
        <v>25</v>
      </c>
      <c r="L26" s="62" t="s">
        <v>26</v>
      </c>
      <c r="M26" s="62" t="s">
        <v>27</v>
      </c>
      <c r="N26" s="63" t="s">
        <v>28</v>
      </c>
    </row>
    <row r="27" spans="1:15" s="44" customFormat="1">
      <c r="A27" s="55" t="s">
        <v>39</v>
      </c>
      <c r="B27" s="78" t="str">
        <f>VLOOKUP(A27,'Selling prices'!A:B,2,0)</f>
        <v>Product C</v>
      </c>
      <c r="C27" s="70">
        <v>44584</v>
      </c>
      <c r="D27" s="70">
        <v>44609</v>
      </c>
      <c r="E27" s="70">
        <v>44637</v>
      </c>
      <c r="F27" s="70">
        <v>44679</v>
      </c>
      <c r="G27" s="70">
        <v>44690</v>
      </c>
      <c r="H27" s="70">
        <v>44728</v>
      </c>
      <c r="I27" s="70">
        <v>44768</v>
      </c>
      <c r="J27" s="70">
        <v>44782</v>
      </c>
      <c r="K27" s="70">
        <v>44833</v>
      </c>
      <c r="L27" s="70">
        <v>44847</v>
      </c>
      <c r="M27" s="70">
        <v>44894</v>
      </c>
      <c r="N27" s="71">
        <v>44910</v>
      </c>
    </row>
    <row r="28" spans="1:15" s="44" customFormat="1">
      <c r="A28" s="55" t="s">
        <v>31</v>
      </c>
      <c r="B28" s="78" t="str">
        <f>VLOOKUP(A28,'Selling prices'!A:B,2,0)</f>
        <v>Product A</v>
      </c>
      <c r="C28" s="26">
        <v>44578</v>
      </c>
      <c r="D28" s="26">
        <v>44613</v>
      </c>
      <c r="E28" s="26">
        <v>44648</v>
      </c>
      <c r="F28" s="26">
        <v>44680</v>
      </c>
      <c r="G28" s="26">
        <v>44693</v>
      </c>
      <c r="H28" s="26">
        <v>44737</v>
      </c>
      <c r="I28" s="26">
        <v>44772</v>
      </c>
      <c r="J28" s="26">
        <v>44798</v>
      </c>
      <c r="K28" s="26">
        <v>44830</v>
      </c>
      <c r="L28" s="26">
        <v>44852</v>
      </c>
      <c r="M28" s="26">
        <v>44884</v>
      </c>
      <c r="N28" s="67">
        <v>44925</v>
      </c>
    </row>
    <row r="29" spans="1:15" s="44" customFormat="1">
      <c r="A29" s="55" t="s">
        <v>40</v>
      </c>
      <c r="B29" s="78" t="str">
        <f>VLOOKUP(A29,'Selling prices'!A:B,2,0)</f>
        <v>Product C</v>
      </c>
      <c r="C29" s="26">
        <v>44581</v>
      </c>
      <c r="D29" s="26">
        <v>44606</v>
      </c>
      <c r="E29" s="26">
        <v>44636</v>
      </c>
      <c r="F29" s="26">
        <v>44667</v>
      </c>
      <c r="G29" s="26">
        <v>44699</v>
      </c>
      <c r="H29" s="26">
        <v>44741</v>
      </c>
      <c r="I29" s="26">
        <v>44764</v>
      </c>
      <c r="J29" s="26">
        <v>44787</v>
      </c>
      <c r="K29" s="26">
        <v>44827</v>
      </c>
      <c r="L29" s="26">
        <v>44861</v>
      </c>
      <c r="M29" s="26">
        <v>44883</v>
      </c>
      <c r="N29" s="67">
        <v>44919</v>
      </c>
    </row>
    <row r="30" spans="1:15" s="44" customFormat="1">
      <c r="A30" s="55" t="s">
        <v>36</v>
      </c>
      <c r="B30" s="78" t="str">
        <f>VLOOKUP(A30,'Selling prices'!A:B,2,0)</f>
        <v>Product B</v>
      </c>
      <c r="C30" s="26">
        <v>44578</v>
      </c>
      <c r="D30" s="26">
        <v>44610</v>
      </c>
      <c r="E30" s="26">
        <v>44639</v>
      </c>
      <c r="F30" s="26">
        <v>44668</v>
      </c>
      <c r="G30" s="26">
        <v>44692</v>
      </c>
      <c r="H30" s="26">
        <v>44734</v>
      </c>
      <c r="I30" s="26">
        <v>44768</v>
      </c>
      <c r="J30" s="26">
        <v>44788</v>
      </c>
      <c r="K30" s="26">
        <v>44826</v>
      </c>
      <c r="L30" s="26">
        <v>44851</v>
      </c>
      <c r="M30" s="26">
        <v>44891</v>
      </c>
      <c r="N30" s="67">
        <v>44916</v>
      </c>
    </row>
    <row r="31" spans="1:15" s="44" customFormat="1">
      <c r="A31" s="55" t="s">
        <v>32</v>
      </c>
      <c r="B31" s="78" t="str">
        <f>VLOOKUP(A31,'Selling prices'!A:B,2,0)</f>
        <v>Product A</v>
      </c>
      <c r="C31" s="26">
        <v>44579</v>
      </c>
      <c r="D31" s="26">
        <v>44618</v>
      </c>
      <c r="E31" s="26">
        <v>44638</v>
      </c>
      <c r="F31" s="26">
        <v>44674</v>
      </c>
      <c r="G31" s="26">
        <v>44691</v>
      </c>
      <c r="H31" s="26">
        <v>44728</v>
      </c>
      <c r="I31" s="26">
        <v>44764</v>
      </c>
      <c r="J31" s="26">
        <v>44788</v>
      </c>
      <c r="K31" s="26">
        <v>44820</v>
      </c>
      <c r="L31" s="26">
        <v>44855</v>
      </c>
      <c r="M31" s="26">
        <v>44893</v>
      </c>
      <c r="N31" s="67">
        <v>44910</v>
      </c>
    </row>
    <row r="32" spans="1:15" s="44" customFormat="1">
      <c r="A32" s="55" t="s">
        <v>37</v>
      </c>
      <c r="B32" s="78" t="str">
        <f>VLOOKUP(A32,'Selling prices'!A:B,2,0)</f>
        <v>Product B</v>
      </c>
      <c r="C32" s="26">
        <v>44582</v>
      </c>
      <c r="D32" s="26">
        <v>44607</v>
      </c>
      <c r="E32" s="26">
        <v>44635</v>
      </c>
      <c r="F32" s="26">
        <v>44669</v>
      </c>
      <c r="G32" s="26">
        <v>44699</v>
      </c>
      <c r="H32" s="26">
        <v>44725</v>
      </c>
      <c r="I32" s="26">
        <v>44772</v>
      </c>
      <c r="J32" s="26">
        <v>44787</v>
      </c>
      <c r="K32" s="26">
        <v>44832</v>
      </c>
      <c r="L32" s="26">
        <v>44850</v>
      </c>
      <c r="M32" s="26">
        <v>44874</v>
      </c>
      <c r="N32" s="67">
        <v>44913</v>
      </c>
    </row>
    <row r="33" spans="1:14" s="44" customFormat="1">
      <c r="A33" s="55" t="s">
        <v>33</v>
      </c>
      <c r="B33" s="78" t="str">
        <f>VLOOKUP(A33,'Selling prices'!A:B,2,0)</f>
        <v>Product A</v>
      </c>
      <c r="C33" s="26">
        <v>44573</v>
      </c>
      <c r="D33" s="26">
        <v>44610</v>
      </c>
      <c r="E33" s="26">
        <v>44637</v>
      </c>
      <c r="F33" s="26">
        <v>44670</v>
      </c>
      <c r="G33" s="26">
        <v>44706</v>
      </c>
      <c r="H33" s="26">
        <v>44730</v>
      </c>
      <c r="I33" s="26">
        <v>44771</v>
      </c>
      <c r="J33" s="26">
        <v>44800</v>
      </c>
      <c r="K33" s="26">
        <v>44831</v>
      </c>
      <c r="L33" s="26">
        <v>44857</v>
      </c>
      <c r="M33" s="26">
        <v>44880</v>
      </c>
      <c r="N33" s="67">
        <v>44913</v>
      </c>
    </row>
    <row r="34" spans="1:14" s="44" customFormat="1">
      <c r="A34" s="55" t="s">
        <v>38</v>
      </c>
      <c r="B34" s="78" t="str">
        <f>VLOOKUP(A34,'Selling prices'!A:B,2,0)</f>
        <v>Product B</v>
      </c>
      <c r="C34" s="26">
        <v>44588</v>
      </c>
      <c r="D34" s="26">
        <v>44604</v>
      </c>
      <c r="E34" s="26">
        <v>44644</v>
      </c>
      <c r="F34" s="26">
        <v>44673</v>
      </c>
      <c r="G34" s="26">
        <v>44691</v>
      </c>
      <c r="H34" s="26">
        <v>44734</v>
      </c>
      <c r="I34" s="26">
        <v>44758</v>
      </c>
      <c r="J34" s="26">
        <v>44787</v>
      </c>
      <c r="K34" s="26">
        <v>44831</v>
      </c>
      <c r="L34" s="26">
        <v>44858</v>
      </c>
      <c r="M34" s="26">
        <v>44879</v>
      </c>
      <c r="N34" s="67">
        <v>44910</v>
      </c>
    </row>
    <row r="35" spans="1:14" s="44" customFormat="1">
      <c r="A35" s="55" t="s">
        <v>34</v>
      </c>
      <c r="B35" s="78" t="str">
        <f>VLOOKUP(A35,'Selling prices'!A:B,2,0)</f>
        <v>Product A</v>
      </c>
      <c r="C35" s="26">
        <v>44572</v>
      </c>
      <c r="D35" s="26">
        <v>44613</v>
      </c>
      <c r="E35" s="26">
        <v>44634</v>
      </c>
      <c r="F35" s="26">
        <v>44667</v>
      </c>
      <c r="G35" s="26">
        <v>44706</v>
      </c>
      <c r="H35" s="26">
        <v>44726</v>
      </c>
      <c r="I35" s="26">
        <v>44758</v>
      </c>
      <c r="J35" s="26">
        <v>44784</v>
      </c>
      <c r="K35" s="26">
        <v>44834</v>
      </c>
      <c r="L35" s="26">
        <v>44854</v>
      </c>
      <c r="M35" s="26">
        <v>44879</v>
      </c>
      <c r="N35" s="67">
        <v>44925</v>
      </c>
    </row>
    <row r="36" spans="1:14" s="44" customFormat="1" ht="16" thickBot="1">
      <c r="A36" s="57" t="s">
        <v>35</v>
      </c>
      <c r="B36" s="79" t="str">
        <f>VLOOKUP(A36,'Selling prices'!A:B,2,0)</f>
        <v>Product A</v>
      </c>
      <c r="C36" s="68">
        <v>44580</v>
      </c>
      <c r="D36" s="68">
        <v>44611</v>
      </c>
      <c r="E36" s="68">
        <v>44637</v>
      </c>
      <c r="F36" s="68">
        <v>44680</v>
      </c>
      <c r="G36" s="68">
        <v>44706</v>
      </c>
      <c r="H36" s="68">
        <v>44729</v>
      </c>
      <c r="I36" s="68">
        <v>44760</v>
      </c>
      <c r="J36" s="68">
        <v>44790</v>
      </c>
      <c r="K36" s="68">
        <v>44825</v>
      </c>
      <c r="L36" s="68">
        <v>44859</v>
      </c>
      <c r="M36" s="68">
        <v>44882</v>
      </c>
      <c r="N36" s="69">
        <v>44912</v>
      </c>
    </row>
    <row r="37" spans="1:14" s="26" customFormat="1" ht="17" thickBot="1">
      <c r="A37" s="59" t="s">
        <v>101</v>
      </c>
      <c r="B37" s="77" t="s">
        <v>50</v>
      </c>
      <c r="C37" s="62" t="s">
        <v>17</v>
      </c>
      <c r="D37" s="62" t="s">
        <v>18</v>
      </c>
      <c r="E37" s="62" t="s">
        <v>19</v>
      </c>
      <c r="F37" s="62" t="s">
        <v>20</v>
      </c>
      <c r="G37" s="62" t="s">
        <v>21</v>
      </c>
      <c r="H37" s="62" t="s">
        <v>22</v>
      </c>
      <c r="I37" s="62" t="s">
        <v>23</v>
      </c>
      <c r="J37" s="62" t="s">
        <v>24</v>
      </c>
      <c r="K37" s="62" t="s">
        <v>25</v>
      </c>
      <c r="L37" s="62" t="s">
        <v>26</v>
      </c>
      <c r="M37" s="62" t="s">
        <v>27</v>
      </c>
      <c r="N37" s="63" t="s">
        <v>28</v>
      </c>
    </row>
    <row r="38" spans="1:14">
      <c r="A38" s="55" t="s">
        <v>39</v>
      </c>
      <c r="B38" s="78" t="str">
        <f>VLOOKUP(A38,'Selling prices'!A:B,2,0)</f>
        <v>Product C</v>
      </c>
      <c r="C38" s="70">
        <v>44616</v>
      </c>
      <c r="D38" s="70">
        <v>44711</v>
      </c>
      <c r="E38" s="70">
        <v>44705</v>
      </c>
      <c r="F38" s="70">
        <v>44740</v>
      </c>
      <c r="G38" s="70">
        <v>44742</v>
      </c>
      <c r="H38" s="70">
        <v>44785</v>
      </c>
      <c r="I38" s="70">
        <v>44842</v>
      </c>
      <c r="J38" s="70">
        <v>44823</v>
      </c>
      <c r="K38" s="70">
        <v>44882</v>
      </c>
      <c r="L38" s="70">
        <v>44935</v>
      </c>
      <c r="M38" s="70">
        <v>44954</v>
      </c>
      <c r="N38" s="71">
        <v>44991</v>
      </c>
    </row>
    <row r="39" spans="1:14">
      <c r="A39" s="55" t="s">
        <v>31</v>
      </c>
      <c r="B39" s="78" t="str">
        <f>VLOOKUP(A39,'Selling prices'!A:B,2,0)</f>
        <v>Product A</v>
      </c>
      <c r="C39" s="26">
        <v>44608</v>
      </c>
      <c r="D39" s="26">
        <v>44652</v>
      </c>
      <c r="E39" s="26">
        <v>44718</v>
      </c>
      <c r="F39" s="26">
        <v>44721</v>
      </c>
      <c r="G39" s="26">
        <v>44777</v>
      </c>
      <c r="H39" s="26">
        <v>44774</v>
      </c>
      <c r="I39" s="26">
        <v>44819</v>
      </c>
      <c r="J39" s="26">
        <v>44837</v>
      </c>
      <c r="K39" s="26">
        <v>44893</v>
      </c>
      <c r="L39" s="26">
        <v>44889</v>
      </c>
      <c r="M39" s="26">
        <v>44941</v>
      </c>
      <c r="N39" s="67">
        <v>45003</v>
      </c>
    </row>
    <row r="40" spans="1:14">
      <c r="A40" s="55" t="s">
        <v>40</v>
      </c>
      <c r="B40" s="78" t="str">
        <f>VLOOKUP(A40,'Selling prices'!A:B,2,0)</f>
        <v>Product C</v>
      </c>
      <c r="C40" s="26">
        <v>44671</v>
      </c>
      <c r="D40" s="26">
        <v>44661</v>
      </c>
      <c r="E40" s="26">
        <v>44710</v>
      </c>
      <c r="F40" s="26">
        <v>44717</v>
      </c>
      <c r="G40" s="26">
        <v>44735</v>
      </c>
      <c r="H40" s="26">
        <v>44800</v>
      </c>
      <c r="I40" s="26">
        <v>44800</v>
      </c>
      <c r="J40" s="26">
        <v>44874</v>
      </c>
      <c r="K40" s="26">
        <v>44875</v>
      </c>
      <c r="L40" s="26">
        <v>44909</v>
      </c>
      <c r="M40" s="26">
        <v>44947</v>
      </c>
      <c r="N40" s="67">
        <v>45021</v>
      </c>
    </row>
    <row r="41" spans="1:14">
      <c r="A41" s="55" t="s">
        <v>36</v>
      </c>
      <c r="B41" s="78" t="str">
        <f>VLOOKUP(A41,'Selling prices'!A:B,2,0)</f>
        <v>Product B</v>
      </c>
      <c r="C41" s="26">
        <v>44671</v>
      </c>
      <c r="D41" s="26">
        <v>44720</v>
      </c>
      <c r="E41" s="26">
        <v>44683</v>
      </c>
      <c r="F41" s="26">
        <v>44698</v>
      </c>
      <c r="G41" s="26">
        <v>44747</v>
      </c>
      <c r="H41" s="26">
        <v>44843</v>
      </c>
      <c r="I41" s="26">
        <v>44846</v>
      </c>
      <c r="J41" s="26">
        <v>44868</v>
      </c>
      <c r="K41" s="26">
        <v>44864</v>
      </c>
      <c r="L41" s="26">
        <v>44922</v>
      </c>
      <c r="M41" s="26">
        <v>44976</v>
      </c>
      <c r="N41" s="67">
        <v>44976</v>
      </c>
    </row>
    <row r="42" spans="1:14">
      <c r="A42" s="55" t="s">
        <v>32</v>
      </c>
      <c r="B42" s="78" t="str">
        <f>VLOOKUP(A42,'Selling prices'!A:B,2,0)</f>
        <v>Product A</v>
      </c>
      <c r="C42" s="26">
        <v>44646</v>
      </c>
      <c r="D42" s="26">
        <v>44706</v>
      </c>
      <c r="E42" s="26">
        <v>44716</v>
      </c>
      <c r="F42" s="26">
        <v>44776</v>
      </c>
      <c r="G42" s="26">
        <v>44741</v>
      </c>
      <c r="H42" s="26">
        <v>44775</v>
      </c>
      <c r="I42" s="26">
        <v>44857</v>
      </c>
      <c r="J42" s="26">
        <v>44880</v>
      </c>
      <c r="K42" s="26">
        <v>44911</v>
      </c>
      <c r="L42" s="26">
        <v>44942</v>
      </c>
      <c r="M42" s="26">
        <v>44990</v>
      </c>
      <c r="N42" s="67">
        <v>44966</v>
      </c>
    </row>
    <row r="43" spans="1:14">
      <c r="A43" s="55" t="s">
        <v>37</v>
      </c>
      <c r="B43" s="78" t="str">
        <f>VLOOKUP(A43,'Selling prices'!A:B,2,0)</f>
        <v>Product B</v>
      </c>
      <c r="C43" s="26">
        <v>44649</v>
      </c>
      <c r="D43" s="26">
        <v>44670</v>
      </c>
      <c r="E43" s="26">
        <v>44685</v>
      </c>
      <c r="F43" s="26">
        <v>44704</v>
      </c>
      <c r="G43" s="26">
        <v>44794</v>
      </c>
      <c r="H43" s="26">
        <v>44795</v>
      </c>
      <c r="I43" s="26">
        <v>44851</v>
      </c>
      <c r="J43" s="26">
        <v>44868</v>
      </c>
      <c r="K43" s="26">
        <v>44885</v>
      </c>
      <c r="L43" s="26">
        <v>44896</v>
      </c>
      <c r="M43" s="26">
        <v>44959</v>
      </c>
      <c r="N43" s="67">
        <v>44966</v>
      </c>
    </row>
    <row r="44" spans="1:14">
      <c r="A44" s="55" t="s">
        <v>33</v>
      </c>
      <c r="B44" s="78" t="str">
        <f>VLOOKUP(A44,'Selling prices'!A:B,2,0)</f>
        <v>Product A</v>
      </c>
      <c r="C44" s="26">
        <v>44669</v>
      </c>
      <c r="D44" s="26">
        <v>44646</v>
      </c>
      <c r="E44" s="26">
        <v>44675</v>
      </c>
      <c r="F44" s="26">
        <v>44700</v>
      </c>
      <c r="G44" s="26">
        <v>44805</v>
      </c>
      <c r="H44" s="26">
        <v>44825</v>
      </c>
      <c r="I44" s="26">
        <v>44819</v>
      </c>
      <c r="J44" s="26">
        <v>44883</v>
      </c>
      <c r="K44" s="26">
        <v>44866</v>
      </c>
      <c r="L44" s="26">
        <v>44958</v>
      </c>
      <c r="M44" s="26">
        <v>44965</v>
      </c>
      <c r="N44" s="67">
        <v>45015</v>
      </c>
    </row>
    <row r="45" spans="1:14">
      <c r="A45" s="55" t="s">
        <v>38</v>
      </c>
      <c r="B45" s="78" t="str">
        <f>VLOOKUP(A45,'Selling prices'!A:B,2,0)</f>
        <v>Product B</v>
      </c>
      <c r="C45" s="26">
        <v>44618</v>
      </c>
      <c r="D45" s="26">
        <v>44687</v>
      </c>
      <c r="E45" s="26">
        <v>44689</v>
      </c>
      <c r="F45" s="26">
        <v>44716</v>
      </c>
      <c r="G45" s="26">
        <v>44739</v>
      </c>
      <c r="H45" s="26">
        <v>44813</v>
      </c>
      <c r="I45" s="26">
        <v>44837</v>
      </c>
      <c r="J45" s="26">
        <v>44849</v>
      </c>
      <c r="K45" s="26">
        <v>44864</v>
      </c>
      <c r="L45" s="26">
        <v>44906</v>
      </c>
      <c r="M45" s="26">
        <v>44969</v>
      </c>
      <c r="N45" s="67">
        <v>44978</v>
      </c>
    </row>
    <row r="46" spans="1:14">
      <c r="A46" s="55" t="s">
        <v>34</v>
      </c>
      <c r="B46" s="78" t="str">
        <f>VLOOKUP(A46,'Selling prices'!A:B,2,0)</f>
        <v>Product A</v>
      </c>
      <c r="C46" s="26">
        <v>44603</v>
      </c>
      <c r="D46" s="26">
        <v>44674</v>
      </c>
      <c r="E46" s="26">
        <v>44735</v>
      </c>
      <c r="F46" s="26">
        <v>44769</v>
      </c>
      <c r="G46" s="26">
        <v>44778</v>
      </c>
      <c r="H46" s="26">
        <v>44806</v>
      </c>
      <c r="I46" s="26">
        <v>44833</v>
      </c>
      <c r="J46" s="26">
        <v>44831</v>
      </c>
      <c r="K46" s="26">
        <v>44890</v>
      </c>
      <c r="L46" s="26">
        <v>44961</v>
      </c>
      <c r="M46" s="26">
        <v>44932</v>
      </c>
      <c r="N46" s="67">
        <v>45013</v>
      </c>
    </row>
    <row r="47" spans="1:14" ht="16" thickBot="1">
      <c r="A47" s="57" t="s">
        <v>35</v>
      </c>
      <c r="B47" s="79" t="str">
        <f>VLOOKUP(A47,'Selling prices'!A:B,2,0)</f>
        <v>Product A</v>
      </c>
      <c r="C47" s="68">
        <v>44612</v>
      </c>
      <c r="D47" s="68">
        <v>44659</v>
      </c>
      <c r="E47" s="68">
        <v>44703</v>
      </c>
      <c r="F47" s="68">
        <v>44781</v>
      </c>
      <c r="G47" s="68">
        <v>44749</v>
      </c>
      <c r="H47" s="68">
        <v>44824</v>
      </c>
      <c r="I47" s="68">
        <v>44848</v>
      </c>
      <c r="J47" s="68">
        <v>44860</v>
      </c>
      <c r="K47" s="68">
        <v>44870</v>
      </c>
      <c r="L47" s="68">
        <v>44903</v>
      </c>
      <c r="M47" s="68">
        <v>44921</v>
      </c>
      <c r="N47" s="69">
        <v>45001</v>
      </c>
    </row>
    <row r="48" spans="1:14" ht="17" thickBot="1">
      <c r="A48" s="59" t="s">
        <v>103</v>
      </c>
      <c r="B48" s="77" t="s">
        <v>50</v>
      </c>
      <c r="C48" s="62" t="s">
        <v>17</v>
      </c>
      <c r="D48" s="62" t="s">
        <v>18</v>
      </c>
      <c r="E48" s="62" t="s">
        <v>19</v>
      </c>
      <c r="F48" s="62" t="s">
        <v>20</v>
      </c>
      <c r="G48" s="62" t="s">
        <v>21</v>
      </c>
      <c r="H48" s="62" t="s">
        <v>22</v>
      </c>
      <c r="I48" s="62" t="s">
        <v>23</v>
      </c>
      <c r="J48" s="62" t="s">
        <v>24</v>
      </c>
      <c r="K48" s="62" t="s">
        <v>25</v>
      </c>
      <c r="L48" s="62" t="s">
        <v>26</v>
      </c>
      <c r="M48" s="62" t="s">
        <v>27</v>
      </c>
      <c r="N48" s="63" t="s">
        <v>28</v>
      </c>
    </row>
    <row r="49" spans="1:14">
      <c r="A49" s="73" t="s">
        <v>39</v>
      </c>
      <c r="B49" s="80" t="str">
        <f>VLOOKUP(A49,'Selling prices'!A:B,2,0)</f>
        <v>Product C</v>
      </c>
      <c r="C49" s="74">
        <f>C3*'Cost Structure'!D$23</f>
        <v>3802085.6760000004</v>
      </c>
      <c r="D49" s="74">
        <f>D3*'Cost Structure'!E$23</f>
        <v>2158609.2720000003</v>
      </c>
      <c r="E49" s="74">
        <f>E3*'Cost Structure'!F$23</f>
        <v>3080214.0240000002</v>
      </c>
      <c r="F49" s="74">
        <f>F3*'Cost Structure'!G$23</f>
        <v>2652752.3760000002</v>
      </c>
      <c r="G49" s="74">
        <f>G3*'Cost Structure'!H$23</f>
        <v>3472739.7840000005</v>
      </c>
      <c r="H49" s="74">
        <f>H3*'Cost Structure'!I$23</f>
        <v>2175367.3680000002</v>
      </c>
      <c r="I49" s="74">
        <f>I3*'Cost Structure'!J$23</f>
        <v>2609434.5480000004</v>
      </c>
      <c r="J49" s="74">
        <f>J3*'Cost Structure'!K$23</f>
        <v>1627946.5740000003</v>
      </c>
      <c r="K49" s="74">
        <f>K3*'Cost Structure'!L$23</f>
        <v>1943756.4420000003</v>
      </c>
      <c r="L49" s="74">
        <f>L3*'Cost Structure'!M$23</f>
        <v>2066553.7620000003</v>
      </c>
      <c r="M49" s="74">
        <f>M3*'Cost Structure'!N$23</f>
        <v>2410365.6540000006</v>
      </c>
      <c r="N49" s="74">
        <f>N3*'Cost Structure'!O$23</f>
        <v>1990773.1560000002</v>
      </c>
    </row>
    <row r="50" spans="1:14">
      <c r="A50" s="55" t="s">
        <v>31</v>
      </c>
      <c r="B50" s="78" t="str">
        <f>VLOOKUP(A50,'Selling prices'!A:B,2,0)</f>
        <v>Product A</v>
      </c>
      <c r="C50" s="72">
        <f>C4*'Cost Structure'!D$9</f>
        <v>542431.17599999998</v>
      </c>
      <c r="D50" s="28">
        <f>D4*'Cost Structure'!E$9</f>
        <v>693000.87</v>
      </c>
      <c r="E50" s="28">
        <f>E4*'Cost Structure'!F$9</f>
        <v>626216.49200000009</v>
      </c>
      <c r="F50" s="28">
        <f>F4*'Cost Structure'!G$9</f>
        <v>918233.26400000008</v>
      </c>
      <c r="G50" s="28">
        <f>G4*'Cost Structure'!H$9</f>
        <v>594838.83600000001</v>
      </c>
      <c r="H50" s="28">
        <f>H4*'Cost Structure'!I$9</f>
        <v>339151.61600000004</v>
      </c>
      <c r="I50" s="28">
        <f>I4*'Cost Structure'!J$9</f>
        <v>871011.75200000009</v>
      </c>
      <c r="J50" s="28">
        <f>J4*'Cost Structure'!K$9</f>
        <v>1160638.2760000001</v>
      </c>
      <c r="K50" s="28">
        <f>K4*'Cost Structure'!L$9</f>
        <v>962314.08000000007</v>
      </c>
      <c r="L50" s="28">
        <f>L4*'Cost Structure'!M$9</f>
        <v>341749.31400000001</v>
      </c>
      <c r="M50" s="28">
        <f>M4*'Cost Structure'!N$9</f>
        <v>621150.64200000011</v>
      </c>
      <c r="N50" s="76">
        <f>N4*'Cost Structure'!O$9</f>
        <v>322188.84000000003</v>
      </c>
    </row>
    <row r="51" spans="1:14">
      <c r="A51" s="55" t="s">
        <v>40</v>
      </c>
      <c r="B51" s="78" t="str">
        <f>VLOOKUP(A51,'Selling prices'!A:B,2,0)</f>
        <v>Product C</v>
      </c>
      <c r="C51" s="72">
        <f>+C5*'Cost Structure'!D$23</f>
        <v>507463.76400000002</v>
      </c>
      <c r="D51">
        <f>+D5*'Cost Structure'!E$23</f>
        <v>258045.85600000003</v>
      </c>
      <c r="E51">
        <f>+E5*'Cost Structure'!F$23</f>
        <v>826197.97200000007</v>
      </c>
      <c r="F51">
        <f>+F5*'Cost Structure'!G$23</f>
        <v>1292684.6640000001</v>
      </c>
      <c r="G51">
        <f>+G5*'Cost Structure'!H$23</f>
        <v>184109.49600000001</v>
      </c>
      <c r="H51">
        <f>+H5*'Cost Structure'!I$23</f>
        <v>927360.24800000002</v>
      </c>
      <c r="I51">
        <f>+I5*'Cost Structure'!J$23</f>
        <v>1169056.0980000002</v>
      </c>
      <c r="J51">
        <f>+J5*'Cost Structure'!K$23</f>
        <v>303428.73400000005</v>
      </c>
      <c r="K51">
        <f>+K5*'Cost Structure'!L$23</f>
        <v>362284.50600000005</v>
      </c>
      <c r="L51">
        <f>+L5*'Cost Structure'!M$23</f>
        <v>120585.02400000002</v>
      </c>
      <c r="M51">
        <f>+M5*'Cost Structure'!N$23</f>
        <v>769844.28600000008</v>
      </c>
      <c r="N51" s="56">
        <f>+N5*'Cost Structure'!O$23</f>
        <v>247718.89200000002</v>
      </c>
    </row>
    <row r="52" spans="1:14">
      <c r="A52" s="55" t="s">
        <v>36</v>
      </c>
      <c r="B52" s="78" t="str">
        <f>VLOOKUP(A52,'Selling prices'!A:B,2,0)</f>
        <v>Product B</v>
      </c>
      <c r="C52" s="72">
        <f>C6*'Cost Structure'!D$16</f>
        <v>503729.28</v>
      </c>
      <c r="D52">
        <f>D6*'Cost Structure'!E$16</f>
        <v>1168469.3160000001</v>
      </c>
      <c r="E52">
        <f>E6*'Cost Structure'!F$16</f>
        <v>742690.20600000012</v>
      </c>
      <c r="F52">
        <f>F6*'Cost Structure'!G$16</f>
        <v>729958.17599999998</v>
      </c>
      <c r="G52">
        <f>G6*'Cost Structure'!H$16</f>
        <v>527983.18200000003</v>
      </c>
      <c r="H52">
        <f>H6*'Cost Structure'!I$16</f>
        <v>631143.38400000008</v>
      </c>
      <c r="I52">
        <f>I6*'Cost Structure'!J$16</f>
        <v>1153649.2240000002</v>
      </c>
      <c r="J52">
        <f>J6*'Cost Structure'!K$16</f>
        <v>1167354.1800000002</v>
      </c>
      <c r="K52">
        <f>K6*'Cost Structure'!L$16</f>
        <v>962348.4040000001</v>
      </c>
      <c r="L52">
        <f>L6*'Cost Structure'!M$16</f>
        <v>559045.33799999999</v>
      </c>
      <c r="M52">
        <f>M6*'Cost Structure'!N$16</f>
        <v>492322.68400000007</v>
      </c>
      <c r="N52" s="56">
        <f>N6*'Cost Structure'!O$16</f>
        <v>612818.25600000005</v>
      </c>
    </row>
    <row r="53" spans="1:14">
      <c r="A53" s="55" t="s">
        <v>32</v>
      </c>
      <c r="B53" s="78" t="str">
        <f>VLOOKUP(A53,'Selling prices'!A:B,2,0)</f>
        <v>Product A</v>
      </c>
      <c r="C53" s="72">
        <f>C7*'Cost Structure'!D$9</f>
        <v>1003104.7320000001</v>
      </c>
      <c r="D53" s="28">
        <f>D7*'Cost Structure'!E$9</f>
        <v>1103898.3660000002</v>
      </c>
      <c r="E53" s="28">
        <f>E7*'Cost Structure'!F$9</f>
        <v>295462.72200000001</v>
      </c>
      <c r="F53" s="28">
        <f>F7*'Cost Structure'!G$9</f>
        <v>1007699.1920000002</v>
      </c>
      <c r="G53" s="28">
        <f>G7*'Cost Structure'!H$9</f>
        <v>506414.53</v>
      </c>
      <c r="H53" s="28">
        <f>H7*'Cost Structure'!I$9</f>
        <v>592884.73600000003</v>
      </c>
      <c r="I53" s="28">
        <f>I7*'Cost Structure'!J$9</f>
        <v>657977.64800000004</v>
      </c>
      <c r="J53" s="28">
        <f>J7*'Cost Structure'!K$9</f>
        <v>676292.30800000008</v>
      </c>
      <c r="K53" s="28">
        <f>K7*'Cost Structure'!L$9</f>
        <v>1226818.2660000001</v>
      </c>
      <c r="L53" s="28">
        <f>L7*'Cost Structure'!M$9</f>
        <v>874464.92999999993</v>
      </c>
      <c r="M53" s="28">
        <f>M7*'Cost Structure'!N$9</f>
        <v>872123.07000000007</v>
      </c>
      <c r="N53" s="76">
        <f>N7*'Cost Structure'!O$9</f>
        <v>447512.68800000002</v>
      </c>
    </row>
    <row r="54" spans="1:14">
      <c r="A54" s="55" t="s">
        <v>37</v>
      </c>
      <c r="B54" s="78" t="str">
        <f>VLOOKUP(A54,'Selling prices'!A:B,2,0)</f>
        <v>Product B</v>
      </c>
      <c r="C54" s="72">
        <f>C8*'Cost Structure'!D$16</f>
        <v>414301.39200000005</v>
      </c>
      <c r="D54">
        <f>D8*'Cost Structure'!E$16</f>
        <v>437061.36600000004</v>
      </c>
      <c r="E54">
        <f>E8*'Cost Structure'!F$16</f>
        <v>451142.36400000006</v>
      </c>
      <c r="F54">
        <f>F8*'Cost Structure'!G$16</f>
        <v>407096.68800000002</v>
      </c>
      <c r="G54">
        <f>G8*'Cost Structure'!H$16</f>
        <v>451763.44200000004</v>
      </c>
      <c r="H54">
        <f>H8*'Cost Structure'!I$16</f>
        <v>385696.70400000009</v>
      </c>
      <c r="I54">
        <f>I8*'Cost Structure'!J$16</f>
        <v>439512.08000000007</v>
      </c>
      <c r="J54">
        <f>J8*'Cost Structure'!K$16</f>
        <v>464131.94400000008</v>
      </c>
      <c r="K54">
        <f>K8*'Cost Structure'!L$16</f>
        <v>412372.39</v>
      </c>
      <c r="L54">
        <f>L8*'Cost Structure'!M$16</f>
        <v>447806.51400000002</v>
      </c>
      <c r="M54">
        <f>M8*'Cost Structure'!N$16</f>
        <v>407584.84200000006</v>
      </c>
      <c r="N54" s="56">
        <f>N8*'Cost Structure'!O$16</f>
        <v>410076.78400000004</v>
      </c>
    </row>
    <row r="55" spans="1:14">
      <c r="A55" s="55" t="s">
        <v>33</v>
      </c>
      <c r="B55" s="78" t="str">
        <f>VLOOKUP(A55,'Selling prices'!A:B,2,0)</f>
        <v>Product A</v>
      </c>
      <c r="C55" s="72">
        <f>C9*'Cost Structure'!D$9-ERP_Inventory!C46/3</f>
        <v>1091284.656</v>
      </c>
      <c r="D55" s="72">
        <f>D9*'Cost Structure'!E$9-ERP_Inventory!D46/3</f>
        <v>699427.22999999986</v>
      </c>
      <c r="E55" s="72">
        <f>E9*'Cost Structure'!F$9-ERP_Inventory!E46/3</f>
        <v>372865.75066666602</v>
      </c>
      <c r="F55" s="72">
        <f>F9*'Cost Structure'!G$9-ERP_Inventory!F46/3</f>
        <v>345962.48466666648</v>
      </c>
      <c r="G55" s="72">
        <f>G9*'Cost Structure'!H$9-ERP_Inventory!G46/3</f>
        <v>817727.86066666641</v>
      </c>
      <c r="H55" s="72">
        <f>H9*'Cost Structure'!I$9-ERP_Inventory!H46/3</f>
        <v>776408.67799999996</v>
      </c>
      <c r="I55" s="72">
        <f>I9*'Cost Structure'!J$9-ERP_Inventory!I46/3</f>
        <v>1167437.362666666</v>
      </c>
      <c r="J55" s="72">
        <f>J9*'Cost Structure'!K$9-ERP_Inventory!J46/3</f>
        <v>820385.08266666613</v>
      </c>
      <c r="K55" s="72">
        <f>K9*'Cost Structure'!L$9-ERP_Inventory!K46/3</f>
        <v>247688.78599999967</v>
      </c>
      <c r="L55" s="72">
        <f>L9*'Cost Structure'!M$9-ERP_Inventory!L46/3</f>
        <v>851886.81066666672</v>
      </c>
      <c r="M55" s="72">
        <f>M9*'Cost Structure'!N$9-ERP_Inventory!M46/3</f>
        <v>741423.15333333332</v>
      </c>
      <c r="N55" s="72">
        <f>N9*'Cost Structure'!O$9-ERP_Inventory!N46/3</f>
        <v>896130.98266666662</v>
      </c>
    </row>
    <row r="56" spans="1:14">
      <c r="A56" s="55" t="s">
        <v>38</v>
      </c>
      <c r="B56" s="78" t="str">
        <f>VLOOKUP(A56,'Selling prices'!A:B,2,0)</f>
        <v>Product B</v>
      </c>
      <c r="C56" s="72">
        <f>C10*'Cost Structure'!D$16</f>
        <v>564304.32000000007</v>
      </c>
      <c r="D56">
        <f>D10*'Cost Structure'!E$16</f>
        <v>397784.016</v>
      </c>
      <c r="E56">
        <f>E10*'Cost Structure'!F$16</f>
        <v>1163431.5600000003</v>
      </c>
      <c r="F56">
        <f>F10*'Cost Structure'!G$16</f>
        <v>449174.17600000004</v>
      </c>
      <c r="G56">
        <f>G10*'Cost Structure'!H$16</f>
        <v>1016220.1380000002</v>
      </c>
      <c r="H56">
        <f>H10*'Cost Structure'!I$16</f>
        <v>606141.81600000011</v>
      </c>
      <c r="I56">
        <f>I10*'Cost Structure'!J$16</f>
        <v>434913.00000000006</v>
      </c>
      <c r="J56">
        <f>J10*'Cost Structure'!K$16</f>
        <v>1164544.4520000003</v>
      </c>
      <c r="K56">
        <f>K10*'Cost Structure'!L$16</f>
        <v>748727.946</v>
      </c>
      <c r="L56">
        <f>L10*'Cost Structure'!M$16</f>
        <v>974372.76</v>
      </c>
      <c r="M56">
        <f>M10*'Cost Structure'!N$16</f>
        <v>292233.50800000003</v>
      </c>
      <c r="N56" s="56">
        <f>N10*'Cost Structure'!O$16</f>
        <v>624073.16400000011</v>
      </c>
    </row>
    <row r="57" spans="1:14">
      <c r="A57" s="55" t="s">
        <v>34</v>
      </c>
      <c r="B57" s="78" t="str">
        <f>VLOOKUP(A57,'Selling prices'!A:B,2,0)</f>
        <v>Product A</v>
      </c>
      <c r="C57" s="72">
        <f>C11*'Cost Structure'!D$9-ERP_Inventory!C46/3</f>
        <v>1214153.4720000001</v>
      </c>
      <c r="D57" s="72">
        <f>D11*'Cost Structure'!E$9-ERP_Inventory!D46/3</f>
        <v>1012264.2059999998</v>
      </c>
      <c r="E57" s="72">
        <f>E11*'Cost Structure'!F$9-ERP_Inventory!E46/3</f>
        <v>561297.59066666604</v>
      </c>
      <c r="F57" s="72">
        <f>F11*'Cost Structure'!G$9-ERP_Inventory!F46/3</f>
        <v>932609.05266666657</v>
      </c>
      <c r="G57" s="72">
        <f>G11*'Cost Structure'!H$9-ERP_Inventory!G46/3</f>
        <v>1065127.3246666663</v>
      </c>
      <c r="H57" s="72">
        <f>H11*'Cost Structure'!I$9-ERP_Inventory!H46/3</f>
        <v>997180.00599999994</v>
      </c>
      <c r="I57" s="72">
        <f>I11*'Cost Structure'!J$9-ERP_Inventory!I46/3</f>
        <v>748692.61066666595</v>
      </c>
      <c r="J57" s="72">
        <f>J11*'Cost Structure'!K$9-ERP_Inventory!J46/3</f>
        <v>1075011.9726666661</v>
      </c>
      <c r="K57" s="72">
        <f>K11*'Cost Structure'!L$9-ERP_Inventory!K46/3</f>
        <v>931046.34399999981</v>
      </c>
      <c r="L57" s="72">
        <f>L11*'Cost Structure'!M$9-ERP_Inventory!L46/3</f>
        <v>897470.39466666663</v>
      </c>
      <c r="M57" s="72">
        <f>M11*'Cost Structure'!N$9-ERP_Inventory!M46/3</f>
        <v>1138150.4493333334</v>
      </c>
      <c r="N57" s="72">
        <f>N11*'Cost Structure'!O$9-ERP_Inventory!N46/3</f>
        <v>1093926.1786666666</v>
      </c>
    </row>
    <row r="58" spans="1:14" ht="16" thickBot="1">
      <c r="A58" s="57" t="s">
        <v>35</v>
      </c>
      <c r="B58" s="79" t="str">
        <f>VLOOKUP(A58,'Selling prices'!A:B,2,0)</f>
        <v>Product A</v>
      </c>
      <c r="C58" s="75">
        <f>C12*'Cost Structure'!D$9-ERP_Inventory!C46/3</f>
        <v>919995.04800000007</v>
      </c>
      <c r="D58" s="75">
        <f>D12*'Cost Structure'!E$9-ERP_Inventory!D46/3</f>
        <v>1095057.5799999998</v>
      </c>
      <c r="E58" s="75">
        <f>E12*'Cost Structure'!F$9-ERP_Inventory!E46/3</f>
        <v>289029.55066666601</v>
      </c>
      <c r="F58" s="75">
        <f>F12*'Cost Structure'!G$9-ERP_Inventory!F46/3</f>
        <v>846422.21266666648</v>
      </c>
      <c r="G58" s="75">
        <f>G12*'Cost Structure'!H$9-ERP_Inventory!G46/3</f>
        <v>844988.09266666637</v>
      </c>
      <c r="H58" s="75">
        <f>H12*'Cost Structure'!I$9-ERP_Inventory!H46/3</f>
        <v>443840.86999999988</v>
      </c>
      <c r="I58" s="75">
        <f>I12*'Cost Structure'!J$9-ERP_Inventory!I46/3</f>
        <v>395248.6746666659</v>
      </c>
      <c r="J58" s="75">
        <f>J12*'Cost Structure'!K$9-ERP_Inventory!J46/3</f>
        <v>480389.33866666612</v>
      </c>
      <c r="K58" s="75">
        <f>K12*'Cost Structure'!L$9-ERP_Inventory!K46/3</f>
        <v>400319.55399999971</v>
      </c>
      <c r="L58" s="75">
        <f>L12*'Cost Structure'!M$9-ERP_Inventory!L46/3</f>
        <v>1223316.4806666668</v>
      </c>
      <c r="M58" s="75">
        <f>M12*'Cost Structure'!N$9-ERP_Inventory!M46/3</f>
        <v>778330.86333333328</v>
      </c>
      <c r="N58" s="75">
        <f>N12*'Cost Structure'!O$9-ERP_Inventory!N46/3</f>
        <v>1120563.8386666665</v>
      </c>
    </row>
    <row r="59" spans="1:14">
      <c r="C59" s="28">
        <v>1</v>
      </c>
      <c r="D59">
        <v>2</v>
      </c>
      <c r="E59">
        <v>3</v>
      </c>
      <c r="F59">
        <v>4</v>
      </c>
      <c r="G59">
        <v>5</v>
      </c>
      <c r="H59">
        <v>6</v>
      </c>
      <c r="I59">
        <v>7</v>
      </c>
      <c r="J59">
        <v>8</v>
      </c>
      <c r="K59">
        <v>9</v>
      </c>
      <c r="L59">
        <v>10</v>
      </c>
      <c r="M59">
        <v>11</v>
      </c>
      <c r="N59">
        <v>12</v>
      </c>
    </row>
    <row r="60" spans="1:14">
      <c r="B60" s="83" t="s">
        <v>107</v>
      </c>
      <c r="C60" t="s">
        <v>144</v>
      </c>
      <c r="D60" t="s">
        <v>145</v>
      </c>
      <c r="E60" t="s">
        <v>333</v>
      </c>
      <c r="F60" t="s">
        <v>334</v>
      </c>
      <c r="G60" t="s">
        <v>336</v>
      </c>
      <c r="H60" t="s">
        <v>335</v>
      </c>
      <c r="I60" t="s">
        <v>337</v>
      </c>
      <c r="J60" t="s">
        <v>338</v>
      </c>
      <c r="K60" t="s">
        <v>339</v>
      </c>
      <c r="L60" t="s">
        <v>340</v>
      </c>
      <c r="M60" t="s">
        <v>341</v>
      </c>
      <c r="N60" t="s">
        <v>342</v>
      </c>
    </row>
    <row r="61" spans="1:14">
      <c r="B61" s="84" t="s">
        <v>2</v>
      </c>
      <c r="C61" s="28">
        <v>4770969.0840000007</v>
      </c>
      <c r="D61" s="28">
        <v>4603648.2519999994</v>
      </c>
      <c r="E61" s="28">
        <v>2144872.1059999983</v>
      </c>
      <c r="F61" s="28">
        <v>4050926.2059999998</v>
      </c>
      <c r="G61" s="28">
        <v>3829096.6439999989</v>
      </c>
      <c r="H61" s="28">
        <v>3149465.9059999995</v>
      </c>
      <c r="I61" s="28">
        <v>3840368.0479999981</v>
      </c>
      <c r="J61" s="28">
        <v>4212716.9779999992</v>
      </c>
      <c r="K61" s="28">
        <v>3768187.0299999993</v>
      </c>
      <c r="L61" s="28">
        <v>4188887.93</v>
      </c>
      <c r="M61" s="28">
        <v>4151178.1780000003</v>
      </c>
      <c r="N61" s="28">
        <v>3880322.5279999999</v>
      </c>
    </row>
    <row r="62" spans="1:14">
      <c r="B62" s="84" t="s">
        <v>10</v>
      </c>
      <c r="C62" s="28">
        <v>1482334.9920000001</v>
      </c>
      <c r="D62" s="28">
        <v>2003314.6980000001</v>
      </c>
      <c r="E62" s="28">
        <v>2357264.1300000008</v>
      </c>
      <c r="F62" s="28">
        <v>1586229.04</v>
      </c>
      <c r="G62" s="28">
        <v>1995966.7620000001</v>
      </c>
      <c r="H62" s="28">
        <v>1622981.9040000003</v>
      </c>
      <c r="I62" s="28">
        <v>2028074.3040000002</v>
      </c>
      <c r="J62" s="28">
        <v>2796030.5760000004</v>
      </c>
      <c r="K62" s="28">
        <v>2123448.7400000002</v>
      </c>
      <c r="L62" s="28">
        <v>1981224.612</v>
      </c>
      <c r="M62" s="28">
        <v>1192141.034</v>
      </c>
      <c r="N62" s="28">
        <v>1646968.2040000001</v>
      </c>
    </row>
    <row r="63" spans="1:14">
      <c r="B63" s="84" t="s">
        <v>14</v>
      </c>
      <c r="C63" s="28">
        <v>4309549.4400000004</v>
      </c>
      <c r="D63" s="28">
        <v>2416655.1280000005</v>
      </c>
      <c r="E63" s="28">
        <v>3906411.9960000003</v>
      </c>
      <c r="F63" s="28">
        <v>3945437.04</v>
      </c>
      <c r="G63" s="28">
        <v>3656849.2800000003</v>
      </c>
      <c r="H63" s="28">
        <v>3102727.6160000004</v>
      </c>
      <c r="I63" s="28">
        <v>3778490.6460000006</v>
      </c>
      <c r="J63" s="28">
        <v>1931375.3080000002</v>
      </c>
      <c r="K63" s="28">
        <v>2306040.9480000003</v>
      </c>
      <c r="L63" s="28">
        <v>2187138.7860000003</v>
      </c>
      <c r="M63" s="28">
        <v>3180209.9400000004</v>
      </c>
      <c r="N63" s="28">
        <v>2238492.0480000004</v>
      </c>
    </row>
    <row r="64" spans="1:14">
      <c r="B64" s="84" t="s">
        <v>108</v>
      </c>
      <c r="C64">
        <v>10562853.516000003</v>
      </c>
      <c r="D64">
        <v>9023618.0779999997</v>
      </c>
      <c r="E64">
        <v>8408548.2320000008</v>
      </c>
      <c r="F64">
        <v>9582592.2859999985</v>
      </c>
      <c r="G64">
        <v>9481912.6860000007</v>
      </c>
      <c r="H64">
        <v>7875175.426</v>
      </c>
      <c r="I64">
        <v>9646932.9979999997</v>
      </c>
      <c r="J64">
        <v>8940122.8619999997</v>
      </c>
      <c r="K64">
        <v>8197676.7180000003</v>
      </c>
      <c r="L64">
        <v>8357251.3280000007</v>
      </c>
      <c r="M64">
        <v>8523529.1520000007</v>
      </c>
      <c r="N64">
        <v>7765782.7800000003</v>
      </c>
    </row>
    <row r="66" spans="2:14">
      <c r="C66">
        <v>1</v>
      </c>
      <c r="D66">
        <v>2</v>
      </c>
      <c r="E66">
        <v>3</v>
      </c>
      <c r="F66">
        <v>4</v>
      </c>
      <c r="G66">
        <v>5</v>
      </c>
      <c r="H66">
        <v>6</v>
      </c>
      <c r="I66">
        <v>7</v>
      </c>
      <c r="J66">
        <v>8</v>
      </c>
      <c r="K66">
        <v>9</v>
      </c>
      <c r="L66">
        <v>10</v>
      </c>
      <c r="M66">
        <v>11</v>
      </c>
      <c r="N66">
        <v>12</v>
      </c>
    </row>
    <row r="67" spans="2:14">
      <c r="B67" s="83" t="s">
        <v>107</v>
      </c>
      <c r="C67" s="465" t="s">
        <v>144</v>
      </c>
      <c r="D67" s="465" t="s">
        <v>145</v>
      </c>
      <c r="E67" s="465" t="s">
        <v>333</v>
      </c>
      <c r="F67" s="465" t="s">
        <v>334</v>
      </c>
      <c r="G67" s="465" t="s">
        <v>336</v>
      </c>
      <c r="H67" s="465" t="s">
        <v>335</v>
      </c>
      <c r="I67" s="465" t="s">
        <v>337</v>
      </c>
      <c r="J67" s="465" t="s">
        <v>338</v>
      </c>
      <c r="K67" s="465" t="s">
        <v>339</v>
      </c>
      <c r="L67" s="465" t="s">
        <v>340</v>
      </c>
      <c r="M67" s="465" t="s">
        <v>341</v>
      </c>
      <c r="N67" s="465" t="s">
        <v>342</v>
      </c>
    </row>
    <row r="68" spans="2:14">
      <c r="B68" s="84" t="s">
        <v>2</v>
      </c>
      <c r="C68" s="465">
        <v>6694693</v>
      </c>
      <c r="D68" s="465">
        <v>7653297</v>
      </c>
      <c r="E68" s="465">
        <v>2956379</v>
      </c>
      <c r="F68" s="465">
        <v>5875410</v>
      </c>
      <c r="G68" s="465">
        <v>4974678</v>
      </c>
      <c r="H68" s="465">
        <v>4721360</v>
      </c>
      <c r="I68" s="465">
        <v>5023056</v>
      </c>
      <c r="J68" s="465">
        <v>5179498</v>
      </c>
      <c r="K68" s="465">
        <v>5870829</v>
      </c>
      <c r="L68" s="465">
        <v>5688352</v>
      </c>
      <c r="M68" s="465">
        <v>4974822</v>
      </c>
      <c r="N68" s="465">
        <v>5723178</v>
      </c>
    </row>
    <row r="69" spans="2:14">
      <c r="B69" s="84" t="s">
        <v>10</v>
      </c>
      <c r="C69" s="465">
        <v>2200988</v>
      </c>
      <c r="D69" s="465">
        <v>2375497</v>
      </c>
      <c r="E69" s="465">
        <v>2849982</v>
      </c>
      <c r="F69" s="465">
        <v>2303757</v>
      </c>
      <c r="G69" s="465">
        <v>2951738</v>
      </c>
      <c r="H69" s="465">
        <v>2767872</v>
      </c>
      <c r="I69" s="465">
        <v>3182833</v>
      </c>
      <c r="J69" s="465">
        <v>3788860</v>
      </c>
      <c r="K69" s="465">
        <v>3134854</v>
      </c>
      <c r="L69" s="465">
        <v>2825915</v>
      </c>
      <c r="M69" s="465">
        <v>1964021</v>
      </c>
      <c r="N69" s="465">
        <v>2620156</v>
      </c>
    </row>
    <row r="70" spans="2:14">
      <c r="B70" s="84" t="s">
        <v>14</v>
      </c>
      <c r="C70" s="465">
        <v>4850026</v>
      </c>
      <c r="D70" s="465">
        <v>2697673</v>
      </c>
      <c r="E70" s="465">
        <v>4990299</v>
      </c>
      <c r="F70" s="465">
        <v>4299231</v>
      </c>
      <c r="G70" s="465">
        <v>3950674</v>
      </c>
      <c r="H70" s="465">
        <v>5088584</v>
      </c>
      <c r="I70" s="465">
        <v>4912002</v>
      </c>
      <c r="J70" s="465">
        <v>2098374</v>
      </c>
      <c r="K70" s="465">
        <v>2481903</v>
      </c>
      <c r="L70" s="465">
        <v>2838924</v>
      </c>
      <c r="M70" s="465">
        <v>4340895</v>
      </c>
      <c r="N70" s="465">
        <v>2454234</v>
      </c>
    </row>
    <row r="71" spans="2:14">
      <c r="B71" s="84" t="s">
        <v>108</v>
      </c>
      <c r="C71" s="465">
        <v>13745707</v>
      </c>
      <c r="D71" s="465">
        <v>12726467</v>
      </c>
      <c r="E71" s="465">
        <v>10796660</v>
      </c>
      <c r="F71" s="465">
        <v>12478398</v>
      </c>
      <c r="G71" s="465">
        <v>11877090</v>
      </c>
      <c r="H71" s="465">
        <v>12577816</v>
      </c>
      <c r="I71" s="465">
        <v>13117891</v>
      </c>
      <c r="J71" s="465">
        <v>11066732</v>
      </c>
      <c r="K71" s="465">
        <v>11487586</v>
      </c>
      <c r="L71" s="465">
        <v>11353191</v>
      </c>
      <c r="M71" s="465">
        <v>11279738</v>
      </c>
      <c r="N71" s="465">
        <v>10797568</v>
      </c>
    </row>
  </sheetData>
  <autoFilter ref="A2:A12" xr:uid="{D57B6179-D2A1-4754-BA14-77C5EC4AF458}">
    <sortState xmlns:xlrd2="http://schemas.microsoft.com/office/spreadsheetml/2017/richdata2" ref="A3:A12">
      <sortCondition ref="A2:A12"/>
    </sortState>
  </autoFilter>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7BF41-93C8-4E52-8AB8-1A0E6DA75E1C}">
  <sheetPr codeName="Sheet121"/>
  <dimension ref="A2:C21"/>
  <sheetViews>
    <sheetView workbookViewId="0"/>
  </sheetViews>
  <sheetFormatPr baseColWidth="10" defaultColWidth="8.83203125" defaultRowHeight="15"/>
  <cols>
    <col min="1" max="1" width="11.6640625" bestFit="1" customWidth="1"/>
    <col min="3" max="3" width="10.33203125" bestFit="1" customWidth="1"/>
  </cols>
  <sheetData>
    <row r="2" spans="1:3">
      <c r="A2" t="s">
        <v>17</v>
      </c>
      <c r="B2">
        <v>1</v>
      </c>
      <c r="C2" s="26">
        <v>44562</v>
      </c>
    </row>
    <row r="3" spans="1:3">
      <c r="A3" t="s">
        <v>18</v>
      </c>
      <c r="B3">
        <v>2</v>
      </c>
      <c r="C3" s="26">
        <v>44593</v>
      </c>
    </row>
    <row r="4" spans="1:3">
      <c r="A4" t="s">
        <v>19</v>
      </c>
      <c r="B4">
        <v>3</v>
      </c>
      <c r="C4" s="26">
        <v>44621</v>
      </c>
    </row>
    <row r="5" spans="1:3">
      <c r="A5" t="s">
        <v>20</v>
      </c>
      <c r="B5">
        <v>4</v>
      </c>
      <c r="C5" s="26">
        <v>44652</v>
      </c>
    </row>
    <row r="6" spans="1:3">
      <c r="A6" t="s">
        <v>21</v>
      </c>
      <c r="B6">
        <v>5</v>
      </c>
      <c r="C6" s="26">
        <v>44682</v>
      </c>
    </row>
    <row r="7" spans="1:3">
      <c r="A7" t="s">
        <v>22</v>
      </c>
      <c r="B7">
        <v>6</v>
      </c>
      <c r="C7" s="26">
        <v>44713</v>
      </c>
    </row>
    <row r="8" spans="1:3">
      <c r="A8" t="s">
        <v>23</v>
      </c>
      <c r="B8">
        <v>7</v>
      </c>
      <c r="C8" s="26">
        <v>44743</v>
      </c>
    </row>
    <row r="9" spans="1:3">
      <c r="A9" t="s">
        <v>24</v>
      </c>
      <c r="B9">
        <v>8</v>
      </c>
      <c r="C9" s="26">
        <v>44774</v>
      </c>
    </row>
    <row r="10" spans="1:3">
      <c r="A10" t="s">
        <v>25</v>
      </c>
      <c r="B10">
        <v>9</v>
      </c>
      <c r="C10" s="26">
        <v>44805</v>
      </c>
    </row>
    <row r="11" spans="1:3">
      <c r="A11" t="s">
        <v>26</v>
      </c>
      <c r="B11">
        <v>10</v>
      </c>
      <c r="C11" s="26">
        <v>44835</v>
      </c>
    </row>
    <row r="12" spans="1:3">
      <c r="A12" t="s">
        <v>27</v>
      </c>
      <c r="B12">
        <v>11</v>
      </c>
      <c r="C12" s="26">
        <v>44866</v>
      </c>
    </row>
    <row r="13" spans="1:3">
      <c r="A13" t="s">
        <v>28</v>
      </c>
      <c r="B13">
        <v>12</v>
      </c>
      <c r="C13" s="26">
        <v>44896</v>
      </c>
    </row>
    <row r="16" spans="1:3">
      <c r="A16" t="s">
        <v>3</v>
      </c>
      <c r="B16" t="s">
        <v>123</v>
      </c>
    </row>
    <row r="17" spans="1:2">
      <c r="A17" t="s">
        <v>4</v>
      </c>
      <c r="B17" t="s">
        <v>123</v>
      </c>
    </row>
    <row r="18" spans="1:2">
      <c r="A18" t="s">
        <v>5</v>
      </c>
      <c r="B18" t="s">
        <v>123</v>
      </c>
    </row>
    <row r="19" spans="1:2">
      <c r="A19" t="s">
        <v>6</v>
      </c>
      <c r="B19" t="s">
        <v>124</v>
      </c>
    </row>
    <row r="20" spans="1:2">
      <c r="A20" t="s">
        <v>11</v>
      </c>
      <c r="B20" t="s">
        <v>125</v>
      </c>
    </row>
    <row r="21" spans="1:2">
      <c r="A21" t="s">
        <v>12</v>
      </c>
      <c r="B21" t="s">
        <v>125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D2698-6424-4F69-940D-C43710DBD7AE}">
  <sheetPr codeName="Sheet131"/>
  <dimension ref="A1:U141"/>
  <sheetViews>
    <sheetView topLeftCell="D3" workbookViewId="0"/>
  </sheetViews>
  <sheetFormatPr baseColWidth="10" defaultColWidth="51.1640625" defaultRowHeight="15"/>
  <cols>
    <col min="1" max="1" width="27.83203125" bestFit="1" customWidth="1"/>
    <col min="2" max="2" width="8.33203125" style="27" bestFit="1" customWidth="1"/>
    <col min="3" max="3" width="15.33203125" style="27" bestFit="1" customWidth="1"/>
    <col min="4" max="4" width="14.33203125" style="27" bestFit="1" customWidth="1"/>
    <col min="5" max="5" width="13.33203125" style="27" bestFit="1" customWidth="1"/>
    <col min="6" max="7" width="12.5" style="27" bestFit="1" customWidth="1"/>
    <col min="8" max="8" width="13.33203125" style="27" bestFit="1" customWidth="1"/>
    <col min="9" max="9" width="12.5" style="164" bestFit="1" customWidth="1"/>
    <col min="10" max="10" width="12" style="27" bestFit="1" customWidth="1"/>
    <col min="11" max="11" width="12.5" style="27" bestFit="1" customWidth="1"/>
    <col min="12" max="12" width="12.5" style="1" bestFit="1" customWidth="1"/>
    <col min="13" max="13" width="23.33203125" style="27" bestFit="1" customWidth="1"/>
    <col min="14" max="14" width="14.33203125" style="81" bestFit="1" customWidth="1"/>
    <col min="15" max="15" width="14.33203125" style="44" bestFit="1" customWidth="1"/>
    <col min="16" max="16" width="15" bestFit="1" customWidth="1"/>
    <col min="17" max="18" width="12" bestFit="1" customWidth="1"/>
    <col min="19" max="19" width="13.33203125" bestFit="1" customWidth="1"/>
    <col min="20" max="21" width="12" bestFit="1" customWidth="1"/>
    <col min="22" max="22" width="13.33203125" bestFit="1" customWidth="1"/>
    <col min="23" max="27" width="12" bestFit="1" customWidth="1"/>
    <col min="28" max="28" width="12.5" bestFit="1" customWidth="1"/>
    <col min="29" max="29" width="11.83203125" bestFit="1" customWidth="1"/>
    <col min="30" max="31" width="12" bestFit="1" customWidth="1"/>
    <col min="32" max="32" width="12.5" bestFit="1" customWidth="1"/>
    <col min="33" max="35" width="12" bestFit="1" customWidth="1"/>
    <col min="36" max="36" width="11.83203125" bestFit="1" customWidth="1"/>
    <col min="37" max="41" width="12" bestFit="1" customWidth="1"/>
    <col min="42" max="42" width="12.5" bestFit="1" customWidth="1"/>
    <col min="43" max="43" width="13.33203125" bestFit="1" customWidth="1"/>
    <col min="44" max="45" width="12" bestFit="1" customWidth="1"/>
    <col min="46" max="46" width="12.5" bestFit="1" customWidth="1"/>
    <col min="47" max="49" width="12" bestFit="1" customWidth="1"/>
    <col min="50" max="50" width="11.83203125" bestFit="1" customWidth="1"/>
    <col min="51" max="56" width="12" bestFit="1" customWidth="1"/>
    <col min="57" max="57" width="10.83203125" bestFit="1" customWidth="1"/>
    <col min="58" max="61" width="12" bestFit="1" customWidth="1"/>
    <col min="62" max="62" width="12.5" bestFit="1" customWidth="1"/>
    <col min="63" max="63" width="12" bestFit="1" customWidth="1"/>
    <col min="64" max="64" width="11.83203125" bestFit="1" customWidth="1"/>
    <col min="65" max="65" width="12.5" bestFit="1" customWidth="1"/>
    <col min="66" max="70" width="12" bestFit="1" customWidth="1"/>
    <col min="71" max="71" width="11.83203125" bestFit="1" customWidth="1"/>
    <col min="72" max="73" width="12" bestFit="1" customWidth="1"/>
    <col min="74" max="74" width="12.5" bestFit="1" customWidth="1"/>
    <col min="75" max="75" width="12" bestFit="1" customWidth="1"/>
    <col min="76" max="76" width="12.5" bestFit="1" customWidth="1"/>
    <col min="77" max="77" width="12" bestFit="1" customWidth="1"/>
    <col min="78" max="79" width="12.5" bestFit="1" customWidth="1"/>
    <col min="80" max="84" width="12" bestFit="1" customWidth="1"/>
    <col min="85" max="85" width="11.83203125" bestFit="1" customWidth="1"/>
    <col min="86" max="86" width="13.33203125" bestFit="1" customWidth="1"/>
  </cols>
  <sheetData>
    <row r="1" spans="1:20">
      <c r="A1" s="83" t="s">
        <v>175</v>
      </c>
      <c r="B1" s="84">
        <v>2022</v>
      </c>
    </row>
    <row r="3" spans="1:20">
      <c r="A3" s="83" t="s">
        <v>53</v>
      </c>
      <c r="B3" s="83" t="s">
        <v>174</v>
      </c>
      <c r="C3" t="s">
        <v>149</v>
      </c>
      <c r="D3"/>
      <c r="E3"/>
      <c r="F3"/>
      <c r="G3"/>
      <c r="H3"/>
      <c r="I3"/>
      <c r="J3"/>
      <c r="K3"/>
      <c r="L3"/>
      <c r="M3"/>
      <c r="N3" s="44"/>
    </row>
    <row r="4" spans="1:20">
      <c r="A4" t="s">
        <v>191</v>
      </c>
      <c r="B4">
        <v>1</v>
      </c>
      <c r="C4" s="44">
        <v>3607884</v>
      </c>
      <c r="D4"/>
      <c r="E4"/>
      <c r="F4"/>
      <c r="G4"/>
      <c r="H4"/>
      <c r="I4"/>
      <c r="J4"/>
      <c r="K4"/>
      <c r="L4"/>
      <c r="M4"/>
      <c r="N4" s="44"/>
    </row>
    <row r="5" spans="1:20">
      <c r="A5" t="s">
        <v>191</v>
      </c>
      <c r="B5">
        <v>2</v>
      </c>
      <c r="C5" s="44">
        <v>7214915.9020000007</v>
      </c>
      <c r="D5" s="44">
        <f>C4</f>
        <v>3607884</v>
      </c>
      <c r="E5"/>
      <c r="F5"/>
      <c r="G5"/>
      <c r="H5"/>
      <c r="I5" s="26">
        <f>VLOOKUP(B5,Reference!$B$2:$C$13,2,0)</f>
        <v>44593</v>
      </c>
      <c r="J5" s="82">
        <f t="shared" ref="J5" si="0">MONTH(I5)</f>
        <v>2</v>
      </c>
      <c r="K5">
        <f t="shared" ref="K5:K14" si="1">YEAR(I5)</f>
        <v>2022</v>
      </c>
      <c r="L5"/>
      <c r="M5" s="1" t="s">
        <v>191</v>
      </c>
      <c r="N5" s="44">
        <v>3607884</v>
      </c>
      <c r="P5" s="44">
        <f t="shared" ref="P5:P26" si="2">N5-O5</f>
        <v>3607884</v>
      </c>
    </row>
    <row r="6" spans="1:20">
      <c r="A6" t="s">
        <v>191</v>
      </c>
      <c r="B6">
        <v>3</v>
      </c>
      <c r="C6" s="44">
        <v>5825205.8999999985</v>
      </c>
      <c r="D6" s="44">
        <f>+D5+C5</f>
        <v>10822799.902000001</v>
      </c>
      <c r="E6"/>
      <c r="F6"/>
      <c r="G6"/>
      <c r="H6"/>
      <c r="I6" s="26">
        <f>VLOOKUP(B6,Reference!$B$2:$C$13,2,0)</f>
        <v>44621</v>
      </c>
      <c r="J6" s="82">
        <f t="shared" ref="J6:J9" si="3">MONTH(I6)</f>
        <v>3</v>
      </c>
      <c r="K6">
        <f t="shared" si="1"/>
        <v>2022</v>
      </c>
      <c r="L6"/>
      <c r="M6" s="1" t="s">
        <v>191</v>
      </c>
      <c r="N6" s="44">
        <v>7214915.9019999998</v>
      </c>
      <c r="P6" s="44">
        <f t="shared" si="2"/>
        <v>7214915.9019999998</v>
      </c>
    </row>
    <row r="7" spans="1:20">
      <c r="A7" t="s">
        <v>191</v>
      </c>
      <c r="B7">
        <v>4</v>
      </c>
      <c r="C7" s="44">
        <v>22839043.623999998</v>
      </c>
      <c r="D7" s="44">
        <f>+D6+C6</f>
        <v>16648005.801999999</v>
      </c>
      <c r="E7"/>
      <c r="F7"/>
      <c r="G7"/>
      <c r="H7"/>
      <c r="I7" s="26">
        <f>VLOOKUP(B7,Reference!$B$2:$C$13,2,0)</f>
        <v>44652</v>
      </c>
      <c r="J7" s="82">
        <f t="shared" si="3"/>
        <v>4</v>
      </c>
      <c r="K7">
        <f t="shared" si="1"/>
        <v>2022</v>
      </c>
      <c r="L7"/>
      <c r="M7" s="1" t="s">
        <v>191</v>
      </c>
      <c r="N7" s="44">
        <v>5825205.8999999994</v>
      </c>
      <c r="P7" s="44">
        <f t="shared" si="2"/>
        <v>5825205.8999999994</v>
      </c>
    </row>
    <row r="8" spans="1:20">
      <c r="A8" t="s">
        <v>191</v>
      </c>
      <c r="B8">
        <v>5</v>
      </c>
      <c r="C8" s="44">
        <v>25553263.207999997</v>
      </c>
      <c r="D8" s="44">
        <f t="shared" ref="D8:D16" si="4">+D7+C7</f>
        <v>39487049.425999999</v>
      </c>
      <c r="E8"/>
      <c r="F8"/>
      <c r="G8"/>
      <c r="H8"/>
      <c r="I8" s="26">
        <f>VLOOKUP(B8,Reference!$B$2:$C$13,2,0)</f>
        <v>44682</v>
      </c>
      <c r="J8" s="82">
        <f t="shared" si="3"/>
        <v>5</v>
      </c>
      <c r="K8">
        <f t="shared" si="1"/>
        <v>2022</v>
      </c>
      <c r="L8"/>
      <c r="M8" s="1" t="s">
        <v>191</v>
      </c>
      <c r="N8" s="44">
        <v>22839043.623999998</v>
      </c>
      <c r="P8" s="44">
        <f t="shared" si="2"/>
        <v>22839043.623999998</v>
      </c>
    </row>
    <row r="9" spans="1:20">
      <c r="A9" t="s">
        <v>191</v>
      </c>
      <c r="B9">
        <v>6</v>
      </c>
      <c r="C9" s="44">
        <v>26096565.181999996</v>
      </c>
      <c r="D9" s="44">
        <f t="shared" si="4"/>
        <v>65040312.633999996</v>
      </c>
      <c r="E9"/>
      <c r="F9"/>
      <c r="G9"/>
      <c r="H9"/>
      <c r="I9" s="26">
        <f>VLOOKUP(B9,Reference!$B$2:$C$13,2,0)</f>
        <v>44713</v>
      </c>
      <c r="J9" s="82">
        <f t="shared" si="3"/>
        <v>6</v>
      </c>
      <c r="K9">
        <f t="shared" si="1"/>
        <v>2022</v>
      </c>
      <c r="L9"/>
      <c r="M9" s="1" t="s">
        <v>191</v>
      </c>
      <c r="N9" s="44">
        <v>25553263.207999997</v>
      </c>
      <c r="P9" s="44">
        <f t="shared" si="2"/>
        <v>25553263.207999997</v>
      </c>
    </row>
    <row r="10" spans="1:20">
      <c r="A10" t="s">
        <v>191</v>
      </c>
      <c r="B10">
        <v>7</v>
      </c>
      <c r="C10" s="44">
        <v>35733386.943999991</v>
      </c>
      <c r="D10" s="44">
        <f t="shared" si="4"/>
        <v>91136877.815999985</v>
      </c>
      <c r="E10" s="44">
        <f>D4</f>
        <v>0</v>
      </c>
      <c r="F10"/>
      <c r="G10"/>
      <c r="H10"/>
      <c r="I10" s="26">
        <f>VLOOKUP(B10,Reference!$B$2:$C$13,2,0)</f>
        <v>44743</v>
      </c>
      <c r="J10" s="82">
        <f t="shared" ref="J10:J15" si="5">MONTH(I10)</f>
        <v>7</v>
      </c>
      <c r="K10">
        <f t="shared" si="1"/>
        <v>2022</v>
      </c>
      <c r="L10"/>
      <c r="M10" s="1" t="s">
        <v>191</v>
      </c>
      <c r="N10" s="44">
        <v>26096565.181999996</v>
      </c>
      <c r="P10" s="44">
        <f t="shared" si="2"/>
        <v>26096565.181999996</v>
      </c>
      <c r="T10">
        <f t="shared" ref="T10:T15" si="6">+C10</f>
        <v>35733386.943999991</v>
      </c>
    </row>
    <row r="11" spans="1:20">
      <c r="A11" t="s">
        <v>191</v>
      </c>
      <c r="B11">
        <v>8</v>
      </c>
      <c r="C11" s="111">
        <v>43738790.821999997</v>
      </c>
      <c r="D11" s="44">
        <f t="shared" si="4"/>
        <v>126870264.75999998</v>
      </c>
      <c r="E11" s="44">
        <f t="shared" ref="E11:E15" si="7">D5</f>
        <v>3607884</v>
      </c>
      <c r="F11"/>
      <c r="G11"/>
      <c r="H11"/>
      <c r="I11" s="26">
        <f>VLOOKUP(B11,Reference!$B$2:$C$13,2,0)</f>
        <v>44774</v>
      </c>
      <c r="J11" s="82">
        <f t="shared" si="5"/>
        <v>8</v>
      </c>
      <c r="K11">
        <f t="shared" si="1"/>
        <v>2022</v>
      </c>
      <c r="L11"/>
      <c r="M11" s="1" t="s">
        <v>191</v>
      </c>
      <c r="N11" s="44">
        <v>35733386.943999998</v>
      </c>
      <c r="P11" s="44">
        <f t="shared" si="2"/>
        <v>35733386.943999998</v>
      </c>
      <c r="T11">
        <f t="shared" si="6"/>
        <v>43738790.821999997</v>
      </c>
    </row>
    <row r="12" spans="1:20">
      <c r="A12" t="s">
        <v>191</v>
      </c>
      <c r="B12">
        <v>9</v>
      </c>
      <c r="C12" s="44">
        <v>45618337.523999996</v>
      </c>
      <c r="D12" s="44">
        <f t="shared" si="4"/>
        <v>170609055.58199996</v>
      </c>
      <c r="E12" s="44">
        <f t="shared" si="7"/>
        <v>10822799.902000001</v>
      </c>
      <c r="F12"/>
      <c r="G12"/>
      <c r="H12"/>
      <c r="I12" s="26">
        <f>VLOOKUP(B12,Reference!$B$2:$C$13,2,0)</f>
        <v>44805</v>
      </c>
      <c r="J12" s="82">
        <f t="shared" si="5"/>
        <v>9</v>
      </c>
      <c r="K12">
        <f t="shared" si="1"/>
        <v>2022</v>
      </c>
      <c r="L12"/>
      <c r="M12" s="1" t="s">
        <v>191</v>
      </c>
      <c r="N12" s="44">
        <v>43738790.821999997</v>
      </c>
      <c r="P12" s="44">
        <f t="shared" si="2"/>
        <v>43738790.821999997</v>
      </c>
      <c r="T12">
        <f t="shared" si="6"/>
        <v>45618337.523999996</v>
      </c>
    </row>
    <row r="13" spans="1:20">
      <c r="A13" t="s">
        <v>191</v>
      </c>
      <c r="B13">
        <v>10</v>
      </c>
      <c r="C13" s="44">
        <v>58977900.255999997</v>
      </c>
      <c r="D13" s="44">
        <f t="shared" si="4"/>
        <v>216227393.10599995</v>
      </c>
      <c r="E13" s="44">
        <f t="shared" si="7"/>
        <v>16648005.801999999</v>
      </c>
      <c r="F13"/>
      <c r="G13"/>
      <c r="H13"/>
      <c r="I13" s="26">
        <f>VLOOKUP(B13,Reference!$B$2:$C$13,2,0)</f>
        <v>44835</v>
      </c>
      <c r="J13" s="82">
        <f t="shared" si="5"/>
        <v>10</v>
      </c>
      <c r="K13">
        <f t="shared" si="1"/>
        <v>2022</v>
      </c>
      <c r="L13"/>
      <c r="M13" s="1" t="s">
        <v>191</v>
      </c>
      <c r="N13" s="44">
        <v>45618337.523999996</v>
      </c>
      <c r="P13" s="44">
        <f t="shared" si="2"/>
        <v>45618337.523999996</v>
      </c>
      <c r="T13">
        <f t="shared" si="6"/>
        <v>58977900.255999997</v>
      </c>
    </row>
    <row r="14" spans="1:20">
      <c r="A14" t="s">
        <v>191</v>
      </c>
      <c r="B14">
        <v>11</v>
      </c>
      <c r="C14" s="159">
        <v>63938757.963999994</v>
      </c>
      <c r="D14" s="44">
        <f t="shared" si="4"/>
        <v>275205293.36199993</v>
      </c>
      <c r="E14" s="44">
        <f t="shared" si="7"/>
        <v>39487049.425999999</v>
      </c>
      <c r="F14"/>
      <c r="G14"/>
      <c r="H14"/>
      <c r="I14" s="26">
        <f>VLOOKUP(B14,Reference!$B$2:$C$13,2,0)</f>
        <v>44866</v>
      </c>
      <c r="J14" s="82">
        <f t="shared" si="5"/>
        <v>11</v>
      </c>
      <c r="K14">
        <f t="shared" si="1"/>
        <v>2022</v>
      </c>
      <c r="L14"/>
      <c r="M14" s="1" t="s">
        <v>191</v>
      </c>
      <c r="N14" s="44">
        <v>58977900.255999997</v>
      </c>
      <c r="P14" s="44">
        <f t="shared" si="2"/>
        <v>58977900.255999997</v>
      </c>
      <c r="T14">
        <f t="shared" si="6"/>
        <v>63938757.963999994</v>
      </c>
    </row>
    <row r="15" spans="1:20">
      <c r="A15" t="s">
        <v>191</v>
      </c>
      <c r="B15">
        <v>12</v>
      </c>
      <c r="C15" s="44">
        <v>71291763.714000002</v>
      </c>
      <c r="D15" s="44">
        <f t="shared" si="4"/>
        <v>339144051.32599992</v>
      </c>
      <c r="E15" s="44">
        <f t="shared" si="7"/>
        <v>65040312.633999996</v>
      </c>
      <c r="F15"/>
      <c r="G15"/>
      <c r="H15"/>
      <c r="I15" s="26">
        <f>VLOOKUP(B15,Reference!$B$2:$C$13,2,0)</f>
        <v>44896</v>
      </c>
      <c r="J15" s="82">
        <f t="shared" si="5"/>
        <v>12</v>
      </c>
      <c r="K15">
        <f t="shared" ref="K15" si="8">YEAR(I15)</f>
        <v>2022</v>
      </c>
      <c r="L15"/>
      <c r="M15" s="1" t="s">
        <v>191</v>
      </c>
      <c r="N15" s="44">
        <v>63938757.964000002</v>
      </c>
      <c r="P15" s="44">
        <f t="shared" si="2"/>
        <v>63938757.964000002</v>
      </c>
      <c r="T15">
        <f t="shared" si="6"/>
        <v>71291763.714000002</v>
      </c>
    </row>
    <row r="16" spans="1:20">
      <c r="A16" t="s">
        <v>262</v>
      </c>
      <c r="B16"/>
      <c r="C16" s="44">
        <v>410435815.0399999</v>
      </c>
      <c r="D16" s="44">
        <f t="shared" si="4"/>
        <v>410435815.0399999</v>
      </c>
      <c r="E16" s="44">
        <f>+D10+E10</f>
        <v>91136877.815999985</v>
      </c>
      <c r="F16"/>
      <c r="G16"/>
      <c r="H16"/>
      <c r="I16" s="26">
        <v>44593</v>
      </c>
      <c r="J16" s="82">
        <v>2</v>
      </c>
      <c r="K16">
        <v>2022</v>
      </c>
      <c r="L16"/>
      <c r="M16" s="1" t="s">
        <v>263</v>
      </c>
      <c r="N16" s="44"/>
      <c r="O16" s="44">
        <v>3607884</v>
      </c>
      <c r="P16" s="44">
        <f t="shared" si="2"/>
        <v>-3607884</v>
      </c>
    </row>
    <row r="17" spans="1:16">
      <c r="A17" t="s">
        <v>108</v>
      </c>
      <c r="B17"/>
      <c r="C17" s="44">
        <v>410435815.0399999</v>
      </c>
      <c r="D17"/>
      <c r="E17" s="44">
        <f t="shared" ref="E17:E77" si="9">+D11+E11</f>
        <v>130478148.75999998</v>
      </c>
      <c r="F17"/>
      <c r="G17"/>
      <c r="H17"/>
      <c r="I17" s="26">
        <v>44621</v>
      </c>
      <c r="J17" s="82">
        <v>3</v>
      </c>
      <c r="K17">
        <v>2022</v>
      </c>
      <c r="L17"/>
      <c r="M17" s="1" t="s">
        <v>263</v>
      </c>
      <c r="N17" s="44"/>
      <c r="O17" s="44">
        <v>7214915.9019999998</v>
      </c>
      <c r="P17" s="44">
        <f t="shared" si="2"/>
        <v>-7214915.9019999998</v>
      </c>
    </row>
    <row r="18" spans="1:16">
      <c r="B18"/>
      <c r="C18"/>
      <c r="D18"/>
      <c r="E18" s="44">
        <f t="shared" si="9"/>
        <v>181431855.48399997</v>
      </c>
      <c r="F18"/>
      <c r="G18"/>
      <c r="H18"/>
      <c r="I18" s="26">
        <v>44652</v>
      </c>
      <c r="J18" s="82">
        <v>4</v>
      </c>
      <c r="K18">
        <v>2022</v>
      </c>
      <c r="L18"/>
      <c r="M18" s="1" t="s">
        <v>263</v>
      </c>
      <c r="N18" s="44"/>
      <c r="O18" s="44">
        <v>5825205.8999999994</v>
      </c>
      <c r="P18" s="44">
        <f t="shared" si="2"/>
        <v>-5825205.8999999994</v>
      </c>
    </row>
    <row r="19" spans="1:16">
      <c r="B19"/>
      <c r="C19"/>
      <c r="D19"/>
      <c r="E19" s="44">
        <f t="shared" si="9"/>
        <v>232875398.90799993</v>
      </c>
      <c r="F19"/>
      <c r="G19"/>
      <c r="H19"/>
      <c r="I19" s="26">
        <v>44682</v>
      </c>
      <c r="J19" s="82">
        <v>5</v>
      </c>
      <c r="K19">
        <v>2022</v>
      </c>
      <c r="L19"/>
      <c r="M19" s="1" t="s">
        <v>263</v>
      </c>
      <c r="N19" s="44"/>
      <c r="O19" s="44">
        <v>22839043.623999998</v>
      </c>
      <c r="P19" s="44">
        <f t="shared" si="2"/>
        <v>-22839043.623999998</v>
      </c>
    </row>
    <row r="20" spans="1:16">
      <c r="B20"/>
      <c r="C20"/>
      <c r="D20"/>
      <c r="E20" s="44">
        <f t="shared" si="9"/>
        <v>314692342.78799993</v>
      </c>
      <c r="F20"/>
      <c r="G20"/>
      <c r="H20"/>
      <c r="I20" s="26">
        <v>44713</v>
      </c>
      <c r="J20" s="82">
        <v>6</v>
      </c>
      <c r="K20">
        <v>2022</v>
      </c>
      <c r="L20"/>
      <c r="M20" s="1" t="s">
        <v>263</v>
      </c>
      <c r="N20" s="44"/>
      <c r="O20" s="44">
        <v>25553263.207999997</v>
      </c>
      <c r="P20" s="44">
        <f t="shared" si="2"/>
        <v>-25553263.207999997</v>
      </c>
    </row>
    <row r="21" spans="1:16">
      <c r="B21"/>
      <c r="C21"/>
      <c r="D21"/>
      <c r="E21" s="44">
        <f t="shared" si="9"/>
        <v>404184363.95999992</v>
      </c>
      <c r="F21"/>
      <c r="G21"/>
      <c r="H21"/>
      <c r="I21" s="26">
        <v>44743</v>
      </c>
      <c r="J21" s="82">
        <v>7</v>
      </c>
      <c r="K21">
        <v>2022</v>
      </c>
      <c r="L21"/>
      <c r="M21" s="1" t="s">
        <v>263</v>
      </c>
      <c r="N21" s="44"/>
      <c r="O21" s="44">
        <v>26096565.181999996</v>
      </c>
      <c r="P21" s="44">
        <f t="shared" si="2"/>
        <v>-26096565.181999996</v>
      </c>
    </row>
    <row r="22" spans="1:16">
      <c r="B22"/>
      <c r="C22"/>
      <c r="D22"/>
      <c r="E22" s="44">
        <f>+D16+E16</f>
        <v>501572692.85599989</v>
      </c>
      <c r="F22"/>
      <c r="G22"/>
      <c r="H22"/>
      <c r="I22" s="26">
        <v>44774</v>
      </c>
      <c r="J22" s="82">
        <v>8</v>
      </c>
      <c r="K22">
        <v>2022</v>
      </c>
      <c r="L22"/>
      <c r="M22" s="1" t="s">
        <v>263</v>
      </c>
      <c r="N22" s="44"/>
      <c r="O22" s="44">
        <v>35733386.943999998</v>
      </c>
      <c r="P22" s="44">
        <f t="shared" si="2"/>
        <v>-35733386.943999998</v>
      </c>
    </row>
    <row r="23" spans="1:16">
      <c r="B23"/>
      <c r="C23"/>
      <c r="D23"/>
      <c r="E23" s="44">
        <f t="shared" si="9"/>
        <v>130478148.75999998</v>
      </c>
      <c r="F23"/>
      <c r="G23"/>
      <c r="H23"/>
      <c r="I23" s="26">
        <v>44805</v>
      </c>
      <c r="J23" s="82">
        <v>9</v>
      </c>
      <c r="K23">
        <v>2022</v>
      </c>
      <c r="L23"/>
      <c r="M23" s="1" t="s">
        <v>263</v>
      </c>
      <c r="N23" s="44"/>
      <c r="O23" s="44">
        <v>43738790.821999997</v>
      </c>
      <c r="P23" s="44">
        <f t="shared" si="2"/>
        <v>-43738790.821999997</v>
      </c>
    </row>
    <row r="24" spans="1:16">
      <c r="B24"/>
      <c r="C24"/>
      <c r="D24"/>
      <c r="E24" s="44">
        <f t="shared" si="9"/>
        <v>181431855.48399997</v>
      </c>
      <c r="F24"/>
      <c r="G24"/>
      <c r="H24"/>
      <c r="I24" s="26">
        <v>44835</v>
      </c>
      <c r="J24" s="82">
        <v>10</v>
      </c>
      <c r="K24">
        <v>2022</v>
      </c>
      <c r="L24"/>
      <c r="M24" s="1" t="s">
        <v>263</v>
      </c>
      <c r="N24" s="44"/>
      <c r="O24" s="44">
        <v>45618337.523999996</v>
      </c>
      <c r="P24" s="44">
        <f t="shared" si="2"/>
        <v>-45618337.523999996</v>
      </c>
    </row>
    <row r="25" spans="1:16">
      <c r="B25"/>
      <c r="C25"/>
      <c r="D25"/>
      <c r="E25" s="44">
        <f t="shared" si="9"/>
        <v>232875398.90799993</v>
      </c>
      <c r="F25"/>
      <c r="G25"/>
      <c r="H25"/>
      <c r="I25" s="26">
        <v>44866</v>
      </c>
      <c r="J25" s="82">
        <v>11</v>
      </c>
      <c r="K25">
        <v>2022</v>
      </c>
      <c r="L25"/>
      <c r="M25" s="1" t="s">
        <v>263</v>
      </c>
      <c r="N25" s="44"/>
      <c r="O25" s="44">
        <v>58977900.255999997</v>
      </c>
      <c r="P25" s="44">
        <f t="shared" si="2"/>
        <v>-58977900.255999997</v>
      </c>
    </row>
    <row r="26" spans="1:16">
      <c r="B26"/>
      <c r="C26"/>
      <c r="D26"/>
      <c r="E26" s="44">
        <f t="shared" si="9"/>
        <v>314692342.78799993</v>
      </c>
      <c r="F26"/>
      <c r="G26"/>
      <c r="H26"/>
      <c r="I26" s="26">
        <v>44896</v>
      </c>
      <c r="J26" s="82">
        <v>12</v>
      </c>
      <c r="K26">
        <v>2022</v>
      </c>
      <c r="L26"/>
      <c r="M26" s="1" t="s">
        <v>263</v>
      </c>
      <c r="N26" s="44"/>
      <c r="O26" s="44">
        <v>63938757.964000002</v>
      </c>
      <c r="P26" s="44">
        <f t="shared" si="2"/>
        <v>-63938757.964000002</v>
      </c>
    </row>
    <row r="27" spans="1:16">
      <c r="B27"/>
      <c r="C27"/>
      <c r="D27"/>
      <c r="E27" s="44">
        <f t="shared" si="9"/>
        <v>404184363.95999992</v>
      </c>
      <c r="F27"/>
      <c r="G27"/>
      <c r="H27"/>
      <c r="I27" s="26"/>
      <c r="J27" s="82"/>
      <c r="K27"/>
      <c r="L27"/>
      <c r="M27" s="84"/>
      <c r="N27" s="44"/>
      <c r="P27" s="44"/>
    </row>
    <row r="28" spans="1:16">
      <c r="B28"/>
      <c r="C28"/>
      <c r="D28"/>
      <c r="E28" s="44">
        <f t="shared" si="9"/>
        <v>501572692.85599989</v>
      </c>
      <c r="F28"/>
      <c r="G28"/>
      <c r="H28"/>
      <c r="I28" s="26"/>
      <c r="J28" s="82"/>
      <c r="K28"/>
      <c r="L28"/>
      <c r="M28" s="84"/>
      <c r="N28" s="44"/>
      <c r="P28" s="44"/>
    </row>
    <row r="29" spans="1:16">
      <c r="B29"/>
      <c r="C29"/>
      <c r="D29"/>
      <c r="E29" s="44">
        <f t="shared" si="9"/>
        <v>130478148.75999998</v>
      </c>
      <c r="F29"/>
      <c r="G29"/>
      <c r="H29"/>
      <c r="I29" s="26"/>
      <c r="J29" s="82"/>
      <c r="K29"/>
      <c r="L29"/>
      <c r="M29" s="84"/>
      <c r="N29" s="44"/>
      <c r="P29" s="44"/>
    </row>
    <row r="30" spans="1:16">
      <c r="B30"/>
      <c r="C30"/>
      <c r="D30"/>
      <c r="E30" s="44">
        <f t="shared" si="9"/>
        <v>181431855.48399997</v>
      </c>
      <c r="F30"/>
      <c r="G30"/>
      <c r="H30"/>
      <c r="I30" s="26"/>
      <c r="J30" s="82"/>
      <c r="K30"/>
      <c r="L30"/>
      <c r="M30" s="84"/>
      <c r="N30" s="44"/>
      <c r="P30" s="44"/>
    </row>
    <row r="31" spans="1:16">
      <c r="B31"/>
      <c r="C31"/>
      <c r="D31"/>
      <c r="E31" s="44">
        <f t="shared" si="9"/>
        <v>232875398.90799993</v>
      </c>
      <c r="F31"/>
      <c r="G31"/>
      <c r="H31"/>
      <c r="I31" s="26"/>
      <c r="J31" s="82"/>
      <c r="K31"/>
      <c r="L31"/>
      <c r="M31" s="84"/>
      <c r="N31" s="44"/>
      <c r="P31" s="44"/>
    </row>
    <row r="32" spans="1:16">
      <c r="B32"/>
      <c r="C32"/>
      <c r="D32"/>
      <c r="E32" s="44">
        <f t="shared" si="9"/>
        <v>314692342.78799993</v>
      </c>
      <c r="F32"/>
      <c r="G32"/>
      <c r="H32"/>
      <c r="I32" s="26"/>
      <c r="J32" s="82"/>
      <c r="K32"/>
      <c r="L32"/>
      <c r="M32" s="84"/>
      <c r="N32" s="44"/>
      <c r="P32" s="44"/>
    </row>
    <row r="33" spans="2:16">
      <c r="B33"/>
      <c r="C33"/>
      <c r="D33"/>
      <c r="E33" s="44">
        <f t="shared" si="9"/>
        <v>404184363.95999992</v>
      </c>
      <c r="F33"/>
      <c r="G33"/>
      <c r="H33"/>
      <c r="I33" s="26"/>
      <c r="J33" s="82"/>
      <c r="K33"/>
      <c r="L33"/>
      <c r="M33" s="84"/>
      <c r="N33" s="44"/>
      <c r="P33" s="44"/>
    </row>
    <row r="34" spans="2:16">
      <c r="B34"/>
      <c r="C34"/>
      <c r="D34"/>
      <c r="E34" s="44">
        <f t="shared" si="9"/>
        <v>501572692.85599989</v>
      </c>
      <c r="F34"/>
      <c r="G34"/>
      <c r="H34"/>
      <c r="I34" s="26"/>
      <c r="J34" s="82"/>
      <c r="K34"/>
      <c r="L34"/>
      <c r="M34" s="84"/>
      <c r="N34" s="44"/>
      <c r="P34" s="44"/>
    </row>
    <row r="35" spans="2:16">
      <c r="B35"/>
      <c r="C35"/>
      <c r="D35"/>
      <c r="E35" s="44">
        <f t="shared" si="9"/>
        <v>130478148.75999998</v>
      </c>
      <c r="F35"/>
      <c r="G35"/>
      <c r="H35"/>
      <c r="I35" s="26"/>
      <c r="J35" s="82"/>
      <c r="K35"/>
      <c r="L35"/>
      <c r="M35" s="84"/>
      <c r="N35" s="44"/>
      <c r="P35" s="44"/>
    </row>
    <row r="36" spans="2:16">
      <c r="B36"/>
      <c r="C36"/>
      <c r="D36"/>
      <c r="E36" s="44">
        <f t="shared" si="9"/>
        <v>181431855.48399997</v>
      </c>
      <c r="F36"/>
      <c r="G36"/>
      <c r="H36"/>
      <c r="I36" s="26"/>
      <c r="J36" s="82"/>
      <c r="K36"/>
      <c r="L36"/>
      <c r="M36" s="84"/>
      <c r="N36" s="44"/>
      <c r="P36" s="44"/>
    </row>
    <row r="37" spans="2:16">
      <c r="B37"/>
      <c r="C37"/>
      <c r="D37"/>
      <c r="E37" s="44">
        <f t="shared" si="9"/>
        <v>232875398.90799993</v>
      </c>
      <c r="F37"/>
      <c r="G37"/>
      <c r="H37"/>
      <c r="I37" s="26"/>
      <c r="J37" s="82"/>
      <c r="K37"/>
      <c r="L37"/>
      <c r="M37" s="84"/>
      <c r="N37" s="44"/>
      <c r="P37" s="44"/>
    </row>
    <row r="38" spans="2:16">
      <c r="B38"/>
      <c r="C38"/>
      <c r="D38"/>
      <c r="E38" s="44">
        <f t="shared" si="9"/>
        <v>314692342.78799993</v>
      </c>
      <c r="F38"/>
      <c r="G38"/>
      <c r="H38"/>
      <c r="I38" s="26"/>
      <c r="J38" s="82"/>
      <c r="K38"/>
      <c r="L38"/>
      <c r="M38" s="84"/>
      <c r="N38" s="44"/>
      <c r="P38" s="44"/>
    </row>
    <row r="39" spans="2:16">
      <c r="B39"/>
      <c r="C39"/>
      <c r="D39"/>
      <c r="E39" s="44">
        <f t="shared" si="9"/>
        <v>404184363.95999992</v>
      </c>
      <c r="F39"/>
      <c r="G39"/>
      <c r="H39"/>
      <c r="I39" s="26"/>
      <c r="J39" s="82"/>
      <c r="K39"/>
      <c r="L39"/>
      <c r="M39" s="84"/>
      <c r="N39" s="44"/>
      <c r="P39" s="44"/>
    </row>
    <row r="40" spans="2:16">
      <c r="B40"/>
      <c r="C40"/>
      <c r="D40"/>
      <c r="E40" s="44">
        <f t="shared" si="9"/>
        <v>501572692.85599989</v>
      </c>
      <c r="F40"/>
      <c r="G40"/>
      <c r="H40"/>
      <c r="I40" s="26"/>
      <c r="J40" s="82"/>
      <c r="K40"/>
      <c r="L40"/>
      <c r="M40" s="84"/>
      <c r="N40" s="44"/>
      <c r="P40" s="44"/>
    </row>
    <row r="41" spans="2:16">
      <c r="B41"/>
      <c r="C41"/>
      <c r="D41"/>
      <c r="E41" s="44">
        <f t="shared" si="9"/>
        <v>130478148.75999998</v>
      </c>
      <c r="F41"/>
      <c r="G41"/>
      <c r="H41"/>
      <c r="I41" s="26"/>
      <c r="J41" s="82"/>
      <c r="K41"/>
      <c r="L41"/>
      <c r="M41" s="84"/>
      <c r="N41" s="44"/>
      <c r="P41" s="44"/>
    </row>
    <row r="42" spans="2:16">
      <c r="B42"/>
      <c r="C42"/>
      <c r="D42"/>
      <c r="E42" s="44">
        <f t="shared" si="9"/>
        <v>181431855.48399997</v>
      </c>
      <c r="F42"/>
      <c r="G42"/>
      <c r="H42"/>
      <c r="I42" s="26"/>
      <c r="J42" s="82"/>
      <c r="K42"/>
      <c r="L42"/>
      <c r="M42" s="84"/>
      <c r="N42" s="44"/>
      <c r="P42" s="44"/>
    </row>
    <row r="43" spans="2:16">
      <c r="B43"/>
      <c r="C43"/>
      <c r="D43"/>
      <c r="E43" s="44">
        <f t="shared" si="9"/>
        <v>232875398.90799993</v>
      </c>
      <c r="F43"/>
      <c r="G43"/>
      <c r="H43"/>
      <c r="I43" s="26"/>
      <c r="J43" s="82"/>
      <c r="K43"/>
      <c r="L43"/>
      <c r="M43" s="84"/>
      <c r="N43" s="44"/>
      <c r="P43" s="44"/>
    </row>
    <row r="44" spans="2:16">
      <c r="B44"/>
      <c r="C44"/>
      <c r="D44"/>
      <c r="E44" s="44">
        <f t="shared" si="9"/>
        <v>314692342.78799993</v>
      </c>
      <c r="F44"/>
      <c r="G44"/>
      <c r="H44"/>
      <c r="I44" s="26"/>
      <c r="J44" s="82"/>
      <c r="K44"/>
      <c r="L44"/>
      <c r="M44" s="84"/>
      <c r="N44" s="44"/>
      <c r="P44" s="44"/>
    </row>
    <row r="45" spans="2:16">
      <c r="B45"/>
      <c r="C45"/>
      <c r="D45"/>
      <c r="E45" s="44">
        <f t="shared" si="9"/>
        <v>404184363.95999992</v>
      </c>
      <c r="F45"/>
      <c r="G45"/>
      <c r="H45"/>
      <c r="I45" s="26"/>
      <c r="J45" s="82"/>
      <c r="K45"/>
      <c r="L45"/>
      <c r="M45" s="84"/>
      <c r="N45" s="44"/>
      <c r="P45" s="44"/>
    </row>
    <row r="46" spans="2:16">
      <c r="B46"/>
      <c r="C46"/>
      <c r="D46"/>
      <c r="E46" s="44">
        <f t="shared" si="9"/>
        <v>501572692.85599989</v>
      </c>
      <c r="F46"/>
      <c r="G46"/>
      <c r="H46"/>
      <c r="I46" s="26"/>
      <c r="J46" s="82"/>
      <c r="K46"/>
      <c r="L46"/>
      <c r="M46" s="84"/>
      <c r="N46" s="44"/>
      <c r="P46" s="44"/>
    </row>
    <row r="47" spans="2:16">
      <c r="B47"/>
      <c r="C47"/>
      <c r="D47"/>
      <c r="E47" s="44">
        <f t="shared" si="9"/>
        <v>130478148.75999998</v>
      </c>
      <c r="F47"/>
      <c r="G47"/>
      <c r="H47"/>
      <c r="I47" s="26"/>
      <c r="J47" s="82"/>
      <c r="K47"/>
      <c r="L47"/>
      <c r="M47" s="84"/>
      <c r="N47" s="44"/>
      <c r="P47" s="44"/>
    </row>
    <row r="48" spans="2:16">
      <c r="B48"/>
      <c r="C48"/>
      <c r="D48"/>
      <c r="E48" s="44">
        <f t="shared" si="9"/>
        <v>181431855.48399997</v>
      </c>
      <c r="F48"/>
      <c r="G48"/>
      <c r="H48"/>
      <c r="I48" s="26"/>
      <c r="J48" s="82"/>
      <c r="K48"/>
      <c r="L48"/>
      <c r="M48" s="84"/>
      <c r="N48" s="44"/>
      <c r="P48" s="44"/>
    </row>
    <row r="49" spans="2:16">
      <c r="B49"/>
      <c r="C49"/>
      <c r="D49"/>
      <c r="E49" s="44">
        <f t="shared" si="9"/>
        <v>232875398.90799993</v>
      </c>
      <c r="F49"/>
      <c r="G49"/>
      <c r="H49"/>
      <c r="I49" s="26"/>
      <c r="J49" s="82"/>
      <c r="K49"/>
      <c r="L49"/>
      <c r="M49" s="84"/>
      <c r="N49" s="44"/>
      <c r="P49" s="44"/>
    </row>
    <row r="50" spans="2:16">
      <c r="B50"/>
      <c r="C50"/>
      <c r="D50"/>
      <c r="E50" s="44">
        <f t="shared" si="9"/>
        <v>314692342.78799993</v>
      </c>
      <c r="F50"/>
      <c r="G50"/>
      <c r="H50"/>
      <c r="I50" s="26"/>
      <c r="J50" s="82"/>
      <c r="K50"/>
      <c r="L50"/>
      <c r="M50" s="84"/>
      <c r="N50" s="44"/>
      <c r="P50" s="44"/>
    </row>
    <row r="51" spans="2:16">
      <c r="B51"/>
      <c r="C51"/>
      <c r="D51"/>
      <c r="E51" s="44">
        <f t="shared" si="9"/>
        <v>404184363.95999992</v>
      </c>
      <c r="F51"/>
      <c r="G51"/>
      <c r="H51"/>
      <c r="I51" s="26"/>
      <c r="J51" s="82"/>
      <c r="K51"/>
      <c r="L51"/>
      <c r="M51" s="84"/>
      <c r="N51" s="44"/>
      <c r="P51" s="44"/>
    </row>
    <row r="52" spans="2:16">
      <c r="B52"/>
      <c r="C52"/>
      <c r="D52"/>
      <c r="E52" s="44">
        <f t="shared" si="9"/>
        <v>501572692.85599989</v>
      </c>
      <c r="F52"/>
      <c r="G52"/>
      <c r="H52"/>
      <c r="I52" s="26"/>
      <c r="J52" s="82"/>
      <c r="K52"/>
      <c r="L52"/>
      <c r="M52" s="84"/>
      <c r="N52" s="44"/>
      <c r="P52" s="44"/>
    </row>
    <row r="53" spans="2:16">
      <c r="B53"/>
      <c r="C53"/>
      <c r="D53"/>
      <c r="E53" s="44">
        <f t="shared" si="9"/>
        <v>130478148.75999998</v>
      </c>
      <c r="F53"/>
      <c r="G53"/>
      <c r="H53"/>
      <c r="I53" s="26"/>
      <c r="J53" s="82"/>
      <c r="K53"/>
      <c r="L53"/>
      <c r="M53" s="84"/>
      <c r="N53" s="44"/>
      <c r="P53" s="44"/>
    </row>
    <row r="54" spans="2:16">
      <c r="B54"/>
      <c r="C54"/>
      <c r="D54"/>
      <c r="E54" s="44">
        <f t="shared" si="9"/>
        <v>181431855.48399997</v>
      </c>
      <c r="F54"/>
      <c r="G54"/>
      <c r="H54"/>
      <c r="I54" s="26"/>
      <c r="J54" s="82"/>
      <c r="K54"/>
      <c r="L54"/>
      <c r="M54" s="84"/>
      <c r="N54" s="44"/>
      <c r="P54" s="44"/>
    </row>
    <row r="55" spans="2:16">
      <c r="B55"/>
      <c r="C55"/>
      <c r="D55"/>
      <c r="E55" s="44">
        <f t="shared" si="9"/>
        <v>232875398.90799993</v>
      </c>
      <c r="F55"/>
      <c r="G55"/>
      <c r="H55"/>
      <c r="I55" s="26"/>
      <c r="J55" s="82"/>
      <c r="K55"/>
      <c r="L55"/>
      <c r="M55" s="84"/>
      <c r="N55" s="44"/>
      <c r="P55" s="44"/>
    </row>
    <row r="56" spans="2:16">
      <c r="B56"/>
      <c r="C56"/>
      <c r="D56"/>
      <c r="E56" s="44">
        <f t="shared" si="9"/>
        <v>314692342.78799993</v>
      </c>
      <c r="F56"/>
      <c r="G56"/>
      <c r="H56"/>
      <c r="I56" s="26"/>
      <c r="J56" s="82"/>
      <c r="K56"/>
      <c r="L56"/>
      <c r="M56" s="84"/>
      <c r="N56" s="44"/>
      <c r="P56" s="44"/>
    </row>
    <row r="57" spans="2:16">
      <c r="B57"/>
      <c r="C57"/>
      <c r="D57"/>
      <c r="E57" s="44">
        <f t="shared" si="9"/>
        <v>404184363.95999992</v>
      </c>
      <c r="F57"/>
      <c r="G57"/>
      <c r="H57"/>
      <c r="I57" s="26"/>
      <c r="J57" s="82"/>
      <c r="K57"/>
      <c r="L57"/>
      <c r="M57" s="84"/>
      <c r="N57" s="44"/>
      <c r="P57" s="44"/>
    </row>
    <row r="58" spans="2:16">
      <c r="B58"/>
      <c r="C58"/>
      <c r="D58"/>
      <c r="E58" s="44">
        <f t="shared" si="9"/>
        <v>501572692.85599989</v>
      </c>
      <c r="F58"/>
      <c r="G58"/>
      <c r="H58"/>
      <c r="I58" s="26"/>
      <c r="J58" s="82"/>
      <c r="K58"/>
      <c r="L58"/>
      <c r="M58" s="84"/>
      <c r="N58" s="44"/>
      <c r="P58" s="44"/>
    </row>
    <row r="59" spans="2:16">
      <c r="B59"/>
      <c r="C59"/>
      <c r="D59"/>
      <c r="E59" s="44">
        <f t="shared" si="9"/>
        <v>130478148.75999998</v>
      </c>
      <c r="F59"/>
      <c r="G59"/>
      <c r="H59"/>
      <c r="I59" s="26"/>
      <c r="J59" s="82"/>
      <c r="K59"/>
      <c r="L59"/>
      <c r="M59" s="84"/>
      <c r="N59" s="44"/>
      <c r="P59" s="44"/>
    </row>
    <row r="60" spans="2:16">
      <c r="B60"/>
      <c r="C60"/>
      <c r="D60"/>
      <c r="E60" s="44">
        <f t="shared" si="9"/>
        <v>181431855.48399997</v>
      </c>
      <c r="F60"/>
      <c r="G60"/>
      <c r="H60"/>
      <c r="I60" s="26"/>
      <c r="J60" s="82"/>
      <c r="K60"/>
      <c r="L60"/>
      <c r="M60" s="84"/>
      <c r="N60" s="44"/>
      <c r="P60" s="44"/>
    </row>
    <row r="61" spans="2:16">
      <c r="B61"/>
      <c r="C61"/>
      <c r="D61"/>
      <c r="E61" s="44">
        <f t="shared" si="9"/>
        <v>232875398.90799993</v>
      </c>
      <c r="F61"/>
      <c r="G61"/>
      <c r="H61"/>
      <c r="I61" s="26"/>
      <c r="J61" s="82"/>
      <c r="K61"/>
      <c r="L61"/>
      <c r="M61" s="84"/>
      <c r="N61" s="44"/>
      <c r="P61" s="44"/>
    </row>
    <row r="62" spans="2:16">
      <c r="B62"/>
      <c r="C62"/>
      <c r="D62"/>
      <c r="E62" s="44">
        <f t="shared" si="9"/>
        <v>314692342.78799993</v>
      </c>
      <c r="F62"/>
      <c r="G62"/>
      <c r="H62"/>
      <c r="I62" s="26"/>
      <c r="J62" s="82"/>
      <c r="K62"/>
      <c r="L62"/>
      <c r="M62" s="84"/>
      <c r="N62" s="44"/>
      <c r="P62" s="44"/>
    </row>
    <row r="63" spans="2:16">
      <c r="B63"/>
      <c r="C63"/>
      <c r="D63"/>
      <c r="E63" s="44">
        <f t="shared" si="9"/>
        <v>404184363.95999992</v>
      </c>
      <c r="F63"/>
      <c r="G63"/>
      <c r="H63"/>
      <c r="I63" s="26"/>
      <c r="J63" s="82"/>
      <c r="K63"/>
      <c r="L63"/>
      <c r="M63" s="84"/>
      <c r="N63" s="44"/>
      <c r="P63" s="44"/>
    </row>
    <row r="64" spans="2:16">
      <c r="B64"/>
      <c r="C64"/>
      <c r="D64"/>
      <c r="E64" s="44">
        <f t="shared" si="9"/>
        <v>501572692.85599989</v>
      </c>
      <c r="F64"/>
      <c r="G64"/>
      <c r="H64"/>
      <c r="I64" s="26"/>
      <c r="J64" s="82"/>
      <c r="K64"/>
      <c r="L64"/>
      <c r="M64" s="84"/>
      <c r="N64" s="44"/>
      <c r="P64" s="44"/>
    </row>
    <row r="65" spans="2:21">
      <c r="B65"/>
      <c r="C65"/>
      <c r="D65"/>
      <c r="E65" s="44">
        <f t="shared" si="9"/>
        <v>130478148.75999998</v>
      </c>
      <c r="F65"/>
      <c r="G65"/>
      <c r="H65"/>
      <c r="I65" s="26"/>
      <c r="J65" s="82"/>
      <c r="K65"/>
      <c r="L65"/>
      <c r="M65" s="84"/>
      <c r="N65" s="44"/>
      <c r="P65" s="44"/>
    </row>
    <row r="66" spans="2:21">
      <c r="B66"/>
      <c r="C66"/>
      <c r="D66"/>
      <c r="E66" s="44">
        <f t="shared" si="9"/>
        <v>181431855.48399997</v>
      </c>
      <c r="F66"/>
      <c r="G66"/>
      <c r="H66"/>
      <c r="I66" s="26"/>
      <c r="J66" s="82"/>
      <c r="K66"/>
      <c r="L66"/>
      <c r="M66" s="84"/>
      <c r="N66" s="44"/>
      <c r="P66" s="44"/>
    </row>
    <row r="67" spans="2:21">
      <c r="B67"/>
      <c r="C67"/>
      <c r="D67"/>
      <c r="E67" s="44">
        <f t="shared" si="9"/>
        <v>232875398.90799993</v>
      </c>
      <c r="F67"/>
      <c r="G67"/>
      <c r="H67"/>
      <c r="I67" s="26"/>
      <c r="J67" s="82"/>
      <c r="K67"/>
      <c r="L67"/>
      <c r="M67" s="84"/>
      <c r="N67" s="44"/>
      <c r="P67" s="44"/>
    </row>
    <row r="68" spans="2:21">
      <c r="B68"/>
      <c r="C68"/>
      <c r="D68"/>
      <c r="E68" s="44">
        <f t="shared" si="9"/>
        <v>314692342.78799993</v>
      </c>
      <c r="F68"/>
      <c r="G68"/>
      <c r="H68"/>
      <c r="I68" s="26"/>
      <c r="J68" s="82"/>
      <c r="K68"/>
      <c r="L68"/>
      <c r="M68" s="84"/>
      <c r="N68" s="44"/>
      <c r="P68" s="44"/>
    </row>
    <row r="69" spans="2:21">
      <c r="B69"/>
      <c r="C69"/>
      <c r="D69"/>
      <c r="E69" s="44">
        <f t="shared" si="9"/>
        <v>404184363.95999992</v>
      </c>
      <c r="F69"/>
      <c r="G69"/>
      <c r="H69"/>
      <c r="I69" s="26"/>
      <c r="J69" s="82"/>
      <c r="K69"/>
      <c r="L69"/>
      <c r="M69" s="84"/>
      <c r="N69" s="44"/>
      <c r="P69" s="44"/>
    </row>
    <row r="70" spans="2:21">
      <c r="B70"/>
      <c r="C70"/>
      <c r="D70"/>
      <c r="E70" s="44">
        <f t="shared" si="9"/>
        <v>501572692.85599989</v>
      </c>
      <c r="F70"/>
      <c r="G70"/>
      <c r="H70"/>
      <c r="I70" s="26"/>
      <c r="J70" s="82"/>
      <c r="K70"/>
      <c r="L70"/>
      <c r="M70" s="84"/>
      <c r="N70" s="44"/>
      <c r="P70" s="44"/>
    </row>
    <row r="71" spans="2:21">
      <c r="B71"/>
      <c r="C71"/>
      <c r="D71"/>
      <c r="E71" s="44">
        <f t="shared" si="9"/>
        <v>130478148.75999998</v>
      </c>
      <c r="F71"/>
      <c r="G71"/>
      <c r="H71"/>
      <c r="I71" s="26"/>
      <c r="J71" s="82"/>
      <c r="K71"/>
      <c r="L71"/>
      <c r="M71" s="84"/>
      <c r="N71" s="44"/>
      <c r="P71" s="44"/>
    </row>
    <row r="72" spans="2:21">
      <c r="B72"/>
      <c r="C72"/>
      <c r="D72"/>
      <c r="E72" s="44">
        <f t="shared" si="9"/>
        <v>181431855.48399997</v>
      </c>
      <c r="F72"/>
      <c r="G72"/>
      <c r="H72"/>
      <c r="I72" s="26"/>
      <c r="J72" s="82"/>
      <c r="K72"/>
      <c r="L72"/>
      <c r="M72" s="84"/>
      <c r="N72" s="44"/>
      <c r="P72" s="44"/>
    </row>
    <row r="73" spans="2:21">
      <c r="B73"/>
      <c r="C73"/>
      <c r="D73"/>
      <c r="E73" s="44">
        <f t="shared" si="9"/>
        <v>232875398.90799993</v>
      </c>
      <c r="F73"/>
      <c r="G73"/>
      <c r="H73"/>
      <c r="I73" s="26"/>
      <c r="J73" s="82"/>
      <c r="K73"/>
      <c r="L73"/>
      <c r="M73" s="84"/>
      <c r="N73" s="44"/>
      <c r="P73" s="44"/>
    </row>
    <row r="74" spans="2:21">
      <c r="B74"/>
      <c r="C74"/>
      <c r="D74"/>
      <c r="E74" s="44">
        <f t="shared" si="9"/>
        <v>314692342.78799993</v>
      </c>
      <c r="F74"/>
      <c r="G74"/>
      <c r="H74"/>
      <c r="I74" s="26"/>
      <c r="J74" s="82"/>
      <c r="K74"/>
      <c r="L74"/>
      <c r="M74" s="84"/>
      <c r="N74" s="44"/>
      <c r="P74" s="44"/>
    </row>
    <row r="75" spans="2:21">
      <c r="B75"/>
      <c r="C75"/>
      <c r="D75"/>
      <c r="E75" s="44">
        <f t="shared" si="9"/>
        <v>404184363.95999992</v>
      </c>
      <c r="F75"/>
      <c r="G75"/>
      <c r="H75"/>
      <c r="I75" s="26"/>
      <c r="J75" s="82"/>
      <c r="K75"/>
      <c r="L75"/>
      <c r="M75" s="84"/>
      <c r="N75" s="44"/>
      <c r="P75" s="44"/>
    </row>
    <row r="76" spans="2:21">
      <c r="B76"/>
      <c r="C76"/>
      <c r="D76"/>
      <c r="E76" s="44">
        <f t="shared" si="9"/>
        <v>501572692.85599989</v>
      </c>
      <c r="F76"/>
      <c r="G76"/>
      <c r="H76"/>
      <c r="I76" s="26"/>
      <c r="J76" s="82"/>
      <c r="K76"/>
      <c r="L76"/>
      <c r="M76"/>
      <c r="N76" s="44"/>
      <c r="P76" s="44"/>
      <c r="U76" s="44"/>
    </row>
    <row r="77" spans="2:21">
      <c r="B77"/>
      <c r="C77"/>
      <c r="D77"/>
      <c r="E77" s="44">
        <f t="shared" si="9"/>
        <v>130478148.75999998</v>
      </c>
      <c r="F77"/>
      <c r="G77"/>
      <c r="H77"/>
      <c r="I77" s="26"/>
      <c r="J77" s="82"/>
      <c r="K77"/>
      <c r="L77"/>
      <c r="M77"/>
      <c r="N77" s="44"/>
      <c r="P77" s="44"/>
    </row>
    <row r="78" spans="2:21">
      <c r="B78"/>
      <c r="C78"/>
      <c r="D78"/>
      <c r="E78"/>
      <c r="F78"/>
      <c r="G78"/>
      <c r="H78"/>
      <c r="I78" s="26"/>
      <c r="J78" s="82"/>
      <c r="K78"/>
      <c r="L78"/>
      <c r="M78"/>
      <c r="N78" s="44"/>
      <c r="P78" s="44"/>
    </row>
    <row r="79" spans="2:21">
      <c r="B79"/>
      <c r="C79"/>
      <c r="D79"/>
      <c r="E79"/>
      <c r="F79"/>
      <c r="G79"/>
      <c r="H79"/>
      <c r="I79" s="26"/>
      <c r="J79" s="82"/>
      <c r="K79"/>
      <c r="L79"/>
      <c r="M79"/>
      <c r="N79" s="44"/>
      <c r="P79" s="44"/>
    </row>
    <row r="80" spans="2:21">
      <c r="B80"/>
      <c r="C80"/>
      <c r="D80"/>
      <c r="E80"/>
      <c r="F80"/>
      <c r="G80"/>
      <c r="H80"/>
      <c r="I80" s="26"/>
      <c r="J80" s="82"/>
      <c r="K80"/>
      <c r="L80"/>
      <c r="M80"/>
      <c r="N80" s="44"/>
      <c r="P80" s="44"/>
    </row>
    <row r="81" spans="2:16">
      <c r="B81"/>
      <c r="C81"/>
      <c r="D81"/>
      <c r="E81"/>
      <c r="F81"/>
      <c r="G81"/>
      <c r="H81"/>
      <c r="I81" s="26"/>
      <c r="J81" s="82"/>
      <c r="K81"/>
      <c r="L81"/>
      <c r="M81"/>
      <c r="N81" s="44"/>
      <c r="P81" s="44"/>
    </row>
    <row r="82" spans="2:16">
      <c r="B82"/>
      <c r="C82"/>
      <c r="D82"/>
      <c r="E82"/>
      <c r="F82"/>
      <c r="G82"/>
      <c r="H82"/>
      <c r="I82" s="26"/>
      <c r="J82" s="82"/>
      <c r="K82"/>
      <c r="L82"/>
      <c r="M82"/>
      <c r="N82" s="44"/>
      <c r="P82" s="44"/>
    </row>
    <row r="83" spans="2:16">
      <c r="B83"/>
      <c r="C83"/>
      <c r="D83"/>
      <c r="E83"/>
      <c r="F83"/>
      <c r="G83"/>
      <c r="H83"/>
      <c r="I83" s="26"/>
      <c r="J83" s="82"/>
      <c r="K83"/>
      <c r="L83"/>
      <c r="M83"/>
      <c r="N83" s="44"/>
      <c r="P83" s="44"/>
    </row>
    <row r="84" spans="2:16">
      <c r="B84"/>
      <c r="C84"/>
      <c r="D84"/>
      <c r="E84"/>
      <c r="F84"/>
      <c r="G84"/>
      <c r="H84"/>
      <c r="I84" s="26"/>
      <c r="J84" s="82"/>
      <c r="K84"/>
      <c r="L84"/>
      <c r="M84"/>
      <c r="N84" s="44"/>
      <c r="P84" s="44"/>
    </row>
    <row r="85" spans="2:16">
      <c r="B85"/>
      <c r="C85"/>
      <c r="D85"/>
      <c r="E85"/>
      <c r="F85"/>
      <c r="G85"/>
      <c r="H85"/>
      <c r="I85" s="26"/>
      <c r="J85" s="82"/>
      <c r="K85"/>
      <c r="L85"/>
      <c r="M85"/>
      <c r="N85" s="44"/>
      <c r="P85" s="44"/>
    </row>
    <row r="86" spans="2:16">
      <c r="B86"/>
      <c r="C86"/>
      <c r="D86"/>
      <c r="E86"/>
      <c r="F86"/>
      <c r="G86"/>
      <c r="H86"/>
      <c r="I86" s="26"/>
      <c r="J86" s="82"/>
      <c r="K86"/>
      <c r="L86"/>
      <c r="M86"/>
      <c r="N86" s="44"/>
      <c r="P86" s="44"/>
    </row>
    <row r="87" spans="2:16">
      <c r="B87"/>
      <c r="C87"/>
      <c r="D87"/>
      <c r="E87"/>
      <c r="F87"/>
      <c r="G87"/>
      <c r="H87"/>
      <c r="I87" s="26"/>
      <c r="J87" s="82"/>
      <c r="K87"/>
      <c r="L87"/>
      <c r="M87"/>
      <c r="N87" s="44"/>
      <c r="P87" s="44"/>
    </row>
    <row r="88" spans="2:16">
      <c r="B88"/>
      <c r="C88"/>
      <c r="D88"/>
      <c r="E88"/>
      <c r="F88"/>
      <c r="G88"/>
      <c r="H88"/>
      <c r="I88" s="26"/>
      <c r="J88" s="82"/>
      <c r="K88"/>
      <c r="L88"/>
      <c r="M88"/>
      <c r="N88" s="44"/>
      <c r="P88" s="44"/>
    </row>
    <row r="89" spans="2:16">
      <c r="B89"/>
      <c r="C89"/>
      <c r="D89"/>
      <c r="E89"/>
      <c r="F89"/>
      <c r="G89"/>
      <c r="H89"/>
      <c r="I89" s="26"/>
      <c r="J89" s="82"/>
      <c r="K89"/>
      <c r="L89"/>
      <c r="M89"/>
      <c r="N89" s="44"/>
      <c r="P89" s="44"/>
    </row>
    <row r="90" spans="2:16">
      <c r="B90"/>
      <c r="C90"/>
      <c r="D90"/>
      <c r="E90"/>
      <c r="F90"/>
      <c r="G90"/>
      <c r="H90"/>
      <c r="I90" s="26"/>
      <c r="J90" s="82"/>
      <c r="K90"/>
      <c r="L90"/>
      <c r="M90"/>
      <c r="N90" s="44"/>
      <c r="P90" s="44"/>
    </row>
    <row r="91" spans="2:16">
      <c r="B91"/>
      <c r="C91"/>
      <c r="D91"/>
      <c r="E91"/>
      <c r="F91"/>
      <c r="G91"/>
      <c r="H91"/>
      <c r="I91" s="26"/>
      <c r="J91" s="82"/>
      <c r="K91"/>
      <c r="L91"/>
      <c r="M91"/>
      <c r="N91" s="44"/>
      <c r="P91" s="44"/>
    </row>
    <row r="92" spans="2:16">
      <c r="B92"/>
      <c r="C92"/>
      <c r="D92"/>
      <c r="E92"/>
      <c r="F92"/>
      <c r="G92"/>
      <c r="H92"/>
      <c r="I92" s="26"/>
      <c r="J92" s="82"/>
      <c r="K92"/>
      <c r="L92"/>
      <c r="M92"/>
      <c r="N92" s="44"/>
      <c r="P92" s="44"/>
    </row>
    <row r="93" spans="2:16">
      <c r="B93"/>
      <c r="C93"/>
      <c r="D93"/>
      <c r="E93"/>
      <c r="F93"/>
      <c r="G93"/>
      <c r="H93"/>
      <c r="I93" s="26"/>
      <c r="J93" s="82"/>
      <c r="K93"/>
      <c r="L93"/>
      <c r="M93"/>
      <c r="N93" s="44"/>
      <c r="P93" s="44"/>
    </row>
    <row r="94" spans="2:16">
      <c r="B94"/>
      <c r="C94"/>
      <c r="D94"/>
      <c r="E94"/>
      <c r="F94"/>
      <c r="G94"/>
      <c r="H94"/>
      <c r="I94" s="26"/>
      <c r="J94" s="82"/>
      <c r="K94"/>
      <c r="L94"/>
      <c r="M94"/>
      <c r="N94" s="44"/>
      <c r="P94" s="44"/>
    </row>
    <row r="95" spans="2:16">
      <c r="B95"/>
      <c r="C95"/>
      <c r="D95"/>
      <c r="E95"/>
      <c r="F95"/>
      <c r="G95"/>
      <c r="H95"/>
      <c r="I95" s="26"/>
      <c r="J95" s="82"/>
      <c r="K95"/>
      <c r="L95"/>
      <c r="M95"/>
      <c r="N95" s="44"/>
      <c r="P95" s="44"/>
    </row>
    <row r="96" spans="2:16">
      <c r="B96"/>
      <c r="C96"/>
      <c r="D96"/>
      <c r="E96"/>
      <c r="F96"/>
      <c r="G96"/>
      <c r="H96"/>
      <c r="I96" s="26"/>
      <c r="J96" s="82"/>
      <c r="K96"/>
      <c r="L96"/>
      <c r="M96"/>
      <c r="N96" s="44"/>
      <c r="P96" s="44"/>
    </row>
    <row r="97" spans="2:16">
      <c r="B97"/>
      <c r="C97"/>
      <c r="D97"/>
      <c r="E97"/>
      <c r="F97"/>
      <c r="G97"/>
      <c r="H97"/>
      <c r="I97" s="26"/>
      <c r="J97" s="82"/>
      <c r="K97"/>
      <c r="L97"/>
      <c r="M97"/>
      <c r="N97" s="44"/>
      <c r="P97" s="44"/>
    </row>
    <row r="98" spans="2:16">
      <c r="B98"/>
      <c r="C98"/>
      <c r="D98"/>
      <c r="E98"/>
      <c r="F98"/>
      <c r="G98"/>
      <c r="H98"/>
      <c r="I98" s="26"/>
      <c r="J98" s="82"/>
      <c r="K98"/>
      <c r="L98"/>
      <c r="M98"/>
      <c r="N98" s="44"/>
      <c r="P98" s="44"/>
    </row>
    <row r="99" spans="2:16">
      <c r="B99"/>
      <c r="C99"/>
      <c r="D99"/>
      <c r="E99"/>
      <c r="F99"/>
      <c r="G99"/>
      <c r="H99"/>
      <c r="I99" s="26"/>
      <c r="J99" s="82"/>
      <c r="K99"/>
      <c r="L99"/>
      <c r="M99"/>
      <c r="N99" s="44"/>
      <c r="P99" s="44"/>
    </row>
    <row r="100" spans="2:16">
      <c r="B100"/>
      <c r="C100"/>
      <c r="D100"/>
      <c r="E100"/>
      <c r="F100"/>
      <c r="G100"/>
      <c r="H100"/>
      <c r="I100" s="26"/>
      <c r="J100" s="82"/>
      <c r="K100"/>
      <c r="L100"/>
      <c r="M100"/>
      <c r="N100" s="44"/>
      <c r="P100" s="44"/>
    </row>
    <row r="101" spans="2:16">
      <c r="B101"/>
      <c r="C101"/>
      <c r="D101"/>
      <c r="E101"/>
      <c r="F101"/>
      <c r="G101"/>
      <c r="H101"/>
      <c r="I101" s="26"/>
      <c r="J101" s="82"/>
      <c r="K101"/>
      <c r="L101"/>
      <c r="M101"/>
      <c r="N101" s="44"/>
      <c r="P101" s="44"/>
    </row>
    <row r="102" spans="2:16">
      <c r="B102"/>
      <c r="C102"/>
      <c r="D102"/>
      <c r="E102"/>
      <c r="F102"/>
      <c r="G102"/>
      <c r="H102"/>
      <c r="I102" s="26"/>
      <c r="J102" s="82"/>
      <c r="K102"/>
      <c r="L102"/>
      <c r="M102"/>
      <c r="N102" s="44"/>
      <c r="P102" s="44"/>
    </row>
    <row r="103" spans="2:16">
      <c r="B103"/>
      <c r="C103"/>
      <c r="D103"/>
      <c r="E103"/>
      <c r="F103"/>
      <c r="G103"/>
      <c r="H103"/>
      <c r="I103" s="26"/>
      <c r="J103" s="82"/>
      <c r="K103"/>
      <c r="L103"/>
      <c r="M103"/>
      <c r="N103" s="44"/>
      <c r="P103" s="44"/>
    </row>
    <row r="104" spans="2:16">
      <c r="B104"/>
      <c r="C104"/>
      <c r="D104"/>
      <c r="E104"/>
      <c r="F104"/>
      <c r="G104"/>
      <c r="H104"/>
      <c r="I104" s="26"/>
      <c r="J104" s="82"/>
      <c r="K104"/>
      <c r="L104"/>
      <c r="M104"/>
      <c r="N104" s="44"/>
      <c r="P104" s="44"/>
    </row>
    <row r="105" spans="2:16">
      <c r="B105"/>
      <c r="C105"/>
      <c r="D105"/>
      <c r="E105"/>
      <c r="F105"/>
      <c r="G105"/>
      <c r="H105"/>
      <c r="I105" s="26"/>
      <c r="J105" s="82"/>
      <c r="K105"/>
      <c r="L105"/>
      <c r="M105"/>
      <c r="N105" s="44"/>
      <c r="P105" s="44"/>
    </row>
    <row r="106" spans="2:16">
      <c r="B106"/>
      <c r="C106"/>
      <c r="D106"/>
      <c r="E106"/>
      <c r="F106"/>
      <c r="G106"/>
      <c r="H106"/>
      <c r="I106" s="26"/>
      <c r="J106" s="82"/>
      <c r="K106"/>
      <c r="L106"/>
      <c r="M106"/>
      <c r="N106" s="44"/>
      <c r="P106" s="44"/>
    </row>
    <row r="107" spans="2:16">
      <c r="B107"/>
      <c r="C107"/>
      <c r="D107"/>
      <c r="E107"/>
      <c r="F107"/>
      <c r="G107"/>
      <c r="H107"/>
      <c r="I107" s="26"/>
      <c r="J107" s="82"/>
      <c r="K107"/>
      <c r="L107"/>
      <c r="M107"/>
      <c r="N107" s="44"/>
      <c r="P107" s="44"/>
    </row>
    <row r="108" spans="2:16">
      <c r="B108"/>
      <c r="C108"/>
      <c r="D108"/>
      <c r="E108"/>
      <c r="F108"/>
      <c r="G108"/>
      <c r="H108"/>
      <c r="I108" s="26"/>
      <c r="J108" s="82"/>
      <c r="K108"/>
      <c r="L108"/>
      <c r="M108"/>
      <c r="N108" s="44"/>
      <c r="P108" s="44"/>
    </row>
    <row r="109" spans="2:16">
      <c r="B109"/>
      <c r="C109"/>
      <c r="D109"/>
      <c r="E109"/>
      <c r="F109"/>
      <c r="G109"/>
      <c r="H109"/>
      <c r="I109" s="26"/>
      <c r="J109" s="82"/>
      <c r="K109"/>
      <c r="L109"/>
      <c r="M109"/>
      <c r="N109" s="44"/>
      <c r="P109" s="44"/>
    </row>
    <row r="110" spans="2:16">
      <c r="B110"/>
      <c r="C110"/>
      <c r="D110"/>
      <c r="E110"/>
      <c r="F110"/>
      <c r="G110"/>
      <c r="H110"/>
      <c r="I110" s="26"/>
      <c r="J110" s="82"/>
      <c r="K110"/>
      <c r="L110"/>
      <c r="M110"/>
      <c r="N110" s="44"/>
      <c r="P110" s="44"/>
    </row>
    <row r="111" spans="2:16">
      <c r="B111"/>
      <c r="C111"/>
      <c r="D111"/>
      <c r="E111"/>
      <c r="F111"/>
      <c r="G111"/>
      <c r="H111"/>
      <c r="I111" s="26"/>
      <c r="J111" s="82"/>
      <c r="K111"/>
      <c r="L111"/>
      <c r="M111"/>
      <c r="N111" s="44"/>
      <c r="P111" s="44"/>
    </row>
    <row r="112" spans="2:16">
      <c r="B112"/>
      <c r="C112"/>
      <c r="D112"/>
      <c r="E112"/>
      <c r="F112"/>
      <c r="G112"/>
      <c r="H112"/>
      <c r="I112" s="26"/>
      <c r="J112" s="82"/>
      <c r="K112"/>
      <c r="P112" s="44"/>
    </row>
    <row r="113" spans="2:16">
      <c r="B113"/>
      <c r="C113"/>
      <c r="D113"/>
      <c r="I113" s="26"/>
      <c r="J113" s="82"/>
      <c r="K113"/>
      <c r="P113" s="44"/>
    </row>
    <row r="114" spans="2:16">
      <c r="B114"/>
      <c r="C114"/>
      <c r="D114"/>
      <c r="I114" s="26"/>
      <c r="J114" s="82"/>
      <c r="K114"/>
      <c r="P114" s="44"/>
    </row>
    <row r="115" spans="2:16">
      <c r="B115"/>
      <c r="C115"/>
      <c r="D115"/>
      <c r="I115" s="26"/>
      <c r="J115" s="82"/>
      <c r="K115"/>
      <c r="P115" s="44"/>
    </row>
    <row r="116" spans="2:16">
      <c r="B116"/>
      <c r="C116"/>
      <c r="D116"/>
      <c r="I116" s="26"/>
      <c r="J116" s="82"/>
      <c r="K116"/>
      <c r="P116" s="44"/>
    </row>
    <row r="117" spans="2:16">
      <c r="B117"/>
      <c r="C117"/>
      <c r="D117"/>
      <c r="I117" s="26"/>
      <c r="J117" s="82"/>
      <c r="K117"/>
      <c r="P117" s="44"/>
    </row>
    <row r="118" spans="2:16">
      <c r="B118"/>
      <c r="C118"/>
      <c r="D118"/>
      <c r="I118" s="26"/>
      <c r="J118" s="82"/>
      <c r="K118"/>
      <c r="P118" s="44"/>
    </row>
    <row r="119" spans="2:16">
      <c r="B119"/>
      <c r="C119"/>
      <c r="D119"/>
      <c r="I119" s="26"/>
      <c r="J119" s="82"/>
      <c r="K119"/>
      <c r="P119" s="44"/>
    </row>
    <row r="120" spans="2:16">
      <c r="B120"/>
      <c r="C120"/>
      <c r="D120"/>
      <c r="I120" s="26"/>
      <c r="J120" s="82"/>
      <c r="K120"/>
      <c r="P120" s="44"/>
    </row>
    <row r="121" spans="2:16">
      <c r="B121"/>
      <c r="C121"/>
      <c r="D121"/>
      <c r="I121" s="26"/>
      <c r="J121" s="82"/>
      <c r="K121"/>
      <c r="P121" s="44"/>
    </row>
    <row r="122" spans="2:16">
      <c r="B122"/>
      <c r="C122"/>
      <c r="D122"/>
      <c r="I122" s="26"/>
      <c r="J122" s="82"/>
      <c r="K122"/>
      <c r="P122" s="44"/>
    </row>
    <row r="123" spans="2:16">
      <c r="B123"/>
      <c r="C123"/>
      <c r="D123"/>
      <c r="I123" s="26"/>
      <c r="J123" s="82"/>
      <c r="K123"/>
      <c r="P123" s="44"/>
    </row>
    <row r="124" spans="2:16">
      <c r="B124"/>
      <c r="C124"/>
      <c r="D124"/>
      <c r="I124" s="26"/>
      <c r="J124" s="82"/>
      <c r="K124"/>
      <c r="P124" s="44"/>
    </row>
    <row r="125" spans="2:16">
      <c r="B125"/>
      <c r="C125"/>
      <c r="D125"/>
      <c r="I125" s="26"/>
      <c r="J125" s="82"/>
      <c r="K125"/>
      <c r="P125" s="44"/>
    </row>
    <row r="126" spans="2:16">
      <c r="B126"/>
      <c r="C126"/>
      <c r="D126"/>
      <c r="I126" s="26"/>
      <c r="J126" s="82"/>
      <c r="K126"/>
      <c r="P126" s="44"/>
    </row>
    <row r="127" spans="2:16">
      <c r="B127"/>
      <c r="C127"/>
      <c r="D127"/>
      <c r="I127" s="26"/>
      <c r="J127" s="82"/>
      <c r="K127"/>
      <c r="P127" s="44"/>
    </row>
    <row r="128" spans="2:16">
      <c r="B128"/>
      <c r="C128"/>
      <c r="D128"/>
      <c r="I128" s="26"/>
      <c r="J128" s="82"/>
      <c r="K128"/>
      <c r="P128" s="44"/>
    </row>
    <row r="129" spans="2:16">
      <c r="B129"/>
      <c r="C129"/>
      <c r="D129"/>
      <c r="I129" s="26"/>
      <c r="J129" s="82"/>
      <c r="K129"/>
      <c r="P129" s="44"/>
    </row>
    <row r="130" spans="2:16">
      <c r="B130"/>
      <c r="C130"/>
      <c r="D130"/>
      <c r="I130" s="26"/>
      <c r="J130" s="82"/>
      <c r="K130"/>
      <c r="P130" s="44"/>
    </row>
    <row r="131" spans="2:16">
      <c r="B131"/>
      <c r="C131"/>
      <c r="D131"/>
      <c r="I131" s="26"/>
      <c r="J131" s="82"/>
      <c r="K131"/>
      <c r="P131" s="44"/>
    </row>
    <row r="132" spans="2:16">
      <c r="B132"/>
      <c r="C132"/>
      <c r="D132"/>
      <c r="I132" s="26"/>
      <c r="J132" s="82"/>
      <c r="K132"/>
      <c r="P132" s="44"/>
    </row>
    <row r="133" spans="2:16">
      <c r="B133"/>
      <c r="C133"/>
      <c r="D133"/>
      <c r="I133" s="26"/>
      <c r="J133" s="82"/>
      <c r="K133"/>
      <c r="P133" s="44"/>
    </row>
    <row r="134" spans="2:16">
      <c r="B134"/>
      <c r="C134"/>
      <c r="D134"/>
      <c r="I134" s="26"/>
      <c r="J134" s="82"/>
      <c r="K134"/>
      <c r="P134" s="44"/>
    </row>
    <row r="135" spans="2:16">
      <c r="B135"/>
      <c r="C135"/>
      <c r="D135"/>
      <c r="I135" s="26"/>
      <c r="J135" s="82"/>
      <c r="K135"/>
      <c r="P135" s="44"/>
    </row>
    <row r="136" spans="2:16">
      <c r="B136"/>
      <c r="C136"/>
      <c r="D136"/>
      <c r="I136" s="26"/>
      <c r="J136" s="82"/>
      <c r="K136"/>
      <c r="P136" s="44"/>
    </row>
    <row r="137" spans="2:16">
      <c r="B137"/>
      <c r="C137"/>
      <c r="D137"/>
      <c r="I137" s="26"/>
      <c r="J137" s="82"/>
      <c r="K137"/>
      <c r="P137" s="44"/>
    </row>
    <row r="138" spans="2:16">
      <c r="B138"/>
      <c r="C138"/>
      <c r="D138"/>
      <c r="I138" s="26"/>
      <c r="J138" s="82"/>
      <c r="K138"/>
      <c r="P138" s="44"/>
    </row>
    <row r="139" spans="2:16">
      <c r="B139"/>
      <c r="C139"/>
      <c r="D139"/>
      <c r="I139" s="26"/>
      <c r="J139" s="82"/>
      <c r="K139"/>
      <c r="P139" s="44"/>
    </row>
    <row r="140" spans="2:16">
      <c r="I140" s="26"/>
      <c r="J140" s="82"/>
      <c r="K140"/>
      <c r="P140" s="44"/>
    </row>
    <row r="141" spans="2:16">
      <c r="I141" s="26"/>
      <c r="J141" s="82"/>
      <c r="K141"/>
      <c r="P141" s="4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0B882-02ED-4B32-874E-9CEE736A187D}">
  <sheetPr codeName="Sheet161"/>
  <dimension ref="A1"/>
  <sheetViews>
    <sheetView workbookViewId="0"/>
  </sheetViews>
  <sheetFormatPr baseColWidth="10" defaultColWidth="8.83203125" defaultRowHeight="15"/>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3C2DA-AE1C-4076-8FAE-3CFC5F26423C}">
  <sheetPr codeName="Sheet181"/>
  <dimension ref="A1:P27"/>
  <sheetViews>
    <sheetView showGridLines="0" zoomScale="80" zoomScaleNormal="80" workbookViewId="0"/>
  </sheetViews>
  <sheetFormatPr baseColWidth="10" defaultColWidth="8.83203125" defaultRowHeight="15"/>
  <cols>
    <col min="1" max="1" width="2.1640625" style="7" customWidth="1"/>
    <col min="2" max="2" width="33.1640625" style="7" customWidth="1"/>
    <col min="3" max="3" width="2.83203125" style="7" customWidth="1"/>
    <col min="4" max="4" width="2.83203125" style="114" customWidth="1"/>
    <col min="5" max="5" width="3.1640625" style="114" hidden="1" customWidth="1"/>
    <col min="6" max="6" width="44.83203125" style="118" bestFit="1" customWidth="1"/>
    <col min="7" max="7" width="19.1640625" style="114" customWidth="1"/>
    <col min="8" max="8" width="16.1640625" style="114" bestFit="1" customWidth="1"/>
    <col min="9" max="9" width="19.33203125" style="114" bestFit="1" customWidth="1"/>
    <col min="10" max="10" width="16.83203125" style="114" bestFit="1" customWidth="1"/>
    <col min="11" max="11" width="16.1640625" style="114" bestFit="1" customWidth="1"/>
    <col min="12" max="12" width="8.83203125" style="114" customWidth="1"/>
    <col min="13" max="13" width="21.1640625" style="114" bestFit="1" customWidth="1"/>
    <col min="14" max="14" width="13.1640625" style="114" bestFit="1" customWidth="1"/>
    <col min="15" max="16384" width="8.83203125" style="114"/>
  </cols>
  <sheetData>
    <row r="1" spans="1:16">
      <c r="G1" s="147"/>
      <c r="H1" s="147"/>
      <c r="I1" s="147"/>
      <c r="J1" s="147"/>
    </row>
    <row r="2" spans="1:16">
      <c r="E2" s="114" t="e">
        <f>+VLOOKUP(#REF!,Reference!$A$2:$B$13,2,0)</f>
        <v>#REF!</v>
      </c>
      <c r="F2" s="130" t="s">
        <v>174</v>
      </c>
      <c r="G2" s="228" t="s">
        <v>18</v>
      </c>
      <c r="P2" s="114">
        <f>VLOOKUP(Dashboard!G2,Reference!$A$2:$B$13,2,0)</f>
        <v>2</v>
      </c>
    </row>
    <row r="3" spans="1:16">
      <c r="F3" s="130" t="s">
        <v>175</v>
      </c>
      <c r="G3" s="132">
        <v>2022</v>
      </c>
    </row>
    <row r="6" spans="1:16" ht="19">
      <c r="B6" s="240"/>
    </row>
    <row r="7" spans="1:16" ht="19">
      <c r="B7" s="240"/>
    </row>
    <row r="8" spans="1:16" s="204" customFormat="1" ht="22">
      <c r="A8" s="241"/>
      <c r="B8" s="241"/>
      <c r="C8" s="241"/>
      <c r="F8" s="820" t="s">
        <v>98</v>
      </c>
      <c r="G8" s="820"/>
      <c r="H8" s="820"/>
      <c r="J8" s="225" t="s">
        <v>240</v>
      </c>
      <c r="K8" s="226"/>
      <c r="L8" s="227"/>
    </row>
    <row r="9" spans="1:16" ht="34">
      <c r="B9" s="242"/>
      <c r="F9" s="821">
        <f>-SUMIFS('Jounal entries final'!$H:$H,'Jounal entries final'!$E:$E,F8,'Jounal entries final'!$B:$B,P2,'Jounal entries final'!$C:$C,Dashboard!$G$3)</f>
        <v>12726467</v>
      </c>
      <c r="G9" s="821"/>
      <c r="H9" s="821"/>
      <c r="J9" s="220"/>
      <c r="K9" s="221"/>
      <c r="L9" s="222"/>
      <c r="M9" s="223"/>
      <c r="N9" s="224"/>
    </row>
    <row r="10" spans="1:16" ht="19">
      <c r="B10" s="240"/>
      <c r="F10" s="206" t="s">
        <v>239</v>
      </c>
      <c r="G10" s="823"/>
      <c r="H10" s="823"/>
      <c r="I10" s="119"/>
      <c r="J10" s="210"/>
      <c r="K10" s="124"/>
      <c r="L10" s="212"/>
      <c r="N10" s="211"/>
    </row>
    <row r="11" spans="1:16" ht="19">
      <c r="F11" s="206" t="s">
        <v>178</v>
      </c>
      <c r="G11" s="823"/>
      <c r="H11" s="823"/>
      <c r="J11" s="213"/>
      <c r="L11" s="214"/>
      <c r="M11" s="214"/>
      <c r="N11" s="211"/>
    </row>
    <row r="12" spans="1:16" ht="19">
      <c r="B12" s="240"/>
      <c r="F12" s="206" t="s">
        <v>180</v>
      </c>
      <c r="G12" s="822">
        <f>-SUMIFS('Jounal entries final'!$H:$H,'Jounal entries final'!$E:$E,F8,'Jounal entries final'!$B:$B,P2-1,'Jounal entries final'!$C:$C,'Financial statement 1 P&amp;L'!$G$3)</f>
        <v>13745707</v>
      </c>
      <c r="H12" s="822">
        <f>-SUMIFS('Jounal entries final'!$H:$H,'Jounal entries final'!$E:$E,'Financial statement 1 P&amp;L'!D12,'Jounal entries final'!$B:$B,'Financial statement 1 P&amp;L'!$E$2-1,'Jounal entries final'!$C:$C,'Financial statement 1 P&amp;L'!$G$3)</f>
        <v>0</v>
      </c>
      <c r="J12" s="215"/>
      <c r="K12" s="216"/>
      <c r="L12" s="217"/>
      <c r="M12" s="218"/>
      <c r="N12" s="219"/>
    </row>
    <row r="13" spans="1:16" ht="19">
      <c r="F13" s="207"/>
      <c r="G13" s="208"/>
      <c r="H13" s="209"/>
      <c r="J13" s="124"/>
      <c r="K13" s="134"/>
      <c r="L13" s="135"/>
      <c r="M13" s="122"/>
    </row>
    <row r="14" spans="1:16" ht="19">
      <c r="B14" s="240"/>
      <c r="F14" s="119"/>
      <c r="G14" s="124"/>
      <c r="J14" s="124"/>
      <c r="K14" s="134"/>
      <c r="L14" s="135"/>
      <c r="M14" s="122"/>
    </row>
    <row r="15" spans="1:16">
      <c r="F15" s="119"/>
      <c r="G15" s="124"/>
    </row>
    <row r="16" spans="1:16" ht="22">
      <c r="B16" s="240"/>
      <c r="F16" s="820" t="s">
        <v>182</v>
      </c>
      <c r="G16" s="820"/>
      <c r="H16" s="820"/>
      <c r="I16" s="204"/>
      <c r="J16" s="225" t="s">
        <v>240</v>
      </c>
      <c r="K16" s="226"/>
      <c r="L16" s="227"/>
      <c r="M16" s="204"/>
      <c r="N16" s="204"/>
    </row>
    <row r="17" spans="2:14" ht="34">
      <c r="F17" s="821">
        <f>INDEX('Last 12M'!$G$17:$R$17,MATCH(Dashboard!$P$2,'Last 12M'!$G$1:$R$1,0))</f>
        <v>1190105.9219999984</v>
      </c>
      <c r="G17" s="821"/>
      <c r="H17" s="821"/>
      <c r="J17" s="220"/>
      <c r="K17" s="221"/>
      <c r="L17" s="222"/>
      <c r="M17" s="223"/>
      <c r="N17" s="224"/>
    </row>
    <row r="18" spans="2:14" ht="19">
      <c r="B18" s="240"/>
      <c r="F18" s="206" t="s">
        <v>239</v>
      </c>
      <c r="G18" s="823"/>
      <c r="H18" s="823"/>
      <c r="I18" s="119"/>
      <c r="J18" s="210"/>
      <c r="K18" s="124"/>
      <c r="L18" s="212"/>
      <c r="N18" s="211"/>
    </row>
    <row r="19" spans="2:14" ht="19">
      <c r="F19" s="206" t="s">
        <v>178</v>
      </c>
      <c r="G19" s="823"/>
      <c r="H19" s="823"/>
      <c r="J19" s="213"/>
      <c r="L19" s="214"/>
      <c r="M19" s="214"/>
      <c r="N19" s="211"/>
    </row>
    <row r="20" spans="2:14" ht="19">
      <c r="B20" s="240"/>
      <c r="F20" s="206" t="s">
        <v>180</v>
      </c>
      <c r="G20" s="822">
        <f>INDEX('Last 12M'!$G$17:$R$17,MATCH(Dashboard!$P$2-1,'Last 12M'!$G$1:$R$1,0))</f>
        <v>618369.96999999695</v>
      </c>
      <c r="H20" s="822">
        <f>-SUMIFS('Jounal entries final'!$H:$H,'Jounal entries final'!$E:$E,'Financial statement 1 P&amp;L'!D22,'Jounal entries final'!$B:$B,'Financial statement 1 P&amp;L'!$E$2-1,'Jounal entries final'!$C:$C,'Financial statement 1 P&amp;L'!$G$3)</f>
        <v>0</v>
      </c>
      <c r="J20" s="215"/>
      <c r="K20" s="216"/>
      <c r="L20" s="217"/>
      <c r="M20" s="218"/>
      <c r="N20" s="219"/>
    </row>
    <row r="22" spans="2:14" ht="20">
      <c r="B22" s="240"/>
      <c r="F22" s="820"/>
      <c r="G22" s="820"/>
      <c r="H22" s="820"/>
    </row>
    <row r="23" spans="2:14" ht="22">
      <c r="F23" s="820" t="s">
        <v>165</v>
      </c>
      <c r="G23" s="820"/>
      <c r="H23" s="820"/>
      <c r="J23" s="225" t="s">
        <v>240</v>
      </c>
      <c r="K23" s="226"/>
      <c r="L23" s="227"/>
      <c r="M23" s="204"/>
      <c r="N23" s="204"/>
    </row>
    <row r="24" spans="2:14" ht="34">
      <c r="B24" s="240"/>
      <c r="F24" s="829">
        <f>G25+G26-G27</f>
        <v>-24.688322870772723</v>
      </c>
      <c r="G24" s="829"/>
      <c r="H24" s="829"/>
      <c r="J24" s="824" t="s">
        <v>248</v>
      </c>
      <c r="K24" s="825"/>
      <c r="L24" s="825"/>
      <c r="M24" s="825"/>
      <c r="N24" s="826"/>
    </row>
    <row r="25" spans="2:14" ht="19">
      <c r="F25" s="206" t="s">
        <v>160</v>
      </c>
      <c r="G25" s="830">
        <f>INDEX('Working Capital'!$G$11:$R$11,MATCH(Dashboard!$P$2,'Working Capital'!$G$1:$R$1,0))</f>
        <v>63.170591127120879</v>
      </c>
      <c r="H25" s="830"/>
      <c r="J25" s="825"/>
      <c r="K25" s="825"/>
      <c r="L25" s="825"/>
      <c r="M25" s="825"/>
      <c r="N25" s="826"/>
    </row>
    <row r="26" spans="2:14" ht="19">
      <c r="F26" s="206" t="s">
        <v>161</v>
      </c>
      <c r="G26" s="830">
        <f>INDEX('Working Capital'!$G$16:$R$16,MATCH(Dashboard!$P$2,'Working Capital'!$G$1:$R$1,0))</f>
        <v>2.9574454265189423</v>
      </c>
      <c r="H26" s="830"/>
      <c r="J26" s="825"/>
      <c r="K26" s="825"/>
      <c r="L26" s="825"/>
      <c r="M26" s="825"/>
      <c r="N26" s="826"/>
    </row>
    <row r="27" spans="2:14" ht="19">
      <c r="F27" s="206" t="s">
        <v>162</v>
      </c>
      <c r="G27" s="830">
        <f>INDEX('Working Capital'!G22:$R$22,MATCH(Dashboard!$P$2,'Working Capital'!$G$1:$R$1,0))</f>
        <v>90.816359424412539</v>
      </c>
      <c r="H27" s="830"/>
      <c r="J27" s="827"/>
      <c r="K27" s="827"/>
      <c r="L27" s="827"/>
      <c r="M27" s="827"/>
      <c r="N27" s="828"/>
    </row>
  </sheetData>
  <mergeCells count="17">
    <mergeCell ref="J24:N27"/>
    <mergeCell ref="G20:H20"/>
    <mergeCell ref="G19:H19"/>
    <mergeCell ref="F16:H16"/>
    <mergeCell ref="F17:H17"/>
    <mergeCell ref="G18:H18"/>
    <mergeCell ref="F22:H22"/>
    <mergeCell ref="F24:H24"/>
    <mergeCell ref="G26:H26"/>
    <mergeCell ref="G27:H27"/>
    <mergeCell ref="F23:H23"/>
    <mergeCell ref="G25:H25"/>
    <mergeCell ref="F8:H8"/>
    <mergeCell ref="F9:H9"/>
    <mergeCell ref="G12:H12"/>
    <mergeCell ref="G10:H10"/>
    <mergeCell ref="G11:H1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BDCE-B82F-49CF-86A6-3F2D560DB22C}">
  <sheetPr codeName="Sheet191"/>
  <dimension ref="A1:AB18"/>
  <sheetViews>
    <sheetView workbookViewId="0"/>
  </sheetViews>
  <sheetFormatPr baseColWidth="10" defaultColWidth="8.83203125" defaultRowHeight="15"/>
  <cols>
    <col min="1" max="3" width="8.83203125" style="7"/>
    <col min="4" max="4" width="2.83203125" style="236" customWidth="1"/>
    <col min="5" max="12" width="8.83203125" style="236"/>
    <col min="13" max="13" width="2.5" style="236" customWidth="1"/>
    <col min="14" max="14" width="8.83203125" style="236"/>
    <col min="15" max="15" width="2.6640625" style="236" customWidth="1"/>
    <col min="16" max="16" width="3.1640625" style="236" customWidth="1"/>
    <col min="17" max="17" width="2.1640625" style="236" customWidth="1"/>
    <col min="18" max="25" width="8.83203125" style="236"/>
    <col min="26" max="26" width="2.5" style="236" customWidth="1"/>
    <col min="27" max="27" width="8.83203125" style="236"/>
    <col min="28" max="28" width="2.83203125" style="236" customWidth="1"/>
    <col min="29" max="16384" width="8.83203125" style="236"/>
  </cols>
  <sheetData>
    <row r="1" spans="1:28" s="114" customFormat="1">
      <c r="A1" s="7"/>
      <c r="B1" s="7"/>
      <c r="C1" s="7"/>
    </row>
    <row r="2" spans="1:28" s="114" customFormat="1">
      <c r="A2" s="7"/>
      <c r="B2" s="7"/>
      <c r="C2" s="7"/>
    </row>
    <row r="3" spans="1:28" s="114" customFormat="1">
      <c r="A3" s="7"/>
      <c r="B3" s="7"/>
      <c r="C3" s="7"/>
    </row>
    <row r="4" spans="1:28">
      <c r="AB4" s="237"/>
    </row>
    <row r="5" spans="1:28">
      <c r="AB5" s="237"/>
    </row>
    <row r="6" spans="1:28">
      <c r="E6" s="236" t="s">
        <v>18</v>
      </c>
      <c r="F6" s="236" t="s">
        <v>249</v>
      </c>
      <c r="AB6" s="237"/>
    </row>
    <row r="7" spans="1:28">
      <c r="AB7" s="237"/>
    </row>
    <row r="8" spans="1:28">
      <c r="AB8" s="237"/>
    </row>
    <row r="9" spans="1:28">
      <c r="E9" s="114"/>
      <c r="F9" s="114"/>
      <c r="G9" s="114"/>
      <c r="H9" s="114"/>
      <c r="I9" s="114"/>
      <c r="J9" s="114"/>
      <c r="K9" s="114"/>
      <c r="L9" s="114"/>
      <c r="M9" s="114"/>
      <c r="N9" s="114"/>
      <c r="Q9" s="114"/>
      <c r="R9" s="114"/>
      <c r="S9" s="114"/>
      <c r="T9" s="114"/>
      <c r="U9" s="114"/>
      <c r="V9" s="114"/>
      <c r="W9" s="114"/>
      <c r="X9" s="114"/>
      <c r="Y9" s="114"/>
      <c r="Z9" s="114"/>
      <c r="AA9" s="114"/>
      <c r="AB9" s="237"/>
    </row>
    <row r="10" spans="1:28" ht="16">
      <c r="E10" s="239" t="s">
        <v>238</v>
      </c>
      <c r="F10" s="114"/>
      <c r="G10" s="114"/>
      <c r="H10" s="114"/>
      <c r="I10" s="114"/>
      <c r="J10" s="114"/>
      <c r="K10" s="114"/>
      <c r="L10" s="114"/>
      <c r="M10" s="114"/>
      <c r="N10" s="114"/>
      <c r="Q10" s="114"/>
      <c r="R10" s="114" t="s">
        <v>238</v>
      </c>
      <c r="S10" s="114"/>
      <c r="T10" s="114"/>
      <c r="U10" s="114"/>
      <c r="V10" s="114"/>
      <c r="W10" s="114"/>
      <c r="X10" s="114"/>
      <c r="Y10" s="114"/>
      <c r="Z10" s="114"/>
      <c r="AA10" s="114"/>
      <c r="AB10" s="237"/>
    </row>
    <row r="11" spans="1:28">
      <c r="E11" s="114"/>
      <c r="F11" s="114"/>
      <c r="G11" s="114"/>
      <c r="H11" s="114"/>
      <c r="I11" s="114"/>
      <c r="J11" s="114"/>
      <c r="K11" s="114"/>
      <c r="L11" s="114"/>
      <c r="M11" s="114"/>
      <c r="N11" s="114"/>
      <c r="Q11" s="114"/>
      <c r="R11" s="114"/>
      <c r="S11" s="114"/>
      <c r="T11" s="114"/>
      <c r="U11" s="114"/>
      <c r="V11" s="114"/>
      <c r="W11" s="114"/>
      <c r="X11" s="114"/>
      <c r="Y11" s="114"/>
      <c r="Z11" s="114"/>
      <c r="AA11" s="114"/>
      <c r="AB11" s="237"/>
    </row>
    <row r="12" spans="1:28" ht="16">
      <c r="E12" s="238"/>
      <c r="F12" s="114"/>
      <c r="G12" s="114"/>
      <c r="H12" s="114"/>
      <c r="I12" s="114"/>
      <c r="J12" s="114"/>
      <c r="K12" s="114"/>
      <c r="L12" s="114"/>
      <c r="M12" s="114"/>
      <c r="N12" s="114"/>
      <c r="Q12" s="114"/>
      <c r="R12" s="114"/>
      <c r="S12" s="114"/>
      <c r="T12" s="114"/>
      <c r="U12" s="114"/>
      <c r="V12" s="114"/>
      <c r="W12" s="114"/>
      <c r="X12" s="114"/>
      <c r="Y12" s="114"/>
      <c r="Z12" s="114"/>
      <c r="AA12" s="114"/>
      <c r="AB12" s="237"/>
    </row>
    <row r="13" spans="1:28">
      <c r="E13" s="114"/>
      <c r="F13" s="114"/>
      <c r="G13" s="114"/>
      <c r="H13" s="114"/>
      <c r="I13" s="114"/>
      <c r="J13" s="114"/>
      <c r="K13" s="114"/>
      <c r="L13" s="114"/>
      <c r="M13" s="114"/>
      <c r="N13" s="114"/>
      <c r="Q13" s="114"/>
      <c r="R13" s="114"/>
      <c r="S13" s="114"/>
      <c r="T13" s="114"/>
      <c r="U13" s="114"/>
      <c r="V13" s="114"/>
      <c r="W13" s="114"/>
      <c r="X13" s="114"/>
      <c r="Y13" s="114"/>
      <c r="Z13" s="114"/>
      <c r="AA13" s="114"/>
      <c r="AB13" s="237"/>
    </row>
    <row r="14" spans="1:28">
      <c r="E14" s="114"/>
      <c r="F14" s="114"/>
      <c r="G14" s="114"/>
      <c r="H14" s="114"/>
      <c r="I14" s="114"/>
      <c r="J14" s="114"/>
      <c r="K14" s="114"/>
      <c r="L14" s="114"/>
      <c r="M14" s="114"/>
      <c r="N14" s="114"/>
      <c r="Q14" s="114"/>
      <c r="R14" s="114"/>
      <c r="S14" s="114"/>
      <c r="T14" s="114"/>
      <c r="U14" s="114"/>
      <c r="V14" s="114"/>
      <c r="W14" s="114"/>
      <c r="X14" s="114"/>
      <c r="Y14" s="114"/>
      <c r="Z14" s="114"/>
      <c r="AA14" s="114"/>
    </row>
    <row r="15" spans="1:28">
      <c r="E15" s="114"/>
      <c r="F15" s="114"/>
      <c r="G15" s="114"/>
      <c r="H15" s="114"/>
      <c r="I15" s="114"/>
      <c r="J15" s="114"/>
      <c r="K15" s="114"/>
      <c r="L15" s="114"/>
      <c r="M15" s="114"/>
      <c r="N15" s="114"/>
      <c r="Q15" s="114"/>
      <c r="R15" s="114"/>
      <c r="S15" s="114"/>
      <c r="T15" s="114"/>
      <c r="U15" s="114"/>
      <c r="V15" s="114"/>
      <c r="W15" s="114"/>
      <c r="X15" s="114"/>
      <c r="Y15" s="114"/>
      <c r="Z15" s="114"/>
      <c r="AA15" s="114"/>
    </row>
    <row r="16" spans="1:28">
      <c r="E16" s="114"/>
      <c r="F16" s="114"/>
      <c r="G16" s="114"/>
      <c r="H16" s="114"/>
      <c r="I16" s="114"/>
      <c r="J16" s="114"/>
      <c r="K16" s="114"/>
      <c r="L16" s="114"/>
      <c r="M16" s="114"/>
      <c r="N16" s="114"/>
      <c r="Q16" s="114"/>
      <c r="R16" s="114"/>
      <c r="S16" s="114"/>
      <c r="T16" s="114"/>
      <c r="U16" s="114"/>
      <c r="V16" s="114"/>
      <c r="W16" s="114"/>
      <c r="X16" s="114"/>
      <c r="Y16" s="114"/>
      <c r="Z16" s="114"/>
      <c r="AA16" s="114"/>
    </row>
    <row r="17" spans="5:27">
      <c r="E17" s="114"/>
      <c r="F17" s="114"/>
      <c r="G17" s="114"/>
      <c r="H17" s="114"/>
      <c r="I17" s="114"/>
      <c r="J17" s="114"/>
      <c r="K17" s="114"/>
      <c r="L17" s="114"/>
      <c r="M17" s="114"/>
      <c r="N17" s="114"/>
      <c r="Q17" s="114"/>
      <c r="R17" s="114"/>
      <c r="S17" s="114"/>
      <c r="T17" s="114"/>
      <c r="U17" s="114"/>
      <c r="V17" s="114"/>
      <c r="W17" s="114"/>
      <c r="X17" s="114"/>
      <c r="Y17" s="114"/>
      <c r="Z17" s="114"/>
      <c r="AA17" s="114"/>
    </row>
    <row r="18" spans="5:27">
      <c r="E18" s="114"/>
      <c r="F18" s="114"/>
      <c r="G18" s="114"/>
      <c r="H18" s="114"/>
      <c r="I18" s="114"/>
      <c r="J18" s="114"/>
      <c r="K18" s="114"/>
      <c r="L18" s="114"/>
      <c r="M18" s="114"/>
      <c r="N18" s="11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017BC-B7CD-4AFF-A493-071AA64AEB54}">
  <sheetPr codeName="Sheet241"/>
  <dimension ref="A1:W31"/>
  <sheetViews>
    <sheetView topLeftCell="D1" zoomScale="70" zoomScaleNormal="70" workbookViewId="0"/>
  </sheetViews>
  <sheetFormatPr baseColWidth="10" defaultColWidth="8.83203125" defaultRowHeight="15"/>
  <cols>
    <col min="1" max="1" width="2.1640625" style="115" customWidth="1"/>
    <col min="2" max="2" width="33.1640625" style="115" customWidth="1"/>
    <col min="3" max="3" width="2.83203125" style="115" customWidth="1"/>
    <col min="4" max="4" width="2.83203125" style="114" customWidth="1"/>
    <col min="5" max="5" width="3.1640625" style="114" hidden="1" customWidth="1"/>
    <col min="6" max="6" width="49.83203125" style="118" customWidth="1"/>
    <col min="7" max="19" width="18.5" style="114" customWidth="1"/>
    <col min="20" max="16384" width="8.83203125" style="114"/>
  </cols>
  <sheetData>
    <row r="1" spans="2:23">
      <c r="G1" s="114">
        <v>1</v>
      </c>
      <c r="H1" s="114">
        <v>2</v>
      </c>
      <c r="I1" s="114">
        <v>3</v>
      </c>
      <c r="J1" s="114">
        <v>4</v>
      </c>
      <c r="K1" s="114">
        <v>5</v>
      </c>
      <c r="L1" s="114">
        <v>6</v>
      </c>
      <c r="M1" s="114">
        <v>7</v>
      </c>
      <c r="N1" s="114">
        <v>8</v>
      </c>
      <c r="O1" s="114">
        <v>9</v>
      </c>
      <c r="P1" s="114">
        <v>10</v>
      </c>
      <c r="Q1" s="114">
        <v>11</v>
      </c>
      <c r="R1" s="114">
        <v>12</v>
      </c>
    </row>
    <row r="2" spans="2:23">
      <c r="E2" s="114">
        <f>+VLOOKUP(G2,Reference!$A$2:$B$13,2,0)</f>
        <v>1</v>
      </c>
      <c r="F2" s="130" t="s">
        <v>174</v>
      </c>
      <c r="G2" s="131" t="s">
        <v>17</v>
      </c>
      <c r="H2" s="131" t="s">
        <v>18</v>
      </c>
      <c r="I2" s="131" t="s">
        <v>19</v>
      </c>
      <c r="J2" s="131" t="s">
        <v>20</v>
      </c>
      <c r="K2" s="131" t="s">
        <v>21</v>
      </c>
      <c r="L2" s="131" t="s">
        <v>22</v>
      </c>
      <c r="M2" s="131" t="s">
        <v>23</v>
      </c>
      <c r="N2" s="131" t="s">
        <v>24</v>
      </c>
      <c r="O2" s="131" t="s">
        <v>25</v>
      </c>
      <c r="P2" s="131" t="s">
        <v>26</v>
      </c>
      <c r="Q2" s="131" t="s">
        <v>27</v>
      </c>
      <c r="R2" s="131" t="s">
        <v>28</v>
      </c>
      <c r="S2" s="131"/>
    </row>
    <row r="3" spans="2:23">
      <c r="F3" s="130" t="s">
        <v>175</v>
      </c>
      <c r="G3" s="132">
        <v>2022</v>
      </c>
      <c r="H3" s="132">
        <v>2022</v>
      </c>
      <c r="I3" s="132">
        <v>2022</v>
      </c>
      <c r="J3" s="132">
        <v>2022</v>
      </c>
      <c r="K3" s="132">
        <v>2022</v>
      </c>
      <c r="L3" s="132">
        <v>2022</v>
      </c>
      <c r="M3" s="132">
        <v>2022</v>
      </c>
      <c r="N3" s="132">
        <v>2022</v>
      </c>
      <c r="O3" s="132">
        <v>2022</v>
      </c>
      <c r="P3" s="132">
        <v>2022</v>
      </c>
      <c r="Q3" s="132">
        <v>2022</v>
      </c>
      <c r="R3" s="132">
        <v>2022</v>
      </c>
      <c r="S3" s="132"/>
    </row>
    <row r="6" spans="2:23" ht="29">
      <c r="F6" s="120" t="s">
        <v>201</v>
      </c>
      <c r="G6" s="121" t="s">
        <v>177</v>
      </c>
      <c r="H6" s="121" t="s">
        <v>177</v>
      </c>
      <c r="I6" s="121" t="s">
        <v>177</v>
      </c>
      <c r="J6" s="121" t="s">
        <v>177</v>
      </c>
      <c r="K6" s="121" t="s">
        <v>177</v>
      </c>
      <c r="L6" s="121" t="s">
        <v>177</v>
      </c>
      <c r="M6" s="121" t="s">
        <v>177</v>
      </c>
      <c r="N6" s="121" t="s">
        <v>177</v>
      </c>
      <c r="O6" s="121" t="s">
        <v>177</v>
      </c>
      <c r="P6" s="121" t="s">
        <v>177</v>
      </c>
      <c r="Q6" s="121" t="s">
        <v>177</v>
      </c>
      <c r="R6" s="121" t="s">
        <v>177</v>
      </c>
    </row>
    <row r="7" spans="2:23" ht="17" customHeight="1">
      <c r="B7" s="116" t="s">
        <v>163</v>
      </c>
      <c r="G7" s="131" t="s">
        <v>17</v>
      </c>
      <c r="H7" s="131" t="s">
        <v>18</v>
      </c>
      <c r="I7" s="131" t="s">
        <v>19</v>
      </c>
      <c r="J7" s="131" t="s">
        <v>20</v>
      </c>
      <c r="K7" s="131" t="s">
        <v>21</v>
      </c>
      <c r="L7" s="131" t="s">
        <v>22</v>
      </c>
      <c r="M7" s="131" t="s">
        <v>23</v>
      </c>
      <c r="N7" s="131" t="s">
        <v>24</v>
      </c>
      <c r="O7" s="131" t="s">
        <v>25</v>
      </c>
      <c r="P7" s="131" t="s">
        <v>26</v>
      </c>
      <c r="Q7" s="131" t="s">
        <v>27</v>
      </c>
      <c r="R7" s="131" t="s">
        <v>28</v>
      </c>
    </row>
    <row r="8" spans="2:23">
      <c r="F8" s="114" t="s">
        <v>150</v>
      </c>
      <c r="G8" s="124">
        <f>SUMIFS('Jounal entries final'!$H:$H,'Jounal entries final'!$E:$E,'Last 12 Bilan'!$F8,'Jounal entries final'!$B:$B,G$1,'Jounal entries final'!$C:$C,'Last 12 Bilan'!$G3)</f>
        <v>3607884</v>
      </c>
      <c r="H8" s="124">
        <f>SUMIFS('Jounal entries final'!$H:$H,'Jounal entries final'!$E:$E,'Last 12 Bilan'!$F8,'Jounal entries final'!$B:$B,H$1,'Jounal entries final'!$C:$C,'Last 12 Bilan'!$G3)</f>
        <v>7214915.9019999998</v>
      </c>
      <c r="I8" s="124">
        <f>SUMIFS('Jounal entries final'!$H:$H,'Jounal entries final'!$E:$E,'Last 12 Bilan'!$F8,'Jounal entries final'!$B:$B,I$1,'Jounal entries final'!$C:$C,'Last 12 Bilan'!$G3)</f>
        <v>5825205.9000000004</v>
      </c>
      <c r="J8" s="124">
        <f>SUMIFS('Jounal entries final'!$H:$H,'Jounal entries final'!$E:$E,'Last 12 Bilan'!$F8,'Jounal entries final'!$B:$B,J$1,'Jounal entries final'!$C:$C,'Last 12 Bilan'!$G3)</f>
        <v>22839043.623999998</v>
      </c>
      <c r="K8" s="124">
        <f>SUMIFS('Jounal entries final'!$H:$H,'Jounal entries final'!$E:$E,'Last 12 Bilan'!$F8,'Jounal entries final'!$B:$B,K$1,'Jounal entries final'!$C:$C,'Last 12 Bilan'!$G3)</f>
        <v>25553263.207999997</v>
      </c>
      <c r="L8" s="124">
        <f>SUMIFS('Jounal entries final'!$H:$H,'Jounal entries final'!$E:$E,'Last 12 Bilan'!$F8,'Jounal entries final'!$B:$B,L$1,'Jounal entries final'!$C:$C,'Last 12 Bilan'!$G3)</f>
        <v>26096565.181999996</v>
      </c>
      <c r="M8" s="124">
        <f>SUMIFS('Jounal entries final'!$H:$H,'Jounal entries final'!$E:$E,'Last 12 Bilan'!$F8,'Jounal entries final'!$B:$B,M$1,'Jounal entries final'!$C:$C,'Last 12 Bilan'!$G3)</f>
        <v>35733386.943999998</v>
      </c>
      <c r="N8" s="124">
        <f>SUMIFS('Jounal entries final'!$H:$H,'Jounal entries final'!$E:$E,'Last 12 Bilan'!$F8,'Jounal entries final'!$B:$B,N$1,'Jounal entries final'!$C:$C,'Last 12 Bilan'!$G3)</f>
        <v>43738790.821999997</v>
      </c>
      <c r="O8" s="124">
        <f>SUMIFS('Jounal entries final'!$H:$H,'Jounal entries final'!$E:$E,'Last 12 Bilan'!$F8,'Jounal entries final'!$B:$B,O$1,'Jounal entries final'!$C:$C,'Last 12 Bilan'!$G3)</f>
        <v>45618337.523999996</v>
      </c>
      <c r="P8" s="124">
        <f>SUMIFS('Jounal entries final'!$H:$H,'Jounal entries final'!$E:$E,'Last 12 Bilan'!$F8,'Jounal entries final'!$B:$B,P$1,'Jounal entries final'!$C:$C,'Last 12 Bilan'!$G3)</f>
        <v>58977900.255999997</v>
      </c>
      <c r="Q8" s="124">
        <f>SUMIFS('Jounal entries final'!$H:$H,'Jounal entries final'!$E:$E,'Last 12 Bilan'!$F8,'Jounal entries final'!$B:$B,Q$1,'Jounal entries final'!$C:$C,'Last 12 Bilan'!$G3)</f>
        <v>63938757.963999994</v>
      </c>
      <c r="R8" s="124">
        <f>SUMIFS('Jounal entries final'!$H:$H,'Jounal entries final'!$E:$E,'Last 12 Bilan'!$F8,'Jounal entries final'!$B:$B,R$1,'Jounal entries final'!$C:$C,'Last 12 Bilan'!$G3)</f>
        <v>71291763.714000002</v>
      </c>
    </row>
    <row r="9" spans="2:23" ht="17" customHeight="1">
      <c r="B9" s="116" t="s">
        <v>164</v>
      </c>
      <c r="F9" s="114" t="s">
        <v>67</v>
      </c>
      <c r="G9" s="124">
        <f>SUMIFS('Jounal entries final'!$H:$H,'Jounal entries final'!$E:$E,'Last 12 Bilan'!$F9,'Jounal entries final'!$B:$B,G$1,'Jounal entries final'!$C:$C,'Last 12 Bilan'!$G$3)</f>
        <v>1217348.9700000007</v>
      </c>
      <c r="H9" s="124">
        <f>SUMIFS('Jounal entries final'!$H:$H,'Jounal entries final'!$E:$E,'Last 12 Bilan'!$F9,'Jounal entries final'!$B:$B,H$1,'Jounal entries final'!$C:$C,'Last 12 Bilan'!$G$3)</f>
        <v>965431.99000000011</v>
      </c>
      <c r="I9" s="124">
        <f>SUMIFS('Jounal entries final'!$H:$H,'Jounal entries final'!$E:$E,'Last 12 Bilan'!$F9,'Jounal entries final'!$B:$B,I$1,'Jounal entries final'!$C:$C,'Last 12 Bilan'!$G$3)</f>
        <v>2687528.7600000016</v>
      </c>
      <c r="J9" s="124">
        <f>SUMIFS('Jounal entries final'!$H:$H,'Jounal entries final'!$E:$E,'Last 12 Bilan'!$F9,'Jounal entries final'!$B:$B,J$1,'Jounal entries final'!$C:$C,'Last 12 Bilan'!$G$3)</f>
        <v>2926518.75</v>
      </c>
      <c r="K9" s="124">
        <f>SUMIFS('Jounal entries final'!$H:$H,'Jounal entries final'!$E:$E,'Last 12 Bilan'!$F9,'Jounal entries final'!$B:$B,K$1,'Jounal entries final'!$C:$C,'Last 12 Bilan'!$G$3)</f>
        <v>3287397.4800000004</v>
      </c>
      <c r="L9" s="124">
        <f>SUMIFS('Jounal entries final'!$H:$H,'Jounal entries final'!$E:$E,'Last 12 Bilan'!$F9,'Jounal entries final'!$B:$B,L$1,'Jounal entries final'!$C:$C,'Last 12 Bilan'!$G$3)</f>
        <v>4631542.08</v>
      </c>
      <c r="M9" s="124">
        <f>SUMIFS('Jounal entries final'!$H:$H,'Jounal entries final'!$E:$E,'Last 12 Bilan'!$F9,'Jounal entries final'!$B:$B,M$1,'Jounal entries final'!$C:$C,'Last 12 Bilan'!$G$3)</f>
        <v>5088006.3199999984</v>
      </c>
      <c r="N9" s="124">
        <f>SUMIFS('Jounal entries final'!$H:$H,'Jounal entries final'!$E:$E,'Last 12 Bilan'!$F9,'Jounal entries final'!$B:$B,N$1,'Jounal entries final'!$C:$C,'Last 12 Bilan'!$G$3)</f>
        <v>5147864.5799999982</v>
      </c>
      <c r="O9" s="124">
        <f>SUMIFS('Jounal entries final'!$H:$H,'Jounal entries final'!$E:$E,'Last 12 Bilan'!$F9,'Jounal entries final'!$B:$B,O$1,'Jounal entries final'!$C:$C,'Last 12 Bilan'!$G$3)</f>
        <v>5851985.1599999992</v>
      </c>
      <c r="P9" s="124">
        <f>SUMIFS('Jounal entries final'!$H:$H,'Jounal entries final'!$E:$E,'Last 12 Bilan'!$F9,'Jounal entries final'!$B:$B,P$1,'Jounal entries final'!$C:$C,'Last 12 Bilan'!$G$3)</f>
        <v>6384810.0999999987</v>
      </c>
      <c r="Q9" s="124">
        <f>SUMIFS('Jounal entries final'!$H:$H,'Jounal entries final'!$E:$E,'Last 12 Bilan'!$F9,'Jounal entries final'!$B:$B,Q$1,'Jounal entries final'!$C:$C,'Last 12 Bilan'!$G$3)</f>
        <v>6198796.2399999984</v>
      </c>
      <c r="R9" s="124">
        <f>SUMIFS('Jounal entries final'!$H:$H,'Jounal entries final'!$E:$E,'Last 12 Bilan'!$F9,'Jounal entries final'!$B:$B,R$1,'Jounal entries final'!$C:$C,'Last 12 Bilan'!$G$3)</f>
        <v>6970908.2199999988</v>
      </c>
    </row>
    <row r="10" spans="2:23">
      <c r="F10" s="114" t="s">
        <v>60</v>
      </c>
      <c r="G10" s="124">
        <f>SUMIFS('Jounal entries final'!$H:$H,'Jounal entries final'!$E:$E,'Last 12 Bilan'!$F10,'Jounal entries final'!$B:$B,G$1,'Jounal entries final'!$C:$C,'Last 12 Bilan'!$G$3)</f>
        <v>0</v>
      </c>
      <c r="H10" s="124">
        <f>SUMIFS('Jounal entries final'!$H:$H,'Jounal entries final'!$E:$E,'Last 12 Bilan'!$F10,'Jounal entries final'!$B:$B,H$1,'Jounal entries final'!$C:$C,'Last 12 Bilan'!$G$3)</f>
        <v>0</v>
      </c>
      <c r="I10" s="124">
        <f>SUMIFS('Jounal entries final'!$H:$H,'Jounal entries final'!$E:$E,'Last 12 Bilan'!$F10,'Jounal entries final'!$B:$B,I$1,'Jounal entries final'!$C:$C,'Last 12 Bilan'!$G$3)</f>
        <v>0</v>
      </c>
      <c r="J10" s="124">
        <f>SUMIFS('Jounal entries final'!$H:$H,'Jounal entries final'!$E:$E,'Last 12 Bilan'!$F10,'Jounal entries final'!$B:$B,J$1,'Jounal entries final'!$C:$C,'Last 12 Bilan'!$G$3)</f>
        <v>0</v>
      </c>
      <c r="K10" s="124">
        <f>SUMIFS('Jounal entries final'!$H:$H,'Jounal entries final'!$E:$E,'Last 12 Bilan'!$F10,'Jounal entries final'!$B:$B,K$1,'Jounal entries final'!$C:$C,'Last 12 Bilan'!$G$3)</f>
        <v>0</v>
      </c>
      <c r="L10" s="124">
        <f>SUMIFS('Jounal entries final'!$H:$H,'Jounal entries final'!$E:$E,'Last 12 Bilan'!$F10,'Jounal entries final'!$B:$B,L$1,'Jounal entries final'!$C:$C,'Last 12 Bilan'!$G$3)</f>
        <v>0</v>
      </c>
      <c r="M10" s="124">
        <f>SUMIFS('Jounal entries final'!$H:$H,'Jounal entries final'!$E:$E,'Last 12 Bilan'!$F10,'Jounal entries final'!$B:$B,M$1,'Jounal entries final'!$C:$C,'Last 12 Bilan'!$G$3)</f>
        <v>0</v>
      </c>
      <c r="N10" s="124">
        <f>SUMIFS('Jounal entries final'!$H:$H,'Jounal entries final'!$E:$E,'Last 12 Bilan'!$F10,'Jounal entries final'!$B:$B,N$1,'Jounal entries final'!$C:$C,'Last 12 Bilan'!$G$3)</f>
        <v>0</v>
      </c>
      <c r="O10" s="124">
        <f>SUMIFS('Jounal entries final'!$H:$H,'Jounal entries final'!$E:$E,'Last 12 Bilan'!$F10,'Jounal entries final'!$B:$B,O$1,'Jounal entries final'!$C:$C,'Last 12 Bilan'!$G$3)</f>
        <v>0</v>
      </c>
      <c r="P10" s="124">
        <f>SUMIFS('Jounal entries final'!$H:$H,'Jounal entries final'!$E:$E,'Last 12 Bilan'!$F10,'Jounal entries final'!$B:$B,P$1,'Jounal entries final'!$C:$C,'Last 12 Bilan'!$G$3)</f>
        <v>0</v>
      </c>
      <c r="Q10" s="124">
        <f>SUMIFS('Jounal entries final'!$H:$H,'Jounal entries final'!$E:$E,'Last 12 Bilan'!$F10,'Jounal entries final'!$B:$B,Q$1,'Jounal entries final'!$C:$C,'Last 12 Bilan'!$G$3)</f>
        <v>0</v>
      </c>
      <c r="R10" s="124">
        <f>SUMIFS('Jounal entries final'!$H:$H,'Jounal entries final'!$E:$E,'Last 12 Bilan'!$F10,'Jounal entries final'!$B:$B,R$1,'Jounal entries final'!$C:$C,'Last 12 Bilan'!$G$3)</f>
        <v>0</v>
      </c>
    </row>
    <row r="11" spans="2:23" ht="19">
      <c r="B11" s="150" t="s">
        <v>166</v>
      </c>
      <c r="F11" s="114" t="s">
        <v>97</v>
      </c>
      <c r="G11" s="124">
        <f>SUMIFS('Jounal entries final'!$H:$H,'Jounal entries final'!$E:$E,'Last 12 Bilan'!$F11,'Jounal entries final'!$B:$B,G$1,'Jounal entries final'!$C:$C,'Last 12 Bilan'!$G$3)</f>
        <v>15745707</v>
      </c>
      <c r="H11" s="124">
        <f>SUMIFS('Jounal entries final'!$H:$H,'Jounal entries final'!$E:$E,'Last 12 Bilan'!$F11,'Jounal entries final'!$B:$B,H$1,'Jounal entries final'!$C:$C,'Last 12 Bilan'!$G$3)</f>
        <v>27871048</v>
      </c>
      <c r="I11" s="124">
        <f>SUMIFS('Jounal entries final'!$H:$H,'Jounal entries final'!$E:$E,'Last 12 Bilan'!$F11,'Jounal entries final'!$B:$B,I$1,'Jounal entries final'!$C:$C,'Last 12 Bilan'!$G$3)</f>
        <v>34858942</v>
      </c>
      <c r="J11" s="124">
        <f>SUMIFS('Jounal entries final'!$H:$H,'Jounal entries final'!$E:$E,'Last 12 Bilan'!$F11,'Jounal entries final'!$B:$B,J$1,'Jounal entries final'!$C:$C,'Last 12 Bilan'!$G$3)</f>
        <v>25616326</v>
      </c>
      <c r="K11" s="124">
        <f>SUMIFS('Jounal entries final'!$H:$H,'Jounal entries final'!$E:$E,'Last 12 Bilan'!$F11,'Jounal entries final'!$B:$B,K$1,'Jounal entries final'!$C:$C,'Last 12 Bilan'!$G$3)</f>
        <v>27415787</v>
      </c>
      <c r="L11" s="124">
        <f>SUMIFS('Jounal entries final'!$H:$H,'Jounal entries final'!$E:$E,'Last 12 Bilan'!$F11,'Jounal entries final'!$B:$B,L$1,'Jounal entries final'!$C:$C,'Last 12 Bilan'!$G$3)</f>
        <v>32249372</v>
      </c>
      <c r="M11" s="124">
        <f>SUMIFS('Jounal entries final'!$H:$H,'Jounal entries final'!$E:$E,'Last 12 Bilan'!$F11,'Jounal entries final'!$B:$B,M$1,'Jounal entries final'!$C:$C,'Last 12 Bilan'!$G$3)</f>
        <v>31469236</v>
      </c>
      <c r="N11" s="124">
        <f>SUMIFS('Jounal entries final'!$H:$H,'Jounal entries final'!$E:$E,'Last 12 Bilan'!$F11,'Jounal entries final'!$B:$B,N$1,'Jounal entries final'!$C:$C,'Last 12 Bilan'!$G$3)</f>
        <v>31920418</v>
      </c>
      <c r="O11" s="124">
        <f>SUMIFS('Jounal entries final'!$H:$H,'Jounal entries final'!$E:$E,'Last 12 Bilan'!$F11,'Jounal entries final'!$B:$B,O$1,'Jounal entries final'!$C:$C,'Last 12 Bilan'!$G$3)</f>
        <v>31815762</v>
      </c>
      <c r="P11" s="124">
        <f>SUMIFS('Jounal entries final'!$H:$H,'Jounal entries final'!$E:$E,'Last 12 Bilan'!$F11,'Jounal entries final'!$B:$B,P$1,'Jounal entries final'!$C:$C,'Last 12 Bilan'!$G$3)</f>
        <v>25850551</v>
      </c>
      <c r="Q11" s="124">
        <f>SUMIFS('Jounal entries final'!$H:$H,'Jounal entries final'!$E:$E,'Last 12 Bilan'!$F11,'Jounal entries final'!$B:$B,Q$1,'Jounal entries final'!$C:$C,'Last 12 Bilan'!$G$3)</f>
        <v>28148846</v>
      </c>
      <c r="R11" s="124">
        <f>SUMIFS('Jounal entries final'!$H:$H,'Jounal entries final'!$E:$E,'Last 12 Bilan'!$F11,'Jounal entries final'!$B:$B,R$1,'Jounal entries final'!$C:$C,'Last 12 Bilan'!$G$3)</f>
        <v>25655312</v>
      </c>
      <c r="W11" s="114">
        <f>19500*11*0.15+55350*0.4*11</f>
        <v>275715</v>
      </c>
    </row>
    <row r="12" spans="2:23">
      <c r="F12" s="114" t="s">
        <v>189</v>
      </c>
      <c r="G12" s="124">
        <f>SUMIFS('Jounal entries final'!$H:$H,'Jounal entries final'!$E:$E,'Last 12 Bilan'!$F12,'Jounal entries final'!$B:$B,G$1,'Jounal entries final'!$C:$C,'Last 12 Bilan'!$G$3)</f>
        <v>45000000</v>
      </c>
      <c r="H12" s="124">
        <f>SUMIFS('Jounal entries final'!$H:$H,'Jounal entries final'!$E:$E,'Last 12 Bilan'!$F12,'Jounal entries final'!$B:$B,H$1,'Jounal entries final'!$C:$C,'Last 12 Bilan'!$G$3)</f>
        <v>45000000</v>
      </c>
      <c r="I12" s="124">
        <f>SUMIFS('Jounal entries final'!$H:$H,'Jounal entries final'!$E:$E,'Last 12 Bilan'!$F12,'Jounal entries final'!$B:$B,I$1,'Jounal entries final'!$C:$C,'Last 12 Bilan'!$G$3)</f>
        <v>45000000</v>
      </c>
      <c r="J12" s="124">
        <f>SUMIFS('Jounal entries final'!$H:$H,'Jounal entries final'!$E:$E,'Last 12 Bilan'!$F12,'Jounal entries final'!$B:$B,J$1,'Jounal entries final'!$C:$C,'Last 12 Bilan'!$G$3)</f>
        <v>45000000</v>
      </c>
      <c r="K12" s="124">
        <f>SUMIFS('Jounal entries final'!$H:$H,'Jounal entries final'!$E:$E,'Last 12 Bilan'!$F12,'Jounal entries final'!$B:$B,K$1,'Jounal entries final'!$C:$C,'Last 12 Bilan'!$G$3)</f>
        <v>45000000</v>
      </c>
      <c r="L12" s="124">
        <f>SUMIFS('Jounal entries final'!$H:$H,'Jounal entries final'!$E:$E,'Last 12 Bilan'!$F12,'Jounal entries final'!$B:$B,L$1,'Jounal entries final'!$C:$C,'Last 12 Bilan'!$G$3)</f>
        <v>45000000</v>
      </c>
      <c r="M12" s="124">
        <f>SUMIFS('Jounal entries final'!$H:$H,'Jounal entries final'!$E:$E,'Last 12 Bilan'!$F12,'Jounal entries final'!$B:$B,M$1,'Jounal entries final'!$C:$C,'Last 12 Bilan'!$G$3)</f>
        <v>45000000</v>
      </c>
      <c r="N12" s="124">
        <f>SUMIFS('Jounal entries final'!$H:$H,'Jounal entries final'!$E:$E,'Last 12 Bilan'!$F12,'Jounal entries final'!$B:$B,N$1,'Jounal entries final'!$C:$C,'Last 12 Bilan'!$G$3)</f>
        <v>45000000</v>
      </c>
      <c r="O12" s="124">
        <f>SUMIFS('Jounal entries final'!$H:$H,'Jounal entries final'!$E:$E,'Last 12 Bilan'!$F12,'Jounal entries final'!$B:$B,O$1,'Jounal entries final'!$C:$C,'Last 12 Bilan'!$G$3)</f>
        <v>45000000</v>
      </c>
      <c r="P12" s="124">
        <f>SUMIFS('Jounal entries final'!$H:$H,'Jounal entries final'!$E:$E,'Last 12 Bilan'!$F12,'Jounal entries final'!$B:$B,P$1,'Jounal entries final'!$C:$C,'Last 12 Bilan'!$G$3)</f>
        <v>45000000</v>
      </c>
      <c r="Q12" s="124">
        <f>SUMIFS('Jounal entries final'!$H:$H,'Jounal entries final'!$E:$E,'Last 12 Bilan'!$F12,'Jounal entries final'!$B:$B,Q$1,'Jounal entries final'!$C:$C,'Last 12 Bilan'!$G$3)</f>
        <v>45000000</v>
      </c>
      <c r="R12" s="124">
        <f>SUMIFS('Jounal entries final'!$H:$H,'Jounal entries final'!$E:$E,'Last 12 Bilan'!$F12,'Jounal entries final'!$B:$B,R$1,'Jounal entries final'!$C:$C,'Last 12 Bilan'!$G$3)</f>
        <v>45000000</v>
      </c>
      <c r="W12" s="114">
        <f>45000*11*0.4</f>
        <v>198000</v>
      </c>
    </row>
    <row r="13" spans="2:23" ht="19">
      <c r="B13" s="116" t="s">
        <v>168</v>
      </c>
      <c r="F13" s="114" t="s">
        <v>190</v>
      </c>
      <c r="G13" s="124">
        <f>SUMIFS('Jounal entries final'!$H:$H,'Jounal entries final'!$E:$E,'Last 12 Bilan'!$F13,'Jounal entries final'!$B:$B,G$1,'Jounal entries final'!$C:$C,'Last 12 Bilan'!$G$3)</f>
        <v>9045000</v>
      </c>
      <c r="H13" s="124">
        <f>SUMIFS('Jounal entries final'!$H:$H,'Jounal entries final'!$E:$E,'Last 12 Bilan'!$F13,'Jounal entries final'!$B:$B,H$1,'Jounal entries final'!$C:$C,'Last 12 Bilan'!$G$3)</f>
        <v>9045000</v>
      </c>
      <c r="I13" s="124">
        <f>SUMIFS('Jounal entries final'!$H:$H,'Jounal entries final'!$E:$E,'Last 12 Bilan'!$F13,'Jounal entries final'!$B:$B,I$1,'Jounal entries final'!$C:$C,'Last 12 Bilan'!$G$3)</f>
        <v>9045000</v>
      </c>
      <c r="J13" s="124">
        <f>SUMIFS('Jounal entries final'!$H:$H,'Jounal entries final'!$E:$E,'Last 12 Bilan'!$F13,'Jounal entries final'!$B:$B,J$1,'Jounal entries final'!$C:$C,'Last 12 Bilan'!$G$3)</f>
        <v>9045000</v>
      </c>
      <c r="K13" s="124">
        <f>SUMIFS('Jounal entries final'!$H:$H,'Jounal entries final'!$E:$E,'Last 12 Bilan'!$F13,'Jounal entries final'!$B:$B,K$1,'Jounal entries final'!$C:$C,'Last 12 Bilan'!$G$3)</f>
        <v>9045000</v>
      </c>
      <c r="L13" s="124">
        <f>SUMIFS('Jounal entries final'!$H:$H,'Jounal entries final'!$E:$E,'Last 12 Bilan'!$F13,'Jounal entries final'!$B:$B,L$1,'Jounal entries final'!$C:$C,'Last 12 Bilan'!$G$3)</f>
        <v>9045000</v>
      </c>
      <c r="M13" s="124">
        <f>SUMIFS('Jounal entries final'!$H:$H,'Jounal entries final'!$E:$E,'Last 12 Bilan'!$F13,'Jounal entries final'!$B:$B,M$1,'Jounal entries final'!$C:$C,'Last 12 Bilan'!$G$3)</f>
        <v>9045000</v>
      </c>
      <c r="N13" s="124">
        <f>SUMIFS('Jounal entries final'!$H:$H,'Jounal entries final'!$E:$E,'Last 12 Bilan'!$F13,'Jounal entries final'!$B:$B,N$1,'Jounal entries final'!$C:$C,'Last 12 Bilan'!$G$3)</f>
        <v>9045000</v>
      </c>
      <c r="O13" s="124">
        <f>SUMIFS('Jounal entries final'!$H:$H,'Jounal entries final'!$E:$E,'Last 12 Bilan'!$F13,'Jounal entries final'!$B:$B,O$1,'Jounal entries final'!$C:$C,'Last 12 Bilan'!$G$3)</f>
        <v>9045000</v>
      </c>
      <c r="P13" s="124">
        <f>SUMIFS('Jounal entries final'!$H:$H,'Jounal entries final'!$E:$E,'Last 12 Bilan'!$F13,'Jounal entries final'!$B:$B,P$1,'Jounal entries final'!$C:$C,'Last 12 Bilan'!$G$3)</f>
        <v>9045000</v>
      </c>
      <c r="Q13" s="124">
        <f>SUMIFS('Jounal entries final'!$H:$H,'Jounal entries final'!$E:$E,'Last 12 Bilan'!$F13,'Jounal entries final'!$B:$B,Q$1,'Jounal entries final'!$C:$C,'Last 12 Bilan'!$G$3)</f>
        <v>9045000</v>
      </c>
      <c r="R13" s="124">
        <f>SUMIFS('Jounal entries final'!$H:$H,'Jounal entries final'!$E:$E,'Last 12 Bilan'!$F13,'Jounal entries final'!$B:$B,R$1,'Jounal entries final'!$C:$C,'Last 12 Bilan'!$G$3)</f>
        <v>9045000</v>
      </c>
      <c r="W13" s="114">
        <f>45000*11*0.4</f>
        <v>198000</v>
      </c>
    </row>
    <row r="14" spans="2:23">
      <c r="F14" s="130" t="s">
        <v>194</v>
      </c>
      <c r="G14" s="124">
        <f>SUM(G8:G13)</f>
        <v>74615939.969999999</v>
      </c>
      <c r="H14" s="124">
        <f t="shared" ref="H14:R14" si="0">SUM(H8:H13)</f>
        <v>90096395.89199999</v>
      </c>
      <c r="I14" s="124">
        <f t="shared" si="0"/>
        <v>97416676.659999996</v>
      </c>
      <c r="J14" s="124">
        <f t="shared" si="0"/>
        <v>105426888.374</v>
      </c>
      <c r="K14" s="124">
        <f t="shared" si="0"/>
        <v>110301447.68799999</v>
      </c>
      <c r="L14" s="124">
        <f t="shared" si="0"/>
        <v>117022479.26199999</v>
      </c>
      <c r="M14" s="124">
        <f t="shared" si="0"/>
        <v>126335629.264</v>
      </c>
      <c r="N14" s="124">
        <f t="shared" si="0"/>
        <v>134852073.40200001</v>
      </c>
      <c r="O14" s="124">
        <f t="shared" si="0"/>
        <v>137331084.68399999</v>
      </c>
      <c r="P14" s="124">
        <f t="shared" si="0"/>
        <v>145258261.35600001</v>
      </c>
      <c r="Q14" s="124">
        <f t="shared" si="0"/>
        <v>152331400.204</v>
      </c>
      <c r="R14" s="124">
        <f t="shared" si="0"/>
        <v>157962983.93400002</v>
      </c>
      <c r="W14" s="114">
        <f>SUM(W11:W13)</f>
        <v>671715</v>
      </c>
    </row>
    <row r="15" spans="2:23" ht="19">
      <c r="B15" s="116" t="s">
        <v>167</v>
      </c>
      <c r="G15" s="124"/>
      <c r="H15" s="133"/>
      <c r="I15" s="124"/>
      <c r="J15" s="124"/>
      <c r="K15" s="124"/>
      <c r="L15" s="124"/>
      <c r="M15" s="124"/>
      <c r="N15" s="124"/>
      <c r="O15" s="124"/>
      <c r="P15" s="124"/>
      <c r="Q15" s="124"/>
      <c r="R15" s="124"/>
      <c r="W15" s="114">
        <f>+W14/2.71</f>
        <v>247865.31365313655</v>
      </c>
    </row>
    <row r="16" spans="2:23">
      <c r="F16" s="114"/>
      <c r="G16" s="124"/>
      <c r="H16" s="157"/>
    </row>
    <row r="17" spans="1:18" ht="19">
      <c r="B17" s="116" t="s">
        <v>173</v>
      </c>
      <c r="F17" s="114" t="s">
        <v>68</v>
      </c>
      <c r="G17" s="124">
        <f>-SUMIFS('Jounal entries final'!$H:$H,'Jounal entries final'!$E:$E,'Last 12 Bilan'!$F17,'Jounal entries final'!$B:$B,G$1,'Jounal entries final'!$C:$C,'Last 12 Bilan'!$G$3)</f>
        <v>21833695</v>
      </c>
      <c r="H17" s="124">
        <f>-SUMIFS('Jounal entries final'!$H:$H,'Jounal entries final'!$E:$E,'Last 12 Bilan'!$F17,'Jounal entries final'!$B:$B,H$1,'Jounal entries final'!$C:$C,'Last 12 Bilan'!$G$3)</f>
        <v>29646200</v>
      </c>
      <c r="I17" s="124">
        <f>-SUMIFS('Jounal entries final'!$H:$H,'Jounal entries final'!$E:$E,'Last 12 Bilan'!$F17,'Jounal entries final'!$B:$B,I$1,'Jounal entries final'!$C:$C,'Last 12 Bilan'!$G$3)</f>
        <v>31818810</v>
      </c>
      <c r="J17" s="124">
        <f>-SUMIFS('Jounal entries final'!$H:$H,'Jounal entries final'!$E:$E,'Last 12 Bilan'!$F17,'Jounal entries final'!$B:$B,J$1,'Jounal entries final'!$C:$C,'Last 12 Bilan'!$G$3)</f>
        <v>33312505</v>
      </c>
      <c r="K17" s="124">
        <f>-SUMIFS('Jounal entries final'!$H:$H,'Jounal entries final'!$E:$E,'Last 12 Bilan'!$F17,'Jounal entries final'!$B:$B,K$1,'Jounal entries final'!$C:$C,'Last 12 Bilan'!$G$3)</f>
        <v>29079495</v>
      </c>
      <c r="L17" s="124">
        <f>-SUMIFS('Jounal entries final'!$H:$H,'Jounal entries final'!$E:$E,'Last 12 Bilan'!$F17,'Jounal entries final'!$B:$B,L$1,'Jounal entries final'!$C:$C,'Last 12 Bilan'!$G$3)</f>
        <v>26707000</v>
      </c>
      <c r="M17" s="124">
        <f>-SUMIFS('Jounal entries final'!$H:$H,'Jounal entries final'!$E:$E,'Last 12 Bilan'!$F17,'Jounal entries final'!$B:$B,M$1,'Jounal entries final'!$C:$C,'Last 12 Bilan'!$G$3)</f>
        <v>32809000</v>
      </c>
      <c r="N17" s="124">
        <f>-SUMIFS('Jounal entries final'!$H:$H,'Jounal entries final'!$E:$E,'Last 12 Bilan'!$F17,'Jounal entries final'!$B:$B,N$1,'Jounal entries final'!$C:$C,'Last 12 Bilan'!$G$3)</f>
        <v>35846010</v>
      </c>
      <c r="O17" s="124">
        <f>-SUMIFS('Jounal entries final'!$H:$H,'Jounal entries final'!$E:$E,'Last 12 Bilan'!$F17,'Jounal entries final'!$B:$B,O$1,'Jounal entries final'!$C:$C,'Last 12 Bilan'!$G$3)</f>
        <v>23717265</v>
      </c>
      <c r="P17" s="124">
        <f>-SUMIFS('Jounal entries final'!$H:$H,'Jounal entries final'!$E:$E,'Last 12 Bilan'!$F17,'Jounal entries final'!$B:$B,P$1,'Jounal entries final'!$C:$C,'Last 12 Bilan'!$G$3)</f>
        <v>30787275</v>
      </c>
      <c r="Q17" s="124">
        <f>-SUMIFS('Jounal entries final'!$H:$H,'Jounal entries final'!$E:$E,'Last 12 Bilan'!$F17,'Jounal entries final'!$B:$B,Q$1,'Jounal entries final'!$C:$C,'Last 12 Bilan'!$G$3)</f>
        <v>30693580</v>
      </c>
      <c r="R17" s="124">
        <f>-SUMIFS('Jounal entries final'!$H:$H,'Jounal entries final'!$E:$E,'Last 12 Bilan'!$F17,'Jounal entries final'!$B:$B,R$1,'Jounal entries final'!$C:$C,'Last 12 Bilan'!$G$3)</f>
        <v>27730960</v>
      </c>
    </row>
    <row r="18" spans="1:18">
      <c r="F18" s="114" t="s">
        <v>192</v>
      </c>
      <c r="G18" s="124">
        <f>-SUMIFS('Jounal entries final'!$H:$H,'Jounal entries final'!$E:$E,'Last 12 Bilan'!$F18,'Jounal entries final'!$B:$B,G$1,'Jounal entries final'!$C:$C,'Last 12 Bilan'!$G$3)</f>
        <v>10500000</v>
      </c>
      <c r="H18" s="124">
        <f>-SUMIFS('Jounal entries final'!$H:$H,'Jounal entries final'!$E:$E,'Last 12 Bilan'!$F18,'Jounal entries final'!$B:$B,H$1,'Jounal entries final'!$C:$C,'Last 12 Bilan'!$G$3)</f>
        <v>10500000</v>
      </c>
      <c r="I18" s="124">
        <f>-SUMIFS('Jounal entries final'!$H:$H,'Jounal entries final'!$E:$E,'Last 12 Bilan'!$F18,'Jounal entries final'!$B:$B,I$1,'Jounal entries final'!$C:$C,'Last 12 Bilan'!$G$3)</f>
        <v>10500000</v>
      </c>
      <c r="J18" s="124">
        <f>-SUMIFS('Jounal entries final'!$H:$H,'Jounal entries final'!$E:$E,'Last 12 Bilan'!$F18,'Jounal entries final'!$B:$B,J$1,'Jounal entries final'!$C:$C,'Last 12 Bilan'!$G$3)</f>
        <v>10500000</v>
      </c>
      <c r="K18" s="124">
        <f>-SUMIFS('Jounal entries final'!$H:$H,'Jounal entries final'!$E:$E,'Last 12 Bilan'!$F18,'Jounal entries final'!$B:$B,K$1,'Jounal entries final'!$C:$C,'Last 12 Bilan'!$G$3)</f>
        <v>10500000</v>
      </c>
      <c r="L18" s="124">
        <f>-SUMIFS('Jounal entries final'!$H:$H,'Jounal entries final'!$E:$E,'Last 12 Bilan'!$F18,'Jounal entries final'!$B:$B,L$1,'Jounal entries final'!$C:$C,'Last 12 Bilan'!$G$3)</f>
        <v>10500000</v>
      </c>
      <c r="M18" s="124">
        <f>-SUMIFS('Jounal entries final'!$H:$H,'Jounal entries final'!$E:$E,'Last 12 Bilan'!$F18,'Jounal entries final'!$B:$B,M$1,'Jounal entries final'!$C:$C,'Last 12 Bilan'!$G$3)</f>
        <v>10500000</v>
      </c>
      <c r="N18" s="124">
        <f>-SUMIFS('Jounal entries final'!$H:$H,'Jounal entries final'!$E:$E,'Last 12 Bilan'!$F18,'Jounal entries final'!$B:$B,N$1,'Jounal entries final'!$C:$C,'Last 12 Bilan'!$G$3)</f>
        <v>10500000</v>
      </c>
      <c r="O18" s="124">
        <f>-SUMIFS('Jounal entries final'!$H:$H,'Jounal entries final'!$E:$E,'Last 12 Bilan'!$F18,'Jounal entries final'!$B:$B,O$1,'Jounal entries final'!$C:$C,'Last 12 Bilan'!$G$3)</f>
        <v>10500000</v>
      </c>
      <c r="P18" s="124">
        <f>-SUMIFS('Jounal entries final'!$H:$H,'Jounal entries final'!$E:$E,'Last 12 Bilan'!$F18,'Jounal entries final'!$B:$B,P$1,'Jounal entries final'!$C:$C,'Last 12 Bilan'!$G$3)</f>
        <v>10500000</v>
      </c>
      <c r="Q18" s="124">
        <f>-SUMIFS('Jounal entries final'!$H:$H,'Jounal entries final'!$E:$E,'Last 12 Bilan'!$F18,'Jounal entries final'!$B:$B,Q$1,'Jounal entries final'!$C:$C,'Last 12 Bilan'!$G$3)</f>
        <v>10500000</v>
      </c>
      <c r="R18" s="124">
        <f>-SUMIFS('Jounal entries final'!$H:$H,'Jounal entries final'!$E:$E,'Last 12 Bilan'!$F18,'Jounal entries final'!$B:$B,R$1,'Jounal entries final'!$C:$C,'Last 12 Bilan'!$G$3)</f>
        <v>10500000</v>
      </c>
    </row>
    <row r="19" spans="1:18" ht="19">
      <c r="B19" s="116" t="s">
        <v>169</v>
      </c>
      <c r="F19" s="130" t="s">
        <v>184</v>
      </c>
      <c r="G19" s="124">
        <f>G17+G18</f>
        <v>32333695</v>
      </c>
      <c r="H19" s="124">
        <f t="shared" ref="H19:R19" si="1">H17+H18</f>
        <v>40146200</v>
      </c>
      <c r="I19" s="124">
        <f t="shared" si="1"/>
        <v>42318810</v>
      </c>
      <c r="J19" s="124">
        <f t="shared" si="1"/>
        <v>43812505</v>
      </c>
      <c r="K19" s="124">
        <f t="shared" si="1"/>
        <v>39579495</v>
      </c>
      <c r="L19" s="124">
        <f t="shared" si="1"/>
        <v>37207000</v>
      </c>
      <c r="M19" s="124">
        <f t="shared" si="1"/>
        <v>43309000</v>
      </c>
      <c r="N19" s="124">
        <f t="shared" si="1"/>
        <v>46346010</v>
      </c>
      <c r="O19" s="124">
        <f t="shared" si="1"/>
        <v>34217265</v>
      </c>
      <c r="P19" s="124">
        <f t="shared" si="1"/>
        <v>41287275</v>
      </c>
      <c r="Q19" s="124">
        <f t="shared" si="1"/>
        <v>41193580</v>
      </c>
      <c r="R19" s="124">
        <f t="shared" si="1"/>
        <v>38230960</v>
      </c>
    </row>
    <row r="20" spans="1:18">
      <c r="G20" s="124"/>
      <c r="H20" s="133"/>
      <c r="I20" s="124"/>
      <c r="J20" s="124"/>
      <c r="K20" s="124"/>
      <c r="L20" s="124"/>
      <c r="M20" s="124"/>
      <c r="N20" s="124"/>
      <c r="O20" s="124"/>
      <c r="P20" s="124"/>
      <c r="Q20" s="124"/>
      <c r="R20" s="124"/>
    </row>
    <row r="21" spans="1:18" ht="19">
      <c r="B21" s="116" t="s">
        <v>170</v>
      </c>
      <c r="F21" s="114" t="s">
        <v>156</v>
      </c>
      <c r="G21" s="124">
        <f>-SUMIFS('Jounal entries final'!$H:$H,'Jounal entries final'!$E:$E,'Last 12 Bilan'!$F21,'Jounal entries final'!$B:$B,G$1,'Jounal entries final'!$C:$C,'Last 12 Bilan'!$G$3)</f>
        <v>50000000</v>
      </c>
      <c r="H21" s="124">
        <f>-SUMIFS('Jounal entries final'!$H:$H,'Jounal entries final'!$E:$E,'Last 12 Bilan'!$F21,'Jounal entries final'!$B:$B,H$1,'Jounal entries final'!$C:$C,'Last 12 Bilan'!$G$3)</f>
        <v>50000000</v>
      </c>
      <c r="I21" s="124">
        <f>-SUMIFS('Jounal entries final'!$H:$H,'Jounal entries final'!$E:$E,'Last 12 Bilan'!$F21,'Jounal entries final'!$B:$B,I$1,'Jounal entries final'!$C:$C,'Last 12 Bilan'!$G$3)</f>
        <v>50000000</v>
      </c>
      <c r="J21" s="124">
        <f>-SUMIFS('Jounal entries final'!$H:$H,'Jounal entries final'!$E:$E,'Last 12 Bilan'!$F21,'Jounal entries final'!$B:$B,J$1,'Jounal entries final'!$C:$C,'Last 12 Bilan'!$G$3)</f>
        <v>50000000</v>
      </c>
      <c r="K21" s="124">
        <f>-SUMIFS('Jounal entries final'!$H:$H,'Jounal entries final'!$E:$E,'Last 12 Bilan'!$F21,'Jounal entries final'!$B:$B,K$1,'Jounal entries final'!$C:$C,'Last 12 Bilan'!$G$3)</f>
        <v>50000000</v>
      </c>
      <c r="L21" s="124">
        <f>-SUMIFS('Jounal entries final'!$H:$H,'Jounal entries final'!$E:$E,'Last 12 Bilan'!$F21,'Jounal entries final'!$B:$B,L$1,'Jounal entries final'!$C:$C,'Last 12 Bilan'!$G$3)</f>
        <v>50000000</v>
      </c>
      <c r="M21" s="124">
        <f>-SUMIFS('Jounal entries final'!$H:$H,'Jounal entries final'!$E:$E,'Last 12 Bilan'!$F21,'Jounal entries final'!$B:$B,M$1,'Jounal entries final'!$C:$C,'Last 12 Bilan'!$G$3)</f>
        <v>50000000</v>
      </c>
      <c r="N21" s="124">
        <f>-SUMIFS('Jounal entries final'!$H:$H,'Jounal entries final'!$E:$E,'Last 12 Bilan'!$F21,'Jounal entries final'!$B:$B,N$1,'Jounal entries final'!$C:$C,'Last 12 Bilan'!$G$3)</f>
        <v>50000000</v>
      </c>
      <c r="O21" s="124">
        <f>-SUMIFS('Jounal entries final'!$H:$H,'Jounal entries final'!$E:$E,'Last 12 Bilan'!$F21,'Jounal entries final'!$B:$B,O$1,'Jounal entries final'!$C:$C,'Last 12 Bilan'!$G$3)</f>
        <v>50000000</v>
      </c>
      <c r="P21" s="124">
        <f>-SUMIFS('Jounal entries final'!$H:$H,'Jounal entries final'!$E:$E,'Last 12 Bilan'!$F21,'Jounal entries final'!$B:$B,P$1,'Jounal entries final'!$C:$C,'Last 12 Bilan'!$G$3)</f>
        <v>50000000</v>
      </c>
      <c r="Q21" s="124">
        <f>-SUMIFS('Jounal entries final'!$H:$H,'Jounal entries final'!$E:$E,'Last 12 Bilan'!$F21,'Jounal entries final'!$B:$B,Q$1,'Jounal entries final'!$C:$C,'Last 12 Bilan'!$G$3)</f>
        <v>50000000</v>
      </c>
      <c r="R21" s="124">
        <f>-SUMIFS('Jounal entries final'!$H:$H,'Jounal entries final'!$E:$E,'Last 12 Bilan'!$F21,'Jounal entries final'!$B:$B,R$1,'Jounal entries final'!$C:$C,'Last 12 Bilan'!$G$3)</f>
        <v>50000000</v>
      </c>
    </row>
    <row r="22" spans="1:18">
      <c r="F22" s="114" t="s">
        <v>185</v>
      </c>
      <c r="G22" s="124">
        <f>-SUMIFS('Jounal entries final'!$H:$H,'Jounal entries final'!$E:$E,'Last 12 Bilan'!$F22,'Jounal entries final'!$B:$B,G$1,'Jounal entries final'!$C:$C,'Last 12 Bilan'!$G$3)</f>
        <v>-8334919</v>
      </c>
      <c r="H22" s="124">
        <f>-SUMIFS('Jounal entries final'!$H:$H,'Jounal entries final'!$E:$E,'Last 12 Bilan'!$F22,'Jounal entries final'!$B:$B,H$1,'Jounal entries final'!$C:$C,'Last 12 Bilan'!$G$3)</f>
        <v>0</v>
      </c>
      <c r="I22" s="124">
        <f>-SUMIFS('Jounal entries final'!$H:$H,'Jounal entries final'!$E:$E,'Last 12 Bilan'!$F22,'Jounal entries final'!$B:$B,I$1,'Jounal entries final'!$C:$C,'Last 12 Bilan'!$G$3)</f>
        <v>0</v>
      </c>
      <c r="J22" s="124">
        <f>-SUMIFS('Jounal entries final'!$H:$H,'Jounal entries final'!$E:$E,'Last 12 Bilan'!$F22,'Jounal entries final'!$B:$B,J$1,'Jounal entries final'!$C:$C,'Last 12 Bilan'!$G$3)</f>
        <v>0</v>
      </c>
      <c r="K22" s="124">
        <f>-SUMIFS('Jounal entries final'!$H:$H,'Jounal entries final'!$E:$E,'Last 12 Bilan'!$F22,'Jounal entries final'!$B:$B,K$1,'Jounal entries final'!$C:$C,'Last 12 Bilan'!$G$3)</f>
        <v>0</v>
      </c>
      <c r="L22" s="124">
        <f>-SUMIFS('Jounal entries final'!$H:$H,'Jounal entries final'!$E:$E,'Last 12 Bilan'!$F22,'Jounal entries final'!$B:$B,L$1,'Jounal entries final'!$C:$C,'Last 12 Bilan'!$G$3)</f>
        <v>0</v>
      </c>
      <c r="M22" s="124">
        <f>-SUMIFS('Jounal entries final'!$H:$H,'Jounal entries final'!$E:$E,'Last 12 Bilan'!$F22,'Jounal entries final'!$B:$B,M$1,'Jounal entries final'!$C:$C,'Last 12 Bilan'!$G$3)</f>
        <v>0</v>
      </c>
      <c r="N22" s="124">
        <f>-SUMIFS('Jounal entries final'!$H:$H,'Jounal entries final'!$E:$E,'Last 12 Bilan'!$F22,'Jounal entries final'!$B:$B,N$1,'Jounal entries final'!$C:$C,'Last 12 Bilan'!$G$3)</f>
        <v>0</v>
      </c>
      <c r="O22" s="124">
        <f>-SUMIFS('Jounal entries final'!$H:$H,'Jounal entries final'!$E:$E,'Last 12 Bilan'!$F22,'Jounal entries final'!$B:$B,O$1,'Jounal entries final'!$C:$C,'Last 12 Bilan'!$G$3)</f>
        <v>0</v>
      </c>
      <c r="P22" s="124">
        <f>-SUMIFS('Jounal entries final'!$H:$H,'Jounal entries final'!$E:$E,'Last 12 Bilan'!$F22,'Jounal entries final'!$B:$B,P$1,'Jounal entries final'!$C:$C,'Last 12 Bilan'!$G$3)</f>
        <v>0</v>
      </c>
      <c r="Q22" s="124">
        <f>-SUMIFS('Jounal entries final'!$H:$H,'Jounal entries final'!$E:$E,'Last 12 Bilan'!$F22,'Jounal entries final'!$B:$B,Q$1,'Jounal entries final'!$C:$C,'Last 12 Bilan'!$G$3)</f>
        <v>0</v>
      </c>
      <c r="R22" s="124">
        <f>-SUMIFS('Jounal entries final'!$H:$H,'Jounal entries final'!$E:$E,'Last 12 Bilan'!$F22,'Jounal entries final'!$B:$B,R$1,'Jounal entries final'!$C:$C,'Last 12 Bilan'!$G$3)</f>
        <v>0</v>
      </c>
    </row>
    <row r="23" spans="1:18" ht="19">
      <c r="B23" s="116" t="s">
        <v>171</v>
      </c>
      <c r="F23" s="118" t="s">
        <v>221</v>
      </c>
      <c r="G23" s="124">
        <f>'Last 12M'!G22</f>
        <v>617163.96999999695</v>
      </c>
      <c r="H23" s="124">
        <f>'Last 12M'!H22</f>
        <v>1212950.9219999984</v>
      </c>
      <c r="I23" s="124">
        <f>'Last 12M'!I22</f>
        <v>-221024.23199999891</v>
      </c>
      <c r="J23" s="124">
        <f>'Last 12M'!J22</f>
        <v>265211.71399999969</v>
      </c>
      <c r="K23" s="124">
        <f>'Last 12M'!K22</f>
        <v>-108935.68600000069</v>
      </c>
      <c r="L23" s="124">
        <f>'Last 12M'!L22</f>
        <v>2188031.574000001</v>
      </c>
      <c r="M23" s="124">
        <f>'Last 12M'!M22</f>
        <v>768150.00200000219</v>
      </c>
      <c r="N23" s="124">
        <f>'Last 12M'!N22</f>
        <v>-502060.86199999973</v>
      </c>
      <c r="O23" s="124">
        <f>'Last 12M'!O22</f>
        <v>806631.28200000059</v>
      </c>
      <c r="P23" s="124">
        <f>'Last 12M'!P22</f>
        <v>328481.67200000025</v>
      </c>
      <c r="Q23" s="124">
        <f>'Last 12M'!Q22</f>
        <v>93138.847999997437</v>
      </c>
      <c r="R23" s="124">
        <f>'Last 12M'!R22</f>
        <v>395393.73000000603</v>
      </c>
    </row>
    <row r="24" spans="1:18">
      <c r="F24" s="130" t="s">
        <v>195</v>
      </c>
      <c r="G24" s="124">
        <f>SUM(G21:G23)</f>
        <v>42282244.969999999</v>
      </c>
      <c r="H24" s="124">
        <f t="shared" ref="H24:R24" si="2">SUM(H21:H23)</f>
        <v>51212950.921999998</v>
      </c>
      <c r="I24" s="124">
        <f t="shared" si="2"/>
        <v>49778975.767999999</v>
      </c>
      <c r="J24" s="124">
        <f t="shared" si="2"/>
        <v>50265211.714000002</v>
      </c>
      <c r="K24" s="124">
        <f t="shared" si="2"/>
        <v>49891064.313999996</v>
      </c>
      <c r="L24" s="124">
        <f t="shared" si="2"/>
        <v>52188031.574000001</v>
      </c>
      <c r="M24" s="124">
        <f t="shared" si="2"/>
        <v>50768150.002000004</v>
      </c>
      <c r="N24" s="124">
        <f t="shared" si="2"/>
        <v>49497939.137999997</v>
      </c>
      <c r="O24" s="124">
        <f t="shared" si="2"/>
        <v>50806631.281999998</v>
      </c>
      <c r="P24" s="124">
        <f t="shared" si="2"/>
        <v>50328481.671999998</v>
      </c>
      <c r="Q24" s="124">
        <f t="shared" si="2"/>
        <v>50093138.847999997</v>
      </c>
      <c r="R24" s="124">
        <f t="shared" si="2"/>
        <v>50395393.730000004</v>
      </c>
    </row>
    <row r="25" spans="1:18" s="202" customFormat="1" ht="19">
      <c r="A25" s="200"/>
      <c r="B25" s="201" t="s">
        <v>172</v>
      </c>
      <c r="C25" s="200"/>
      <c r="F25" s="198" t="s">
        <v>237</v>
      </c>
      <c r="H25" s="199">
        <f>+SUM(H29:H31)</f>
        <v>-4870639.03</v>
      </c>
      <c r="I25" s="199">
        <f t="shared" ref="I25:R25" si="3">+SUM(I29:I31)</f>
        <v>-1896025.0100000002</v>
      </c>
      <c r="J25" s="199">
        <f t="shared" si="3"/>
        <v>5523965.7599999998</v>
      </c>
      <c r="K25" s="199">
        <f t="shared" si="3"/>
        <v>-2008155.25</v>
      </c>
      <c r="L25" s="199">
        <f t="shared" si="3"/>
        <v>2074184.4799999995</v>
      </c>
      <c r="M25" s="199">
        <f t="shared" si="3"/>
        <v>6161914.0800000001</v>
      </c>
      <c r="N25" s="199">
        <f t="shared" si="3"/>
        <v>3274737.3199999984</v>
      </c>
      <c r="O25" s="199">
        <f t="shared" si="3"/>
        <v>8568397.5799999982</v>
      </c>
      <c r="P25" s="199">
        <f t="shared" si="3"/>
        <v>8024167.1599999992</v>
      </c>
      <c r="Q25" s="199">
        <f t="shared" si="3"/>
        <v>2066781.0999999996</v>
      </c>
      <c r="R25" s="199">
        <f t="shared" si="3"/>
        <v>5397872.2399999993</v>
      </c>
    </row>
    <row r="26" spans="1:18" ht="5.5" customHeight="1">
      <c r="H26" s="157"/>
    </row>
    <row r="27" spans="1:18">
      <c r="F27" s="118" t="s">
        <v>196</v>
      </c>
      <c r="G27" s="134">
        <f>G14-G19-G24</f>
        <v>0</v>
      </c>
      <c r="H27" s="134">
        <f>H14-H19-H24-H25</f>
        <v>3607883.9999999916</v>
      </c>
      <c r="I27" s="203">
        <f t="shared" ref="I27:R27" si="4">I14-I19-I24-I25</f>
        <v>7214915.901999997</v>
      </c>
      <c r="J27" s="134">
        <f t="shared" si="4"/>
        <v>5825205.8999999966</v>
      </c>
      <c r="K27" s="134">
        <f t="shared" si="4"/>
        <v>22839043.623999998</v>
      </c>
      <c r="L27" s="134">
        <f t="shared" si="4"/>
        <v>25553263.207999993</v>
      </c>
      <c r="M27" s="134">
        <f t="shared" si="4"/>
        <v>26096565.181999996</v>
      </c>
      <c r="N27" s="134">
        <f t="shared" si="4"/>
        <v>35733386.944000013</v>
      </c>
      <c r="O27" s="134">
        <f t="shared" si="4"/>
        <v>43738790.821999989</v>
      </c>
      <c r="P27" s="134">
        <f t="shared" si="4"/>
        <v>45618337.524000011</v>
      </c>
      <c r="Q27" s="134">
        <f t="shared" si="4"/>
        <v>58977900.255999997</v>
      </c>
      <c r="R27" s="134">
        <f t="shared" si="4"/>
        <v>63938757.964000009</v>
      </c>
    </row>
    <row r="28" spans="1:18">
      <c r="H28" s="157"/>
    </row>
    <row r="29" spans="1:18">
      <c r="F29" s="198" t="s">
        <v>229</v>
      </c>
      <c r="G29" s="199">
        <f>-SUMIFS('Jounal entries final'!$H:$H,'Jounal entries final'!$E:$E,'Last 12 Bilan'!$F29,'Jounal entries final'!$B:$B,G$1,'Jounal entries final'!$C:$C,'Last 12 Bilan'!$G$3)</f>
        <v>0</v>
      </c>
      <c r="H29" s="199">
        <f>-SUMIFS('Jounal entries final'!$H:$H,'Jounal entries final'!$E:$E,'Last 12 Bilan'!$F29,'Jounal entries final'!$B:$B,H$1,'Jounal entries final'!$C:$C,'Last 12 Bilan'!$G$3)</f>
        <v>-21833695</v>
      </c>
      <c r="I29" s="199">
        <f>-SUMIFS('Jounal entries final'!$H:$H,'Jounal entries final'!$E:$E,'Last 12 Bilan'!$F29,'Jounal entries final'!$B:$B,I$1,'Jounal entries final'!$C:$C,'Last 12 Bilan'!$G$3)</f>
        <v>-30732505</v>
      </c>
      <c r="J29" s="199">
        <f>-SUMIFS('Jounal entries final'!$H:$H,'Jounal entries final'!$E:$E,'Last 12 Bilan'!$F29,'Jounal entries final'!$B:$B,J$1,'Jounal entries final'!$C:$C,'Last 12 Bilan'!$G$3)</f>
        <v>-32022505</v>
      </c>
      <c r="K29" s="199">
        <f>-SUMIFS('Jounal entries final'!$H:$H,'Jounal entries final'!$E:$E,'Last 12 Bilan'!$F29,'Jounal entries final'!$B:$B,K$1,'Jounal entries final'!$C:$C,'Last 12 Bilan'!$G$3)</f>
        <v>-30551000</v>
      </c>
      <c r="L29" s="199">
        <f>-SUMIFS('Jounal entries final'!$H:$H,'Jounal entries final'!$E:$E,'Last 12 Bilan'!$F29,'Jounal entries final'!$B:$B,L$1,'Jounal entries final'!$C:$C,'Last 12 Bilan'!$G$3)</f>
        <v>-28629000</v>
      </c>
      <c r="M29" s="199">
        <f>-SUMIFS('Jounal entries final'!$H:$H,'Jounal entries final'!$E:$E,'Last 12 Bilan'!$F29,'Jounal entries final'!$B:$B,M$1,'Jounal entries final'!$C:$C,'Last 12 Bilan'!$G$3)</f>
        <v>-30719000</v>
      </c>
      <c r="N29" s="199">
        <f>-SUMIFS('Jounal entries final'!$H:$H,'Jounal entries final'!$E:$E,'Last 12 Bilan'!$F29,'Jounal entries final'!$B:$B,N$1,'Jounal entries final'!$C:$C,'Last 12 Bilan'!$G$3)</f>
        <v>-33282505</v>
      </c>
      <c r="O29" s="199">
        <f>-SUMIFS('Jounal entries final'!$H:$H,'Jounal entries final'!$E:$E,'Last 12 Bilan'!$F29,'Jounal entries final'!$B:$B,O$1,'Jounal entries final'!$C:$C,'Last 12 Bilan'!$G$3)</f>
        <v>-28499885</v>
      </c>
      <c r="P29" s="199">
        <f>-SUMIFS('Jounal entries final'!$H:$H,'Jounal entries final'!$E:$E,'Last 12 Bilan'!$F29,'Jounal entries final'!$B:$B,P$1,'Jounal entries final'!$C:$C,'Last 12 Bilan'!$G$3)</f>
        <v>-29643580</v>
      </c>
      <c r="Q29" s="199">
        <f>-SUMIFS('Jounal entries final'!$H:$H,'Jounal entries final'!$E:$E,'Last 12 Bilan'!$F29,'Jounal entries final'!$B:$B,Q$1,'Jounal entries final'!$C:$C,'Last 12 Bilan'!$G$3)</f>
        <v>-30168580</v>
      </c>
      <c r="R29" s="199">
        <f>-SUMIFS('Jounal entries final'!$H:$H,'Jounal entries final'!$E:$E,'Last 12 Bilan'!$F29,'Jounal entries final'!$B:$B,R$1,'Jounal entries final'!$C:$C,'Last 12 Bilan'!$G$3)</f>
        <v>-28949770</v>
      </c>
    </row>
    <row r="30" spans="1:18">
      <c r="F30" s="198" t="s">
        <v>230</v>
      </c>
      <c r="G30" s="199">
        <f>-SUMIFS('Jounal entries final'!$H:$H,'Jounal entries final'!$E:$E,'Last 12 Bilan'!$F30,'Jounal entries final'!$B:$B,G$1,'Jounal entries final'!$C:$C,'Last 12 Bilan'!$G$3)</f>
        <v>0</v>
      </c>
      <c r="H30" s="199">
        <f>-SUMIFS('Jounal entries final'!$H:$H,'Jounal entries final'!$E:$E,'Last 12 Bilan'!$F30,'Jounal entries final'!$B:$B,H$1,'Jounal entries final'!$C:$C,'Last 12 Bilan'!$G$3)</f>
        <v>15745707</v>
      </c>
      <c r="I30" s="199">
        <f>-SUMIFS('Jounal entries final'!$H:$H,'Jounal entries final'!$E:$E,'Last 12 Bilan'!$F30,'Jounal entries final'!$B:$B,I$1,'Jounal entries final'!$C:$C,'Last 12 Bilan'!$G$3)</f>
        <v>27871048</v>
      </c>
      <c r="J30" s="199">
        <f>-SUMIFS('Jounal entries final'!$H:$H,'Jounal entries final'!$E:$E,'Last 12 Bilan'!$F30,'Jounal entries final'!$B:$B,J$1,'Jounal entries final'!$C:$C,'Last 12 Bilan'!$G$3)</f>
        <v>34858942</v>
      </c>
      <c r="K30" s="199">
        <f>-SUMIFS('Jounal entries final'!$H:$H,'Jounal entries final'!$E:$E,'Last 12 Bilan'!$F30,'Jounal entries final'!$B:$B,K$1,'Jounal entries final'!$C:$C,'Last 12 Bilan'!$G$3)</f>
        <v>25616326</v>
      </c>
      <c r="L30" s="199">
        <f>-SUMIFS('Jounal entries final'!$H:$H,'Jounal entries final'!$E:$E,'Last 12 Bilan'!$F30,'Jounal entries final'!$B:$B,L$1,'Jounal entries final'!$C:$C,'Last 12 Bilan'!$G$3)</f>
        <v>27415787</v>
      </c>
      <c r="M30" s="199">
        <f>-SUMIFS('Jounal entries final'!$H:$H,'Jounal entries final'!$E:$E,'Last 12 Bilan'!$F30,'Jounal entries final'!$B:$B,M$1,'Jounal entries final'!$C:$C,'Last 12 Bilan'!$G$3)</f>
        <v>32249372</v>
      </c>
      <c r="N30" s="199">
        <f>-SUMIFS('Jounal entries final'!$H:$H,'Jounal entries final'!$E:$E,'Last 12 Bilan'!$F30,'Jounal entries final'!$B:$B,N$1,'Jounal entries final'!$C:$C,'Last 12 Bilan'!$G$3)</f>
        <v>31469236</v>
      </c>
      <c r="O30" s="199">
        <f>-SUMIFS('Jounal entries final'!$H:$H,'Jounal entries final'!$E:$E,'Last 12 Bilan'!$F30,'Jounal entries final'!$B:$B,O$1,'Jounal entries final'!$C:$C,'Last 12 Bilan'!$G$3)</f>
        <v>31920418</v>
      </c>
      <c r="P30" s="199">
        <f>-SUMIFS('Jounal entries final'!$H:$H,'Jounal entries final'!$E:$E,'Last 12 Bilan'!$F30,'Jounal entries final'!$B:$B,P$1,'Jounal entries final'!$C:$C,'Last 12 Bilan'!$G$3)</f>
        <v>31815762</v>
      </c>
      <c r="Q30" s="199">
        <f>-SUMIFS('Jounal entries final'!$H:$H,'Jounal entries final'!$E:$E,'Last 12 Bilan'!$F30,'Jounal entries final'!$B:$B,Q$1,'Jounal entries final'!$C:$C,'Last 12 Bilan'!$G$3)</f>
        <v>25850551</v>
      </c>
      <c r="R30" s="199">
        <f>-SUMIFS('Jounal entries final'!$H:$H,'Jounal entries final'!$E:$E,'Last 12 Bilan'!$F30,'Jounal entries final'!$B:$B,R$1,'Jounal entries final'!$C:$C,'Last 12 Bilan'!$G$3)</f>
        <v>28148846</v>
      </c>
    </row>
    <row r="31" spans="1:18">
      <c r="F31" s="198" t="s">
        <v>236</v>
      </c>
      <c r="G31" s="199">
        <f>-SUMIFS('Jounal entries final'!$H:$H,'Jounal entries final'!$E:$E,'Last 12 Bilan'!$F31,'Jounal entries final'!$B:$B,G$1,'Jounal entries final'!$C:$C,'Last 12 Bilan'!$G$3)</f>
        <v>0</v>
      </c>
      <c r="H31" s="199">
        <f>-SUMIFS('Jounal entries final'!$H:$H,'Jounal entries final'!$E:$E,'Last 12 Bilan'!$F31,'Jounal entries final'!$B:$B,H$1,'Jounal entries final'!$C:$C,'Last 12 Bilan'!$G$3)</f>
        <v>1217348.9699999997</v>
      </c>
      <c r="I31" s="199">
        <f>-SUMIFS('Jounal entries final'!$H:$H,'Jounal entries final'!$E:$E,'Last 12 Bilan'!$F31,'Jounal entries final'!$B:$B,I$1,'Jounal entries final'!$C:$C,'Last 12 Bilan'!$G$3)</f>
        <v>965431.98999999987</v>
      </c>
      <c r="J31" s="199">
        <f>-SUMIFS('Jounal entries final'!$H:$H,'Jounal entries final'!$E:$E,'Last 12 Bilan'!$F31,'Jounal entries final'!$B:$B,J$1,'Jounal entries final'!$C:$C,'Last 12 Bilan'!$G$3)</f>
        <v>2687528.76</v>
      </c>
      <c r="K31" s="199">
        <f>-SUMIFS('Jounal entries final'!$H:$H,'Jounal entries final'!$E:$E,'Last 12 Bilan'!$F31,'Jounal entries final'!$B:$B,K$1,'Jounal entries final'!$C:$C,'Last 12 Bilan'!$G$3)</f>
        <v>2926518.75</v>
      </c>
      <c r="L31" s="199">
        <f>-SUMIFS('Jounal entries final'!$H:$H,'Jounal entries final'!$E:$E,'Last 12 Bilan'!$F31,'Jounal entries final'!$B:$B,L$1,'Jounal entries final'!$C:$C,'Last 12 Bilan'!$G$3)</f>
        <v>3287397.4799999995</v>
      </c>
      <c r="M31" s="199">
        <f>-SUMIFS('Jounal entries final'!$H:$H,'Jounal entries final'!$E:$E,'Last 12 Bilan'!$F31,'Jounal entries final'!$B:$B,M$1,'Jounal entries final'!$C:$C,'Last 12 Bilan'!$G$3)</f>
        <v>4631542.08</v>
      </c>
      <c r="N31" s="199">
        <f>-SUMIFS('Jounal entries final'!$H:$H,'Jounal entries final'!$E:$E,'Last 12 Bilan'!$F31,'Jounal entries final'!$B:$B,N$1,'Jounal entries final'!$C:$C,'Last 12 Bilan'!$G$3)</f>
        <v>5088006.3199999984</v>
      </c>
      <c r="O31" s="199">
        <f>-SUMIFS('Jounal entries final'!$H:$H,'Jounal entries final'!$E:$E,'Last 12 Bilan'!$F31,'Jounal entries final'!$B:$B,O$1,'Jounal entries final'!$C:$C,'Last 12 Bilan'!$G$3)</f>
        <v>5147864.5799999991</v>
      </c>
      <c r="P31" s="199">
        <f>-SUMIFS('Jounal entries final'!$H:$H,'Jounal entries final'!$E:$E,'Last 12 Bilan'!$F31,'Jounal entries final'!$B:$B,P$1,'Jounal entries final'!$C:$C,'Last 12 Bilan'!$G$3)</f>
        <v>5851985.1599999992</v>
      </c>
      <c r="Q31" s="199">
        <f>-SUMIFS('Jounal entries final'!$H:$H,'Jounal entries final'!$E:$E,'Last 12 Bilan'!$F31,'Jounal entries final'!$B:$B,Q$1,'Jounal entries final'!$C:$C,'Last 12 Bilan'!$G$3)</f>
        <v>6384810.0999999996</v>
      </c>
      <c r="R31" s="199">
        <f>-SUMIFS('Jounal entries final'!$H:$H,'Jounal entries final'!$E:$E,'Last 12 Bilan'!$F31,'Jounal entries final'!$B:$B,R$1,'Jounal entries final'!$C:$C,'Last 12 Bilan'!$G$3)</f>
        <v>6198796.2399999993</v>
      </c>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62F9C-27EF-4954-AEC4-43D6C4192334}">
  <sheetPr codeName="Sheet141">
    <tabColor rgb="FFFFFF00"/>
  </sheetPr>
  <dimension ref="A1:S1942"/>
  <sheetViews>
    <sheetView workbookViewId="0">
      <selection activeCell="M8" sqref="M8"/>
    </sheetView>
  </sheetViews>
  <sheetFormatPr baseColWidth="10" defaultColWidth="8.83203125" defaultRowHeight="15"/>
  <cols>
    <col min="1" max="1" width="10.33203125" style="86" bestFit="1" customWidth="1"/>
    <col min="2" max="3" width="10.33203125" customWidth="1"/>
    <col min="4" max="4" width="17.5" bestFit="1" customWidth="1"/>
    <col min="5" max="5" width="37.33203125" style="331" customWidth="1"/>
    <col min="6" max="6" width="17.6640625" style="44" bestFit="1" customWidth="1"/>
    <col min="7" max="7" width="29.1640625" style="44" bestFit="1" customWidth="1"/>
    <col min="8" max="8" width="29.1640625" style="44" customWidth="1"/>
    <col min="9" max="9" width="15.83203125" style="44" bestFit="1" customWidth="1"/>
    <col min="10" max="10" width="18.1640625" style="44" bestFit="1" customWidth="1"/>
    <col min="11" max="11" width="42.1640625" bestFit="1" customWidth="1"/>
    <col min="12" max="12" width="12.6640625" bestFit="1" customWidth="1"/>
    <col min="13" max="13" width="16.5" style="29" customWidth="1"/>
    <col min="14" max="15" width="18.1640625" bestFit="1" customWidth="1"/>
    <col min="18" max="19" width="15.33203125" bestFit="1" customWidth="1"/>
  </cols>
  <sheetData>
    <row r="1" spans="1:14" s="5" customFormat="1">
      <c r="A1" s="5" t="s">
        <v>51</v>
      </c>
      <c r="B1" s="5" t="s">
        <v>174</v>
      </c>
      <c r="C1" s="5" t="s">
        <v>175</v>
      </c>
      <c r="D1" s="5" t="s">
        <v>52</v>
      </c>
      <c r="E1" s="329" t="s">
        <v>53</v>
      </c>
      <c r="F1" s="192" t="s">
        <v>54</v>
      </c>
      <c r="G1" s="192" t="s">
        <v>55</v>
      </c>
      <c r="H1" s="138" t="s">
        <v>148</v>
      </c>
      <c r="I1" s="5" t="s">
        <v>56</v>
      </c>
      <c r="J1" s="5" t="s">
        <v>57</v>
      </c>
      <c r="K1" s="5" t="s">
        <v>58</v>
      </c>
      <c r="L1" s="5" t="s">
        <v>104</v>
      </c>
      <c r="M1" s="105" t="s">
        <v>59</v>
      </c>
    </row>
    <row r="2" spans="1:14">
      <c r="A2" s="86">
        <v>44593</v>
      </c>
      <c r="B2" s="82">
        <f>MONTH(A2)</f>
        <v>2</v>
      </c>
      <c r="C2" s="82">
        <f>YEAR(A2)</f>
        <v>2022</v>
      </c>
      <c r="D2" s="82"/>
      <c r="E2" s="160" t="s">
        <v>68</v>
      </c>
      <c r="G2" s="44">
        <v>7120000</v>
      </c>
      <c r="H2" s="112">
        <f t="shared" ref="H2:H22" si="0">F2-G2</f>
        <v>-7120000</v>
      </c>
      <c r="J2"/>
      <c r="M2" t="s">
        <v>123</v>
      </c>
      <c r="N2" s="27"/>
    </row>
    <row r="3" spans="1:14">
      <c r="A3" s="86">
        <v>44593</v>
      </c>
      <c r="B3" s="82">
        <f t="shared" ref="B3:B22" si="1">MONTH(A3)</f>
        <v>2</v>
      </c>
      <c r="C3">
        <f>YEAR(A3)</f>
        <v>2022</v>
      </c>
      <c r="D3" s="27"/>
      <c r="E3" s="84" t="s">
        <v>229</v>
      </c>
      <c r="F3" s="44">
        <v>7120000</v>
      </c>
      <c r="H3" s="44">
        <f t="shared" si="0"/>
        <v>7120000</v>
      </c>
      <c r="J3" s="27"/>
      <c r="K3" s="27"/>
      <c r="L3" s="27"/>
      <c r="M3" t="s">
        <v>123</v>
      </c>
      <c r="N3" s="27"/>
    </row>
    <row r="4" spans="1:14">
      <c r="A4" s="86">
        <v>44593</v>
      </c>
      <c r="B4" s="82">
        <f t="shared" si="1"/>
        <v>2</v>
      </c>
      <c r="C4" s="82">
        <f t="shared" ref="C4:C7" si="2">YEAR(A4)</f>
        <v>2022</v>
      </c>
      <c r="D4" s="163"/>
      <c r="E4" s="160" t="s">
        <v>68</v>
      </c>
      <c r="G4" s="44">
        <v>6434000</v>
      </c>
      <c r="H4" s="112">
        <f t="shared" si="0"/>
        <v>-6434000</v>
      </c>
      <c r="J4" s="27"/>
      <c r="K4" s="27"/>
      <c r="L4" s="27"/>
      <c r="M4" t="s">
        <v>124</v>
      </c>
      <c r="N4" s="27"/>
    </row>
    <row r="5" spans="1:14">
      <c r="A5" s="86">
        <v>44593</v>
      </c>
      <c r="B5" s="82">
        <f t="shared" si="1"/>
        <v>2</v>
      </c>
      <c r="C5">
        <f t="shared" si="2"/>
        <v>2022</v>
      </c>
      <c r="D5" s="27"/>
      <c r="E5" s="84" t="s">
        <v>229</v>
      </c>
      <c r="F5" s="44">
        <v>6434000</v>
      </c>
      <c r="H5" s="44">
        <f t="shared" si="0"/>
        <v>6434000</v>
      </c>
      <c r="J5" s="27"/>
      <c r="K5" s="27"/>
      <c r="L5" s="27"/>
      <c r="M5" t="s">
        <v>124</v>
      </c>
      <c r="N5" s="27"/>
    </row>
    <row r="6" spans="1:14">
      <c r="A6" s="86">
        <v>44593</v>
      </c>
      <c r="B6" s="82">
        <f t="shared" si="1"/>
        <v>2</v>
      </c>
      <c r="C6" s="82">
        <f t="shared" si="2"/>
        <v>2022</v>
      </c>
      <c r="D6" s="163"/>
      <c r="E6" s="160" t="s">
        <v>68</v>
      </c>
      <c r="G6" s="44">
        <v>8279695</v>
      </c>
      <c r="H6" s="112">
        <f t="shared" si="0"/>
        <v>-8279695</v>
      </c>
      <c r="J6" s="27"/>
      <c r="K6" s="27"/>
      <c r="L6" s="27"/>
      <c r="M6" t="s">
        <v>125</v>
      </c>
      <c r="N6" s="27"/>
    </row>
    <row r="7" spans="1:14">
      <c r="A7" s="86">
        <v>44593</v>
      </c>
      <c r="B7" s="82">
        <f t="shared" si="1"/>
        <v>2</v>
      </c>
      <c r="C7">
        <f t="shared" si="2"/>
        <v>2022</v>
      </c>
      <c r="D7" s="27"/>
      <c r="E7" s="84" t="s">
        <v>229</v>
      </c>
      <c r="F7" s="44">
        <v>8279695</v>
      </c>
      <c r="H7" s="44">
        <f t="shared" si="0"/>
        <v>8279695</v>
      </c>
      <c r="J7" s="27"/>
      <c r="K7" s="27"/>
      <c r="L7" s="27"/>
      <c r="M7" t="s">
        <v>125</v>
      </c>
      <c r="N7" s="27"/>
    </row>
    <row r="8" spans="1:14">
      <c r="A8" s="86">
        <f>+ERP_Inventory!$B$30</f>
        <v>44562</v>
      </c>
      <c r="B8" s="82">
        <f t="shared" si="1"/>
        <v>1</v>
      </c>
      <c r="C8">
        <f>YEAR(A8)</f>
        <v>2022</v>
      </c>
      <c r="E8" s="84" t="s">
        <v>68</v>
      </c>
      <c r="G8" s="44">
        <v>3650000</v>
      </c>
      <c r="H8" s="44">
        <f t="shared" si="0"/>
        <v>-3650000</v>
      </c>
      <c r="J8"/>
      <c r="L8" t="s">
        <v>3</v>
      </c>
      <c r="M8" t="s">
        <v>123</v>
      </c>
    </row>
    <row r="9" spans="1:14">
      <c r="A9" s="86">
        <f>+ERP_Inventory!$B$30</f>
        <v>44562</v>
      </c>
      <c r="B9" s="82">
        <f t="shared" si="1"/>
        <v>1</v>
      </c>
      <c r="C9">
        <f>YEAR(A9)</f>
        <v>2022</v>
      </c>
      <c r="E9" s="84" t="s">
        <v>68</v>
      </c>
      <c r="G9" s="44">
        <v>4124000</v>
      </c>
      <c r="H9" s="44">
        <f t="shared" si="0"/>
        <v>-4124000</v>
      </c>
      <c r="J9"/>
      <c r="L9" t="s">
        <v>6</v>
      </c>
      <c r="M9" t="s">
        <v>124</v>
      </c>
    </row>
    <row r="10" spans="1:14">
      <c r="A10" s="86">
        <f>+ERP_Inventory!$B$30</f>
        <v>44562</v>
      </c>
      <c r="B10" s="82">
        <f t="shared" si="1"/>
        <v>1</v>
      </c>
      <c r="C10">
        <f>YEAR(A10)</f>
        <v>2022</v>
      </c>
      <c r="E10" s="84" t="s">
        <v>68</v>
      </c>
      <c r="G10" s="44">
        <v>5576000</v>
      </c>
      <c r="H10" s="44">
        <f t="shared" si="0"/>
        <v>-5576000</v>
      </c>
      <c r="J10"/>
      <c r="L10" t="s">
        <v>11</v>
      </c>
      <c r="M10" t="s">
        <v>125</v>
      </c>
    </row>
    <row r="11" spans="1:14">
      <c r="A11" s="86">
        <v>44670</v>
      </c>
      <c r="B11" s="82">
        <f t="shared" si="1"/>
        <v>4</v>
      </c>
      <c r="C11">
        <f t="shared" ref="C11:C12" si="3">YEAR(A11)</f>
        <v>2022</v>
      </c>
      <c r="E11" s="84" t="s">
        <v>97</v>
      </c>
      <c r="G11" s="44">
        <v>2000000</v>
      </c>
      <c r="H11" s="44">
        <f t="shared" si="0"/>
        <v>-2000000</v>
      </c>
      <c r="J11"/>
      <c r="L11" s="29" t="s">
        <v>10</v>
      </c>
      <c r="M11" s="29" t="s">
        <v>36</v>
      </c>
    </row>
    <row r="12" spans="1:14">
      <c r="A12" s="86">
        <v>44670</v>
      </c>
      <c r="B12" s="82">
        <f t="shared" si="1"/>
        <v>4</v>
      </c>
      <c r="C12">
        <f t="shared" si="3"/>
        <v>2022</v>
      </c>
      <c r="E12" s="84" t="s">
        <v>191</v>
      </c>
      <c r="F12" s="44">
        <v>2000000</v>
      </c>
      <c r="H12" s="44">
        <f t="shared" si="0"/>
        <v>2000000</v>
      </c>
      <c r="J12"/>
      <c r="L12" s="29" t="s">
        <v>10</v>
      </c>
      <c r="M12" s="29" t="s">
        <v>36</v>
      </c>
    </row>
    <row r="13" spans="1:14">
      <c r="A13" s="86">
        <f>+ERP_Inventory!$B$30</f>
        <v>44562</v>
      </c>
      <c r="B13" s="82">
        <f t="shared" si="1"/>
        <v>1</v>
      </c>
      <c r="C13">
        <f t="shared" ref="C13:C76" si="4">YEAR(A13)</f>
        <v>2022</v>
      </c>
      <c r="E13" s="84" t="s">
        <v>97</v>
      </c>
      <c r="F13" s="44">
        <v>2000000</v>
      </c>
      <c r="H13" s="44">
        <f t="shared" si="0"/>
        <v>2000000</v>
      </c>
      <c r="J13"/>
      <c r="L13" s="29" t="s">
        <v>10</v>
      </c>
      <c r="M13" s="29" t="s">
        <v>36</v>
      </c>
    </row>
    <row r="14" spans="1:14">
      <c r="A14" s="86">
        <v>44562</v>
      </c>
      <c r="B14" s="82">
        <f t="shared" si="1"/>
        <v>1</v>
      </c>
      <c r="C14">
        <f t="shared" si="4"/>
        <v>2022</v>
      </c>
      <c r="E14" s="330" t="s">
        <v>191</v>
      </c>
      <c r="F14" s="44">
        <v>6455000</v>
      </c>
      <c r="H14" s="44">
        <f t="shared" si="0"/>
        <v>6455000</v>
      </c>
      <c r="M14"/>
    </row>
    <row r="15" spans="1:14">
      <c r="A15" s="86">
        <v>44562</v>
      </c>
      <c r="B15" s="82">
        <f t="shared" si="1"/>
        <v>1</v>
      </c>
      <c r="C15">
        <f t="shared" si="4"/>
        <v>2022</v>
      </c>
      <c r="E15" s="44" t="s">
        <v>190</v>
      </c>
      <c r="F15" s="44">
        <v>9045000</v>
      </c>
      <c r="H15" s="44">
        <f t="shared" si="0"/>
        <v>9045000</v>
      </c>
      <c r="M15"/>
    </row>
    <row r="16" spans="1:14">
      <c r="A16" s="86">
        <f>+ERP_Inventory!$B$30</f>
        <v>44562</v>
      </c>
      <c r="B16" s="82">
        <f t="shared" si="1"/>
        <v>1</v>
      </c>
      <c r="C16">
        <f t="shared" si="4"/>
        <v>2022</v>
      </c>
      <c r="D16">
        <v>22000001</v>
      </c>
      <c r="E16" s="84" t="s">
        <v>185</v>
      </c>
      <c r="G16" s="44">
        <v>256500</v>
      </c>
      <c r="H16" s="44">
        <f t="shared" si="0"/>
        <v>-256500</v>
      </c>
      <c r="J16"/>
      <c r="K16" t="s">
        <v>61</v>
      </c>
      <c r="L16" t="s">
        <v>3</v>
      </c>
      <c r="M16"/>
    </row>
    <row r="17" spans="1:13">
      <c r="A17" s="86">
        <f>+ERP_Inventory!$B$30</f>
        <v>44562</v>
      </c>
      <c r="B17" s="82">
        <f t="shared" si="1"/>
        <v>1</v>
      </c>
      <c r="C17">
        <f t="shared" si="4"/>
        <v>2022</v>
      </c>
      <c r="D17">
        <v>22000001</v>
      </c>
      <c r="E17" s="84" t="s">
        <v>185</v>
      </c>
      <c r="G17" s="44">
        <v>582300</v>
      </c>
      <c r="H17" s="44">
        <f t="shared" si="0"/>
        <v>-582300</v>
      </c>
      <c r="J17"/>
      <c r="K17" t="s">
        <v>62</v>
      </c>
      <c r="L17" t="s">
        <v>4</v>
      </c>
      <c r="M17"/>
    </row>
    <row r="18" spans="1:13">
      <c r="A18" s="86">
        <f>+ERP_Inventory!$B$30</f>
        <v>44562</v>
      </c>
      <c r="B18" s="82">
        <f t="shared" si="1"/>
        <v>1</v>
      </c>
      <c r="C18">
        <f t="shared" si="4"/>
        <v>2022</v>
      </c>
      <c r="D18">
        <v>22000001</v>
      </c>
      <c r="E18" s="84" t="s">
        <v>185</v>
      </c>
      <c r="G18" s="44">
        <v>901113</v>
      </c>
      <c r="H18" s="44">
        <f t="shared" si="0"/>
        <v>-901113</v>
      </c>
      <c r="J18"/>
      <c r="K18" t="s">
        <v>63</v>
      </c>
      <c r="L18" t="s">
        <v>5</v>
      </c>
      <c r="M18"/>
    </row>
    <row r="19" spans="1:13">
      <c r="A19" s="86">
        <f>+ERP_Inventory!$B$30</f>
        <v>44562</v>
      </c>
      <c r="B19" s="82">
        <f t="shared" si="1"/>
        <v>1</v>
      </c>
      <c r="C19">
        <f t="shared" si="4"/>
        <v>2022</v>
      </c>
      <c r="D19">
        <v>22000001</v>
      </c>
      <c r="E19" s="84" t="s">
        <v>185</v>
      </c>
      <c r="G19" s="44">
        <v>390663</v>
      </c>
      <c r="H19" s="44">
        <f t="shared" si="0"/>
        <v>-390663</v>
      </c>
      <c r="J19"/>
      <c r="K19" t="s">
        <v>64</v>
      </c>
      <c r="L19" t="s">
        <v>6</v>
      </c>
      <c r="M19"/>
    </row>
    <row r="20" spans="1:13">
      <c r="A20" s="86">
        <f>+ERP_Inventory!$B$30</f>
        <v>44562</v>
      </c>
      <c r="B20" s="82">
        <f t="shared" si="1"/>
        <v>1</v>
      </c>
      <c r="C20">
        <f t="shared" si="4"/>
        <v>2022</v>
      </c>
      <c r="D20">
        <v>22000001</v>
      </c>
      <c r="E20" s="84" t="s">
        <v>185</v>
      </c>
      <c r="G20" s="44">
        <v>330066</v>
      </c>
      <c r="H20" s="44">
        <f t="shared" si="0"/>
        <v>-330066</v>
      </c>
      <c r="J20"/>
      <c r="K20" t="s">
        <v>65</v>
      </c>
      <c r="L20" t="s">
        <v>11</v>
      </c>
      <c r="M20"/>
    </row>
    <row r="21" spans="1:13">
      <c r="A21" s="86">
        <f>+ERP_Inventory!$B$30</f>
        <v>44562</v>
      </c>
      <c r="B21" s="82">
        <f t="shared" si="1"/>
        <v>1</v>
      </c>
      <c r="C21">
        <f t="shared" si="4"/>
        <v>2022</v>
      </c>
      <c r="D21">
        <v>22000001</v>
      </c>
      <c r="E21" s="84" t="s">
        <v>185</v>
      </c>
      <c r="G21" s="44">
        <v>554439</v>
      </c>
      <c r="H21" s="44">
        <f t="shared" si="0"/>
        <v>-554439</v>
      </c>
      <c r="J21"/>
      <c r="K21" t="s">
        <v>66</v>
      </c>
      <c r="L21" t="s">
        <v>12</v>
      </c>
      <c r="M21"/>
    </row>
    <row r="22" spans="1:13">
      <c r="A22" s="86">
        <v>44562</v>
      </c>
      <c r="B22" s="82">
        <f t="shared" si="1"/>
        <v>1</v>
      </c>
      <c r="C22">
        <f t="shared" si="4"/>
        <v>2022</v>
      </c>
      <c r="E22" t="s">
        <v>189</v>
      </c>
      <c r="F22" s="44">
        <v>45000000</v>
      </c>
      <c r="H22" s="44">
        <f t="shared" si="0"/>
        <v>45000000</v>
      </c>
      <c r="M22"/>
    </row>
    <row r="23" spans="1:13">
      <c r="A23" s="86">
        <f>+ERP_Inventory!$B$30</f>
        <v>44562</v>
      </c>
      <c r="B23" s="82">
        <f t="shared" ref="B23:B86" si="5">MONTH(A23)</f>
        <v>1</v>
      </c>
      <c r="C23">
        <f t="shared" si="4"/>
        <v>2022</v>
      </c>
      <c r="D23">
        <v>22000001</v>
      </c>
      <c r="E23" s="84" t="s">
        <v>67</v>
      </c>
      <c r="F23" s="44">
        <v>256500</v>
      </c>
      <c r="H23" s="44">
        <f t="shared" ref="H23:H86" si="6">F23-G23</f>
        <v>256500</v>
      </c>
      <c r="J23"/>
      <c r="K23" t="s">
        <v>61</v>
      </c>
      <c r="L23" t="s">
        <v>3</v>
      </c>
      <c r="M23" t="s">
        <v>3</v>
      </c>
    </row>
    <row r="24" spans="1:13">
      <c r="A24" s="86">
        <f>+ERP_Inventory!$B$30</f>
        <v>44562</v>
      </c>
      <c r="B24" s="82">
        <f t="shared" si="5"/>
        <v>1</v>
      </c>
      <c r="C24">
        <f t="shared" si="4"/>
        <v>2022</v>
      </c>
      <c r="D24">
        <v>22000001</v>
      </c>
      <c r="E24" s="84" t="s">
        <v>67</v>
      </c>
      <c r="F24" s="44">
        <v>582300</v>
      </c>
      <c r="H24" s="44">
        <f t="shared" si="6"/>
        <v>582300</v>
      </c>
      <c r="J24"/>
      <c r="K24" t="s">
        <v>62</v>
      </c>
      <c r="L24" t="s">
        <v>4</v>
      </c>
      <c r="M24" t="s">
        <v>4</v>
      </c>
    </row>
    <row r="25" spans="1:13">
      <c r="A25" s="86">
        <f>+ERP_Inventory!$B$30</f>
        <v>44562</v>
      </c>
      <c r="B25" s="82">
        <f t="shared" si="5"/>
        <v>1</v>
      </c>
      <c r="C25">
        <f t="shared" si="4"/>
        <v>2022</v>
      </c>
      <c r="D25">
        <v>22000001</v>
      </c>
      <c r="E25" s="84" t="s">
        <v>67</v>
      </c>
      <c r="F25" s="44">
        <v>901113</v>
      </c>
      <c r="H25" s="44">
        <f t="shared" si="6"/>
        <v>901113</v>
      </c>
      <c r="J25"/>
      <c r="K25" t="s">
        <v>63</v>
      </c>
      <c r="L25" t="s">
        <v>5</v>
      </c>
      <c r="M25" t="s">
        <v>5</v>
      </c>
    </row>
    <row r="26" spans="1:13">
      <c r="A26" s="86">
        <f>+ERP_Inventory!$B$30</f>
        <v>44562</v>
      </c>
      <c r="B26" s="82">
        <f t="shared" si="5"/>
        <v>1</v>
      </c>
      <c r="C26">
        <f t="shared" si="4"/>
        <v>2022</v>
      </c>
      <c r="D26">
        <v>22000001</v>
      </c>
      <c r="E26" s="84" t="s">
        <v>67</v>
      </c>
      <c r="F26" s="44">
        <v>390663</v>
      </c>
      <c r="H26" s="44">
        <f t="shared" si="6"/>
        <v>390663</v>
      </c>
      <c r="J26"/>
      <c r="K26" t="s">
        <v>64</v>
      </c>
      <c r="L26" t="s">
        <v>6</v>
      </c>
      <c r="M26" t="s">
        <v>6</v>
      </c>
    </row>
    <row r="27" spans="1:13">
      <c r="A27" s="86">
        <f>+ERP_Inventory!$B$30</f>
        <v>44562</v>
      </c>
      <c r="B27" s="82">
        <f t="shared" si="5"/>
        <v>1</v>
      </c>
      <c r="C27">
        <f t="shared" si="4"/>
        <v>2022</v>
      </c>
      <c r="D27">
        <v>22000001</v>
      </c>
      <c r="E27" s="84" t="s">
        <v>67</v>
      </c>
      <c r="F27" s="44">
        <v>330066</v>
      </c>
      <c r="H27" s="44">
        <f t="shared" si="6"/>
        <v>330066</v>
      </c>
      <c r="J27"/>
      <c r="K27" t="s">
        <v>65</v>
      </c>
      <c r="L27" t="s">
        <v>11</v>
      </c>
      <c r="M27" t="s">
        <v>11</v>
      </c>
    </row>
    <row r="28" spans="1:13">
      <c r="A28" s="86">
        <f>+ERP_Inventory!$B$30</f>
        <v>44562</v>
      </c>
      <c r="B28" s="82">
        <f t="shared" si="5"/>
        <v>1</v>
      </c>
      <c r="C28">
        <f t="shared" si="4"/>
        <v>2022</v>
      </c>
      <c r="D28">
        <v>22000001</v>
      </c>
      <c r="E28" s="84" t="s">
        <v>67</v>
      </c>
      <c r="F28" s="44">
        <v>554439</v>
      </c>
      <c r="H28" s="44">
        <f t="shared" si="6"/>
        <v>554439</v>
      </c>
      <c r="J28"/>
      <c r="K28" t="s">
        <v>66</v>
      </c>
      <c r="L28" t="s">
        <v>12</v>
      </c>
      <c r="M28" t="s">
        <v>12</v>
      </c>
    </row>
    <row r="29" spans="1:13">
      <c r="A29" s="86">
        <f>+ERP_Inventory!$B$30</f>
        <v>44562</v>
      </c>
      <c r="B29" s="82">
        <f t="shared" si="5"/>
        <v>1</v>
      </c>
      <c r="C29">
        <f t="shared" si="4"/>
        <v>2022</v>
      </c>
      <c r="E29" s="84" t="s">
        <v>185</v>
      </c>
      <c r="G29" s="44">
        <v>2000000</v>
      </c>
      <c r="H29" s="44">
        <f t="shared" si="6"/>
        <v>-2000000</v>
      </c>
      <c r="J29"/>
      <c r="M29"/>
    </row>
    <row r="30" spans="1:13">
      <c r="A30" s="86">
        <f>+ERP_Inventory!$B$30</f>
        <v>44562</v>
      </c>
      <c r="B30" s="82">
        <f t="shared" si="5"/>
        <v>1</v>
      </c>
      <c r="C30">
        <f t="shared" si="4"/>
        <v>2022</v>
      </c>
      <c r="E30" s="84" t="s">
        <v>185</v>
      </c>
      <c r="F30" s="44">
        <v>13350000</v>
      </c>
      <c r="H30" s="44">
        <f t="shared" si="6"/>
        <v>13350000</v>
      </c>
      <c r="J30"/>
      <c r="M30"/>
    </row>
    <row r="31" spans="1:13">
      <c r="A31" s="86">
        <v>44562</v>
      </c>
      <c r="B31" s="82">
        <f t="shared" si="5"/>
        <v>1</v>
      </c>
      <c r="C31">
        <f t="shared" si="4"/>
        <v>2022</v>
      </c>
      <c r="E31" s="44" t="s">
        <v>156</v>
      </c>
      <c r="G31" s="44">
        <v>50000000</v>
      </c>
      <c r="H31" s="44">
        <f t="shared" si="6"/>
        <v>-50000000</v>
      </c>
      <c r="M31"/>
    </row>
    <row r="32" spans="1:13">
      <c r="A32" s="86">
        <v>44562</v>
      </c>
      <c r="B32" s="82">
        <f t="shared" si="5"/>
        <v>1</v>
      </c>
      <c r="C32">
        <f t="shared" si="4"/>
        <v>2022</v>
      </c>
      <c r="E32" s="44" t="s">
        <v>192</v>
      </c>
      <c r="G32" s="44">
        <v>10500000</v>
      </c>
      <c r="H32" s="44">
        <f t="shared" si="6"/>
        <v>-10500000</v>
      </c>
      <c r="M32"/>
    </row>
    <row r="33" spans="1:19">
      <c r="A33" s="86">
        <v>44563</v>
      </c>
      <c r="B33" s="82">
        <f t="shared" si="5"/>
        <v>1</v>
      </c>
      <c r="C33">
        <f t="shared" si="4"/>
        <v>2022</v>
      </c>
      <c r="D33" s="86"/>
      <c r="E33" s="84" t="s">
        <v>68</v>
      </c>
      <c r="G33" s="44">
        <v>760000</v>
      </c>
      <c r="H33" s="44">
        <f t="shared" si="6"/>
        <v>-760000</v>
      </c>
      <c r="L33" t="s">
        <v>3</v>
      </c>
      <c r="M33" s="44" t="s">
        <v>123</v>
      </c>
    </row>
    <row r="34" spans="1:19">
      <c r="A34" s="86">
        <v>44563</v>
      </c>
      <c r="B34" s="82">
        <f t="shared" si="5"/>
        <v>1</v>
      </c>
      <c r="C34">
        <f t="shared" si="4"/>
        <v>2022</v>
      </c>
      <c r="D34" s="86"/>
      <c r="E34" s="84" t="s">
        <v>68</v>
      </c>
      <c r="G34" s="44">
        <v>810000</v>
      </c>
      <c r="H34" s="44">
        <f t="shared" si="6"/>
        <v>-810000</v>
      </c>
      <c r="L34" t="s">
        <v>4</v>
      </c>
      <c r="M34" s="44" t="s">
        <v>123</v>
      </c>
    </row>
    <row r="35" spans="1:19">
      <c r="A35" s="86">
        <v>44563</v>
      </c>
      <c r="B35" s="82">
        <f t="shared" si="5"/>
        <v>1</v>
      </c>
      <c r="C35">
        <f t="shared" si="4"/>
        <v>2022</v>
      </c>
      <c r="D35" s="86"/>
      <c r="E35" s="84" t="s">
        <v>68</v>
      </c>
      <c r="G35" s="44">
        <v>1900000</v>
      </c>
      <c r="H35" s="44">
        <f t="shared" si="6"/>
        <v>-1900000</v>
      </c>
      <c r="L35" t="s">
        <v>5</v>
      </c>
      <c r="M35" s="44" t="s">
        <v>123</v>
      </c>
    </row>
    <row r="36" spans="1:19">
      <c r="A36" s="86">
        <v>44563</v>
      </c>
      <c r="B36" s="82">
        <f t="shared" si="5"/>
        <v>1</v>
      </c>
      <c r="C36">
        <f t="shared" si="4"/>
        <v>2022</v>
      </c>
      <c r="D36" s="86"/>
      <c r="E36" s="84" t="s">
        <v>68</v>
      </c>
      <c r="G36" s="44">
        <v>2310000</v>
      </c>
      <c r="H36" s="44">
        <f t="shared" si="6"/>
        <v>-2310000</v>
      </c>
      <c r="L36" t="s">
        <v>6</v>
      </c>
      <c r="M36" s="44" t="s">
        <v>124</v>
      </c>
    </row>
    <row r="37" spans="1:19">
      <c r="A37" s="86">
        <v>44563</v>
      </c>
      <c r="B37" s="82">
        <f t="shared" si="5"/>
        <v>1</v>
      </c>
      <c r="C37">
        <f t="shared" si="4"/>
        <v>2022</v>
      </c>
      <c r="D37" s="86"/>
      <c r="E37" s="84" t="s">
        <v>68</v>
      </c>
      <c r="G37" s="44">
        <v>720000</v>
      </c>
      <c r="H37" s="44">
        <f t="shared" si="6"/>
        <v>-720000</v>
      </c>
      <c r="L37" t="s">
        <v>11</v>
      </c>
      <c r="M37" s="44" t="s">
        <v>125</v>
      </c>
    </row>
    <row r="38" spans="1:19">
      <c r="A38" s="86">
        <v>44563</v>
      </c>
      <c r="B38" s="82">
        <f t="shared" si="5"/>
        <v>1</v>
      </c>
      <c r="C38">
        <f t="shared" si="4"/>
        <v>2022</v>
      </c>
      <c r="D38" s="86"/>
      <c r="E38" s="84" t="s">
        <v>68</v>
      </c>
      <c r="G38" s="44">
        <v>1983695</v>
      </c>
      <c r="H38" s="44">
        <f t="shared" si="6"/>
        <v>-1983695</v>
      </c>
      <c r="L38" t="s">
        <v>12</v>
      </c>
      <c r="M38" s="44" t="s">
        <v>125</v>
      </c>
    </row>
    <row r="39" spans="1:19">
      <c r="A39" s="86">
        <v>44563</v>
      </c>
      <c r="B39" s="82">
        <f t="shared" si="5"/>
        <v>1</v>
      </c>
      <c r="C39">
        <f t="shared" si="4"/>
        <v>2022</v>
      </c>
      <c r="D39" s="86"/>
      <c r="E39" s="84" t="s">
        <v>67</v>
      </c>
      <c r="F39" s="44">
        <v>760000</v>
      </c>
      <c r="H39" s="44">
        <f t="shared" si="6"/>
        <v>760000</v>
      </c>
      <c r="L39" t="s">
        <v>3</v>
      </c>
      <c r="M39" s="44" t="s">
        <v>123</v>
      </c>
    </row>
    <row r="40" spans="1:19">
      <c r="A40" s="86">
        <v>44563</v>
      </c>
      <c r="B40" s="82">
        <f t="shared" si="5"/>
        <v>1</v>
      </c>
      <c r="C40">
        <f t="shared" si="4"/>
        <v>2022</v>
      </c>
      <c r="D40" s="86"/>
      <c r="E40" s="84" t="s">
        <v>67</v>
      </c>
      <c r="F40" s="44">
        <v>810000</v>
      </c>
      <c r="H40" s="44">
        <f t="shared" si="6"/>
        <v>810000</v>
      </c>
      <c r="L40" t="s">
        <v>4</v>
      </c>
      <c r="M40" s="44" t="s">
        <v>123</v>
      </c>
    </row>
    <row r="41" spans="1:19">
      <c r="A41" s="86">
        <v>44563</v>
      </c>
      <c r="B41" s="82">
        <f t="shared" si="5"/>
        <v>1</v>
      </c>
      <c r="C41">
        <f t="shared" si="4"/>
        <v>2022</v>
      </c>
      <c r="D41" s="86"/>
      <c r="E41" s="84" t="s">
        <v>67</v>
      </c>
      <c r="F41" s="44">
        <v>1900000</v>
      </c>
      <c r="H41" s="44">
        <f t="shared" si="6"/>
        <v>1900000</v>
      </c>
      <c r="L41" t="s">
        <v>5</v>
      </c>
      <c r="M41" s="44" t="s">
        <v>123</v>
      </c>
    </row>
    <row r="42" spans="1:19">
      <c r="A42" s="86">
        <v>44563</v>
      </c>
      <c r="B42" s="82">
        <f t="shared" si="5"/>
        <v>1</v>
      </c>
      <c r="C42">
        <f t="shared" si="4"/>
        <v>2022</v>
      </c>
      <c r="D42" s="86"/>
      <c r="E42" s="84" t="s">
        <v>67</v>
      </c>
      <c r="F42" s="44">
        <v>2310000</v>
      </c>
      <c r="H42" s="44">
        <f t="shared" si="6"/>
        <v>2310000</v>
      </c>
      <c r="L42" t="s">
        <v>6</v>
      </c>
      <c r="M42" s="44" t="s">
        <v>124</v>
      </c>
    </row>
    <row r="43" spans="1:19">
      <c r="A43" s="86">
        <v>44563</v>
      </c>
      <c r="B43" s="82">
        <f t="shared" si="5"/>
        <v>1</v>
      </c>
      <c r="C43">
        <f t="shared" si="4"/>
        <v>2022</v>
      </c>
      <c r="D43" s="86"/>
      <c r="E43" s="84" t="s">
        <v>67</v>
      </c>
      <c r="F43" s="44">
        <v>720000</v>
      </c>
      <c r="H43" s="44">
        <f t="shared" si="6"/>
        <v>720000</v>
      </c>
      <c r="L43" t="s">
        <v>11</v>
      </c>
      <c r="M43" s="44" t="s">
        <v>125</v>
      </c>
    </row>
    <row r="44" spans="1:19">
      <c r="A44" s="86">
        <v>44563</v>
      </c>
      <c r="B44" s="82">
        <f t="shared" si="5"/>
        <v>1</v>
      </c>
      <c r="C44">
        <f t="shared" si="4"/>
        <v>2022</v>
      </c>
      <c r="D44" s="86"/>
      <c r="E44" s="84" t="s">
        <v>67</v>
      </c>
      <c r="F44" s="44">
        <v>1983695</v>
      </c>
      <c r="H44" s="44">
        <f t="shared" si="6"/>
        <v>1983695</v>
      </c>
      <c r="L44" t="s">
        <v>12</v>
      </c>
      <c r="M44" s="44" t="s">
        <v>125</v>
      </c>
    </row>
    <row r="45" spans="1:19">
      <c r="A45" s="86">
        <v>44570</v>
      </c>
      <c r="B45" s="82">
        <f t="shared" si="5"/>
        <v>1</v>
      </c>
      <c r="C45">
        <f t="shared" si="4"/>
        <v>2022</v>
      </c>
      <c r="E45" s="84" t="s">
        <v>81</v>
      </c>
      <c r="F45" s="44">
        <v>858169.20000000007</v>
      </c>
      <c r="H45" s="44">
        <f t="shared" si="6"/>
        <v>858169.20000000007</v>
      </c>
      <c r="L45" t="str">
        <f>VLOOKUP(M45,Reference!$A$16:$B$21,2,0)</f>
        <v>Supplier A</v>
      </c>
      <c r="M45" t="s">
        <v>3</v>
      </c>
      <c r="N45" t="str">
        <f>L45</f>
        <v>Supplier A</v>
      </c>
      <c r="O45" t="str">
        <f>M45</f>
        <v>Component 1</v>
      </c>
    </row>
    <row r="46" spans="1:19">
      <c r="A46" s="86">
        <v>44570</v>
      </c>
      <c r="B46" s="82">
        <f t="shared" si="5"/>
        <v>1</v>
      </c>
      <c r="C46">
        <f t="shared" si="4"/>
        <v>2022</v>
      </c>
      <c r="E46" s="84" t="s">
        <v>81</v>
      </c>
      <c r="F46" s="44">
        <v>975874.68</v>
      </c>
      <c r="H46" s="44">
        <f t="shared" si="6"/>
        <v>975874.68</v>
      </c>
      <c r="L46" t="str">
        <f>VLOOKUP(M46,Reference!$A$16:$B$21,2,0)</f>
        <v>Supplier A</v>
      </c>
      <c r="M46" t="s">
        <v>4</v>
      </c>
      <c r="N46" t="str">
        <f t="shared" ref="N46:N50" si="7">L46</f>
        <v>Supplier A</v>
      </c>
      <c r="O46" t="str">
        <f t="shared" ref="O46:O50" si="8">M46</f>
        <v>Component 2</v>
      </c>
      <c r="R46" s="44">
        <f>SUM(F:F)</f>
        <v>3314438747.9459996</v>
      </c>
      <c r="S46" s="44">
        <f>SUM(G:G)</f>
        <v>3314438747.9459996</v>
      </c>
    </row>
    <row r="47" spans="1:19">
      <c r="A47" s="86">
        <v>44570</v>
      </c>
      <c r="B47" s="82">
        <f t="shared" si="5"/>
        <v>1</v>
      </c>
      <c r="C47">
        <f t="shared" si="4"/>
        <v>2022</v>
      </c>
      <c r="E47" s="84" t="s">
        <v>81</v>
      </c>
      <c r="F47" s="44">
        <v>2491318.9500000002</v>
      </c>
      <c r="H47" s="44">
        <f t="shared" si="6"/>
        <v>2491318.9500000002</v>
      </c>
      <c r="L47" t="str">
        <f>VLOOKUP(M47,Reference!$A$16:$B$21,2,0)</f>
        <v>Supplier A</v>
      </c>
      <c r="M47" t="s">
        <v>5</v>
      </c>
      <c r="N47" t="str">
        <f t="shared" si="7"/>
        <v>Supplier A</v>
      </c>
      <c r="O47" t="str">
        <f t="shared" si="8"/>
        <v>Component 3</v>
      </c>
      <c r="R47" s="44">
        <f>R46-S46</f>
        <v>0</v>
      </c>
    </row>
    <row r="48" spans="1:19">
      <c r="A48" s="86">
        <v>44570</v>
      </c>
      <c r="B48" s="82">
        <f t="shared" si="5"/>
        <v>1</v>
      </c>
      <c r="C48">
        <f t="shared" si="4"/>
        <v>2022</v>
      </c>
      <c r="E48" s="84" t="s">
        <v>81</v>
      </c>
      <c r="F48" s="44">
        <v>2371257</v>
      </c>
      <c r="H48" s="44">
        <f t="shared" si="6"/>
        <v>2371257</v>
      </c>
      <c r="L48" t="str">
        <f>VLOOKUP(M48,Reference!$A$16:$B$21,2,0)</f>
        <v>Supplier B</v>
      </c>
      <c r="M48" t="s">
        <v>6</v>
      </c>
      <c r="N48" t="str">
        <f t="shared" si="7"/>
        <v>Supplier B</v>
      </c>
      <c r="O48" t="str">
        <f t="shared" si="8"/>
        <v>Component 4</v>
      </c>
    </row>
    <row r="49" spans="1:15">
      <c r="A49" s="86">
        <v>44570</v>
      </c>
      <c r="B49" s="82">
        <f t="shared" si="5"/>
        <v>1</v>
      </c>
      <c r="C49">
        <f t="shared" si="4"/>
        <v>2022</v>
      </c>
      <c r="E49" s="84" t="s">
        <v>81</v>
      </c>
      <c r="F49" s="44">
        <v>1048003.2000000001</v>
      </c>
      <c r="H49" s="44">
        <f t="shared" si="6"/>
        <v>1048003.2000000001</v>
      </c>
      <c r="L49" t="str">
        <f>VLOOKUP(M49,Reference!$A$16:$B$21,2,0)</f>
        <v>Supplier D</v>
      </c>
      <c r="M49" t="s">
        <v>11</v>
      </c>
      <c r="N49" t="str">
        <f t="shared" si="7"/>
        <v>Supplier D</v>
      </c>
      <c r="O49" t="str">
        <f t="shared" si="8"/>
        <v>Component 5</v>
      </c>
    </row>
    <row r="50" spans="1:15">
      <c r="A50" s="86">
        <v>44570</v>
      </c>
      <c r="B50" s="82">
        <f t="shared" si="5"/>
        <v>1</v>
      </c>
      <c r="C50">
        <f t="shared" si="4"/>
        <v>2022</v>
      </c>
      <c r="E50" s="84" t="s">
        <v>81</v>
      </c>
      <c r="F50" s="44">
        <v>2536804</v>
      </c>
      <c r="H50" s="44">
        <f t="shared" si="6"/>
        <v>2536804</v>
      </c>
      <c r="L50" t="str">
        <f>VLOOKUP(M50,Reference!$A$16:$B$21,2,0)</f>
        <v>Supplier D</v>
      </c>
      <c r="M50" t="s">
        <v>12</v>
      </c>
      <c r="N50" t="str">
        <f t="shared" si="7"/>
        <v>Supplier D</v>
      </c>
      <c r="O50" t="str">
        <f t="shared" si="8"/>
        <v>Component 6</v>
      </c>
    </row>
    <row r="51" spans="1:15">
      <c r="A51" s="86">
        <v>44570</v>
      </c>
      <c r="B51" s="82">
        <f t="shared" si="5"/>
        <v>1</v>
      </c>
      <c r="C51">
        <f t="shared" si="4"/>
        <v>2022</v>
      </c>
      <c r="E51" s="84" t="s">
        <v>143</v>
      </c>
      <c r="G51" s="44">
        <v>858169.20000000007</v>
      </c>
      <c r="H51" s="44">
        <f t="shared" si="6"/>
        <v>-858169.20000000007</v>
      </c>
      <c r="J51"/>
      <c r="M51" t="s">
        <v>3</v>
      </c>
    </row>
    <row r="52" spans="1:15">
      <c r="A52" s="86">
        <v>44570</v>
      </c>
      <c r="B52" s="82">
        <f t="shared" si="5"/>
        <v>1</v>
      </c>
      <c r="C52">
        <f t="shared" si="4"/>
        <v>2022</v>
      </c>
      <c r="E52" s="84" t="s">
        <v>143</v>
      </c>
      <c r="G52" s="44">
        <v>975874.68</v>
      </c>
      <c r="H52" s="44">
        <f t="shared" si="6"/>
        <v>-975874.68</v>
      </c>
      <c r="J52"/>
      <c r="M52" t="s">
        <v>4</v>
      </c>
    </row>
    <row r="53" spans="1:15">
      <c r="A53" s="86">
        <v>44570</v>
      </c>
      <c r="B53" s="82">
        <f t="shared" si="5"/>
        <v>1</v>
      </c>
      <c r="C53">
        <f t="shared" si="4"/>
        <v>2022</v>
      </c>
      <c r="E53" s="84" t="s">
        <v>143</v>
      </c>
      <c r="G53" s="44">
        <v>2491318.9500000002</v>
      </c>
      <c r="H53" s="44">
        <f t="shared" si="6"/>
        <v>-2491318.9500000002</v>
      </c>
      <c r="J53"/>
      <c r="M53" t="s">
        <v>5</v>
      </c>
    </row>
    <row r="54" spans="1:15">
      <c r="A54" s="86">
        <v>44570</v>
      </c>
      <c r="B54" s="82">
        <f t="shared" si="5"/>
        <v>1</v>
      </c>
      <c r="C54">
        <f t="shared" si="4"/>
        <v>2022</v>
      </c>
      <c r="E54" s="84" t="s">
        <v>143</v>
      </c>
      <c r="G54" s="44">
        <f>-0.00400000065565109+2371257.49</f>
        <v>2371257.4859999996</v>
      </c>
      <c r="H54" s="44">
        <f t="shared" si="6"/>
        <v>-2371257.4859999996</v>
      </c>
      <c r="J54"/>
      <c r="M54" t="s">
        <v>6</v>
      </c>
    </row>
    <row r="55" spans="1:15">
      <c r="A55" s="86">
        <v>44570</v>
      </c>
      <c r="B55" s="82">
        <f t="shared" si="5"/>
        <v>1</v>
      </c>
      <c r="C55">
        <f t="shared" si="4"/>
        <v>2022</v>
      </c>
      <c r="E55" s="84" t="s">
        <v>143</v>
      </c>
      <c r="G55" s="44">
        <v>1048003.2000000001</v>
      </c>
      <c r="H55" s="44">
        <f t="shared" si="6"/>
        <v>-1048003.2000000001</v>
      </c>
      <c r="J55"/>
      <c r="M55" t="s">
        <v>11</v>
      </c>
    </row>
    <row r="56" spans="1:15">
      <c r="A56" s="86">
        <v>44570</v>
      </c>
      <c r="B56" s="82">
        <f t="shared" si="5"/>
        <v>1</v>
      </c>
      <c r="C56">
        <f t="shared" si="4"/>
        <v>2022</v>
      </c>
      <c r="E56" s="84" t="s">
        <v>143</v>
      </c>
      <c r="G56" s="44">
        <v>2536804</v>
      </c>
      <c r="H56" s="44">
        <f t="shared" si="6"/>
        <v>-2536804</v>
      </c>
      <c r="J56"/>
      <c r="M56" t="s">
        <v>12</v>
      </c>
    </row>
    <row r="57" spans="1:15">
      <c r="A57" s="86">
        <v>44570</v>
      </c>
      <c r="B57" s="82">
        <f t="shared" si="5"/>
        <v>1</v>
      </c>
      <c r="C57">
        <f t="shared" si="4"/>
        <v>2022</v>
      </c>
      <c r="E57" s="84" t="s">
        <v>67</v>
      </c>
      <c r="G57" s="44">
        <v>858169.20000000007</v>
      </c>
      <c r="H57" s="44">
        <f t="shared" si="6"/>
        <v>-858169.20000000007</v>
      </c>
      <c r="L57" t="s">
        <v>3</v>
      </c>
      <c r="M57" s="44" t="s">
        <v>123</v>
      </c>
    </row>
    <row r="58" spans="1:15">
      <c r="A58" s="86">
        <v>44570</v>
      </c>
      <c r="B58" s="82">
        <f t="shared" si="5"/>
        <v>1</v>
      </c>
      <c r="C58">
        <f t="shared" si="4"/>
        <v>2022</v>
      </c>
      <c r="E58" s="84" t="s">
        <v>67</v>
      </c>
      <c r="G58" s="44">
        <v>975874.68</v>
      </c>
      <c r="H58" s="44">
        <f t="shared" si="6"/>
        <v>-975874.68</v>
      </c>
      <c r="L58" t="s">
        <v>4</v>
      </c>
      <c r="M58" s="44" t="s">
        <v>123</v>
      </c>
    </row>
    <row r="59" spans="1:15">
      <c r="A59" s="86">
        <v>44570</v>
      </c>
      <c r="B59" s="82">
        <f t="shared" si="5"/>
        <v>1</v>
      </c>
      <c r="C59">
        <f t="shared" si="4"/>
        <v>2022</v>
      </c>
      <c r="E59" s="84" t="s">
        <v>67</v>
      </c>
      <c r="G59" s="44">
        <v>2491318.9500000002</v>
      </c>
      <c r="H59" s="44">
        <f t="shared" si="6"/>
        <v>-2491318.9500000002</v>
      </c>
      <c r="L59" t="s">
        <v>5</v>
      </c>
      <c r="M59" s="44" t="s">
        <v>123</v>
      </c>
    </row>
    <row r="60" spans="1:15">
      <c r="A60" s="86">
        <v>44570</v>
      </c>
      <c r="B60" s="82">
        <f t="shared" si="5"/>
        <v>1</v>
      </c>
      <c r="C60">
        <f t="shared" si="4"/>
        <v>2022</v>
      </c>
      <c r="E60" s="84" t="s">
        <v>67</v>
      </c>
      <c r="G60" s="44">
        <v>2371257</v>
      </c>
      <c r="H60" s="44">
        <f t="shared" si="6"/>
        <v>-2371257</v>
      </c>
      <c r="L60" t="s">
        <v>6</v>
      </c>
      <c r="M60" s="44" t="s">
        <v>124</v>
      </c>
    </row>
    <row r="61" spans="1:15">
      <c r="A61" s="86">
        <v>44570</v>
      </c>
      <c r="B61" s="82">
        <f t="shared" si="5"/>
        <v>1</v>
      </c>
      <c r="C61">
        <f t="shared" si="4"/>
        <v>2022</v>
      </c>
      <c r="E61" s="84" t="s">
        <v>67</v>
      </c>
      <c r="G61" s="44">
        <v>1048003.2000000001</v>
      </c>
      <c r="H61" s="44">
        <f t="shared" si="6"/>
        <v>-1048003.2000000001</v>
      </c>
      <c r="L61" t="s">
        <v>11</v>
      </c>
      <c r="M61" s="44" t="s">
        <v>125</v>
      </c>
    </row>
    <row r="62" spans="1:15">
      <c r="A62" s="86">
        <v>44570</v>
      </c>
      <c r="B62" s="82">
        <f t="shared" si="5"/>
        <v>1</v>
      </c>
      <c r="C62">
        <f t="shared" si="4"/>
        <v>2022</v>
      </c>
      <c r="E62" s="84" t="s">
        <v>67</v>
      </c>
      <c r="G62" s="44">
        <v>2536804</v>
      </c>
      <c r="H62" s="44">
        <f t="shared" si="6"/>
        <v>-2536804</v>
      </c>
      <c r="L62" t="s">
        <v>12</v>
      </c>
      <c r="M62" s="44" t="s">
        <v>125</v>
      </c>
    </row>
    <row r="63" spans="1:15">
      <c r="A63" s="86">
        <v>44571</v>
      </c>
      <c r="B63" s="82">
        <f t="shared" si="5"/>
        <v>1</v>
      </c>
      <c r="C63">
        <f t="shared" si="4"/>
        <v>2022</v>
      </c>
      <c r="E63" s="84" t="s">
        <v>89</v>
      </c>
      <c r="F63" s="44">
        <v>4770969.0840000007</v>
      </c>
      <c r="H63" s="44">
        <f t="shared" si="6"/>
        <v>4770969.0840000007</v>
      </c>
      <c r="I63"/>
      <c r="J63"/>
      <c r="M63"/>
    </row>
    <row r="64" spans="1:15">
      <c r="A64" s="86">
        <v>44571</v>
      </c>
      <c r="B64" s="82">
        <f t="shared" si="5"/>
        <v>1</v>
      </c>
      <c r="C64">
        <f t="shared" si="4"/>
        <v>2022</v>
      </c>
      <c r="E64" s="84" t="s">
        <v>90</v>
      </c>
      <c r="F64" s="44">
        <v>1482334.9920000001</v>
      </c>
      <c r="H64" s="44">
        <f t="shared" si="6"/>
        <v>1482334.9920000001</v>
      </c>
      <c r="I64"/>
      <c r="J64"/>
      <c r="M64"/>
    </row>
    <row r="65" spans="1:13">
      <c r="A65" s="86">
        <v>44571</v>
      </c>
      <c r="B65" s="82">
        <f t="shared" si="5"/>
        <v>1</v>
      </c>
      <c r="C65">
        <f t="shared" si="4"/>
        <v>2022</v>
      </c>
      <c r="E65" s="84" t="s">
        <v>91</v>
      </c>
      <c r="F65" s="44">
        <v>4309549.4400000004</v>
      </c>
      <c r="H65" s="44">
        <f t="shared" si="6"/>
        <v>4309549.4400000004</v>
      </c>
      <c r="I65"/>
      <c r="J65"/>
      <c r="M65"/>
    </row>
    <row r="66" spans="1:13">
      <c r="A66" s="86">
        <v>44571</v>
      </c>
      <c r="B66" s="82">
        <f t="shared" si="5"/>
        <v>1</v>
      </c>
      <c r="C66">
        <f t="shared" si="4"/>
        <v>2022</v>
      </c>
      <c r="E66" s="84" t="s">
        <v>146</v>
      </c>
      <c r="G66" s="44">
        <v>281426</v>
      </c>
      <c r="H66" s="44">
        <f t="shared" si="6"/>
        <v>-281426</v>
      </c>
      <c r="I66"/>
      <c r="J66"/>
      <c r="M66"/>
    </row>
    <row r="67" spans="1:13">
      <c r="A67" s="86">
        <v>44572</v>
      </c>
      <c r="B67" s="82">
        <f t="shared" si="5"/>
        <v>1</v>
      </c>
      <c r="C67">
        <f t="shared" si="4"/>
        <v>2022</v>
      </c>
      <c r="E67" s="84" t="s">
        <v>97</v>
      </c>
      <c r="F67" s="44">
        <v>1839104</v>
      </c>
      <c r="H67" s="44">
        <f t="shared" si="6"/>
        <v>1839104</v>
      </c>
      <c r="L67" s="29" t="s">
        <v>2</v>
      </c>
      <c r="M67" s="29" t="s">
        <v>34</v>
      </c>
    </row>
    <row r="68" spans="1:13">
      <c r="A68" s="86">
        <v>44572</v>
      </c>
      <c r="B68" s="82">
        <f t="shared" si="5"/>
        <v>1</v>
      </c>
      <c r="C68">
        <f t="shared" si="4"/>
        <v>2022</v>
      </c>
      <c r="E68" s="84" t="s">
        <v>143</v>
      </c>
      <c r="F68" s="44">
        <v>1214153.4720000001</v>
      </c>
      <c r="H68" s="44">
        <f t="shared" si="6"/>
        <v>1214153.4720000001</v>
      </c>
      <c r="I68"/>
      <c r="M68" t="s">
        <v>2</v>
      </c>
    </row>
    <row r="69" spans="1:13">
      <c r="A69" s="86">
        <v>44572</v>
      </c>
      <c r="B69" s="82">
        <f t="shared" si="5"/>
        <v>1</v>
      </c>
      <c r="C69">
        <f t="shared" si="4"/>
        <v>2022</v>
      </c>
      <c r="E69" s="84" t="s">
        <v>89</v>
      </c>
      <c r="G69" s="44">
        <v>1214153.4720000001</v>
      </c>
      <c r="H69" s="44">
        <f t="shared" si="6"/>
        <v>-1214153.4720000001</v>
      </c>
      <c r="I69"/>
      <c r="M69" t="s">
        <v>2</v>
      </c>
    </row>
    <row r="70" spans="1:13">
      <c r="A70" s="86">
        <v>44572</v>
      </c>
      <c r="B70" s="82">
        <f t="shared" si="5"/>
        <v>1</v>
      </c>
      <c r="C70">
        <f t="shared" si="4"/>
        <v>2022</v>
      </c>
      <c r="E70" s="84" t="s">
        <v>98</v>
      </c>
      <c r="G70" s="44">
        <v>1839104</v>
      </c>
      <c r="H70" s="44">
        <f t="shared" si="6"/>
        <v>-1839104</v>
      </c>
      <c r="L70" s="29" t="s">
        <v>2</v>
      </c>
      <c r="M70" s="93" t="s">
        <v>34</v>
      </c>
    </row>
    <row r="71" spans="1:13">
      <c r="A71" s="86">
        <v>44573</v>
      </c>
      <c r="B71" s="82">
        <f t="shared" si="5"/>
        <v>1</v>
      </c>
      <c r="C71">
        <f t="shared" si="4"/>
        <v>2022</v>
      </c>
      <c r="E71" s="84" t="s">
        <v>97</v>
      </c>
      <c r="F71" s="44">
        <v>1756304</v>
      </c>
      <c r="H71" s="44">
        <f t="shared" si="6"/>
        <v>1756304</v>
      </c>
      <c r="L71" s="29" t="s">
        <v>2</v>
      </c>
      <c r="M71" s="29" t="s">
        <v>33</v>
      </c>
    </row>
    <row r="72" spans="1:13">
      <c r="A72" s="86">
        <v>44573</v>
      </c>
      <c r="B72" s="82">
        <f t="shared" si="5"/>
        <v>1</v>
      </c>
      <c r="C72">
        <f t="shared" si="4"/>
        <v>2022</v>
      </c>
      <c r="E72" s="84" t="s">
        <v>143</v>
      </c>
      <c r="F72" s="44">
        <v>1091284.656</v>
      </c>
      <c r="H72" s="44">
        <f t="shared" si="6"/>
        <v>1091284.656</v>
      </c>
      <c r="I72"/>
      <c r="M72" t="s">
        <v>2</v>
      </c>
    </row>
    <row r="73" spans="1:13">
      <c r="A73" s="86">
        <v>44573</v>
      </c>
      <c r="B73" s="82">
        <f t="shared" si="5"/>
        <v>1</v>
      </c>
      <c r="C73">
        <f t="shared" si="4"/>
        <v>2022</v>
      </c>
      <c r="E73" s="84" t="s">
        <v>89</v>
      </c>
      <c r="G73" s="44">
        <v>1091284.656</v>
      </c>
      <c r="H73" s="44">
        <f t="shared" si="6"/>
        <v>-1091284.656</v>
      </c>
      <c r="I73"/>
      <c r="M73" t="s">
        <v>2</v>
      </c>
    </row>
    <row r="74" spans="1:13">
      <c r="A74" s="86">
        <v>44573</v>
      </c>
      <c r="B74" s="82">
        <f t="shared" si="5"/>
        <v>1</v>
      </c>
      <c r="C74">
        <f t="shared" si="4"/>
        <v>2022</v>
      </c>
      <c r="E74" s="84" t="s">
        <v>98</v>
      </c>
      <c r="G74" s="44">
        <v>1756304</v>
      </c>
      <c r="H74" s="44">
        <f t="shared" si="6"/>
        <v>-1756304</v>
      </c>
      <c r="L74" s="29" t="s">
        <v>2</v>
      </c>
      <c r="M74" s="93" t="s">
        <v>33</v>
      </c>
    </row>
    <row r="75" spans="1:13">
      <c r="A75" s="86">
        <v>44578</v>
      </c>
      <c r="B75" s="82">
        <f t="shared" si="5"/>
        <v>1</v>
      </c>
      <c r="C75">
        <f t="shared" si="4"/>
        <v>2022</v>
      </c>
      <c r="E75" s="84" t="s">
        <v>97</v>
      </c>
      <c r="F75" s="44">
        <v>872984</v>
      </c>
      <c r="H75" s="44">
        <f t="shared" si="6"/>
        <v>872984</v>
      </c>
      <c r="L75" s="29" t="s">
        <v>2</v>
      </c>
      <c r="M75" s="29" t="s">
        <v>31</v>
      </c>
    </row>
    <row r="76" spans="1:13">
      <c r="A76" s="86">
        <v>44578</v>
      </c>
      <c r="B76" s="82">
        <f t="shared" si="5"/>
        <v>1</v>
      </c>
      <c r="C76">
        <f t="shared" si="4"/>
        <v>2022</v>
      </c>
      <c r="E76" s="84" t="s">
        <v>97</v>
      </c>
      <c r="F76" s="44">
        <v>644640</v>
      </c>
      <c r="H76" s="44">
        <f t="shared" si="6"/>
        <v>644640</v>
      </c>
      <c r="L76" s="29" t="s">
        <v>10</v>
      </c>
      <c r="M76" s="29" t="s">
        <v>36</v>
      </c>
    </row>
    <row r="77" spans="1:13">
      <c r="A77" s="86">
        <v>44578</v>
      </c>
      <c r="B77" s="82">
        <f t="shared" si="5"/>
        <v>1</v>
      </c>
      <c r="C77">
        <f t="shared" ref="C77:C140" si="9">YEAR(A77)</f>
        <v>2022</v>
      </c>
      <c r="E77" s="84" t="s">
        <v>143</v>
      </c>
      <c r="F77" s="44">
        <v>542431.17599999998</v>
      </c>
      <c r="H77" s="44">
        <f t="shared" si="6"/>
        <v>542431.17599999998</v>
      </c>
      <c r="I77"/>
      <c r="M77" t="s">
        <v>2</v>
      </c>
    </row>
    <row r="78" spans="1:13">
      <c r="A78" s="86">
        <v>44578</v>
      </c>
      <c r="B78" s="82">
        <f t="shared" si="5"/>
        <v>1</v>
      </c>
      <c r="C78">
        <f t="shared" si="9"/>
        <v>2022</v>
      </c>
      <c r="E78" s="84" t="s">
        <v>143</v>
      </c>
      <c r="F78" s="44">
        <v>503729.28</v>
      </c>
      <c r="H78" s="44">
        <f t="shared" si="6"/>
        <v>503729.28</v>
      </c>
      <c r="I78"/>
      <c r="M78" t="s">
        <v>10</v>
      </c>
    </row>
    <row r="79" spans="1:13">
      <c r="A79" s="86">
        <v>44578</v>
      </c>
      <c r="B79" s="82">
        <f t="shared" si="5"/>
        <v>1</v>
      </c>
      <c r="C79">
        <f t="shared" si="9"/>
        <v>2022</v>
      </c>
      <c r="E79" s="84" t="s">
        <v>89</v>
      </c>
      <c r="G79" s="44">
        <v>542431.17599999998</v>
      </c>
      <c r="H79" s="44">
        <f t="shared" si="6"/>
        <v>-542431.17599999998</v>
      </c>
      <c r="I79"/>
      <c r="M79" t="s">
        <v>2</v>
      </c>
    </row>
    <row r="80" spans="1:13">
      <c r="A80" s="86">
        <v>44578</v>
      </c>
      <c r="B80" s="82">
        <f t="shared" si="5"/>
        <v>1</v>
      </c>
      <c r="C80">
        <f t="shared" si="9"/>
        <v>2022</v>
      </c>
      <c r="E80" s="84" t="s">
        <v>90</v>
      </c>
      <c r="G80" s="44">
        <v>503729.28</v>
      </c>
      <c r="H80" s="44">
        <f t="shared" si="6"/>
        <v>-503729.28</v>
      </c>
      <c r="I80"/>
      <c r="M80" t="s">
        <v>10</v>
      </c>
    </row>
    <row r="81" spans="1:13">
      <c r="A81" s="86">
        <v>44578</v>
      </c>
      <c r="B81" s="82">
        <f t="shared" si="5"/>
        <v>1</v>
      </c>
      <c r="C81">
        <f t="shared" si="9"/>
        <v>2022</v>
      </c>
      <c r="E81" s="84" t="s">
        <v>98</v>
      </c>
      <c r="G81" s="44">
        <v>872984</v>
      </c>
      <c r="H81" s="44">
        <f t="shared" si="6"/>
        <v>-872984</v>
      </c>
      <c r="L81" s="29" t="s">
        <v>2</v>
      </c>
      <c r="M81" s="93" t="s">
        <v>31</v>
      </c>
    </row>
    <row r="82" spans="1:13">
      <c r="A82" s="86">
        <v>44578</v>
      </c>
      <c r="B82" s="82">
        <f t="shared" si="5"/>
        <v>1</v>
      </c>
      <c r="C82">
        <f t="shared" si="9"/>
        <v>2022</v>
      </c>
      <c r="E82" s="84" t="s">
        <v>98</v>
      </c>
      <c r="G82" s="44">
        <v>644640</v>
      </c>
      <c r="H82" s="44">
        <f t="shared" si="6"/>
        <v>-644640</v>
      </c>
      <c r="L82" s="29" t="s">
        <v>10</v>
      </c>
      <c r="M82" s="93" t="s">
        <v>36</v>
      </c>
    </row>
    <row r="83" spans="1:13">
      <c r="A83" s="86">
        <v>44579</v>
      </c>
      <c r="B83" s="82">
        <f t="shared" si="5"/>
        <v>1</v>
      </c>
      <c r="C83">
        <f t="shared" si="9"/>
        <v>2022</v>
      </c>
      <c r="E83" s="84" t="s">
        <v>97</v>
      </c>
      <c r="F83" s="44">
        <v>1115827</v>
      </c>
      <c r="H83" s="44">
        <f t="shared" si="6"/>
        <v>1115827</v>
      </c>
      <c r="L83" s="29" t="s">
        <v>2</v>
      </c>
      <c r="M83" s="29" t="s">
        <v>32</v>
      </c>
    </row>
    <row r="84" spans="1:13">
      <c r="A84" s="86">
        <v>44579</v>
      </c>
      <c r="B84" s="82">
        <f t="shared" si="5"/>
        <v>1</v>
      </c>
      <c r="C84">
        <f t="shared" si="9"/>
        <v>2022</v>
      </c>
      <c r="E84" s="84" t="s">
        <v>143</v>
      </c>
      <c r="F84" s="44">
        <v>1003104.7320000001</v>
      </c>
      <c r="H84" s="44">
        <f t="shared" si="6"/>
        <v>1003104.7320000001</v>
      </c>
      <c r="I84"/>
      <c r="M84" t="s">
        <v>2</v>
      </c>
    </row>
    <row r="85" spans="1:13">
      <c r="A85" s="86">
        <v>44579</v>
      </c>
      <c r="B85" s="82">
        <f t="shared" si="5"/>
        <v>1</v>
      </c>
      <c r="C85">
        <f t="shared" si="9"/>
        <v>2022</v>
      </c>
      <c r="E85" s="84" t="s">
        <v>89</v>
      </c>
      <c r="G85" s="44">
        <v>1003104.7320000001</v>
      </c>
      <c r="H85" s="44">
        <f t="shared" si="6"/>
        <v>-1003104.7320000001</v>
      </c>
      <c r="I85"/>
      <c r="M85" t="s">
        <v>2</v>
      </c>
    </row>
    <row r="86" spans="1:13">
      <c r="A86" s="86">
        <v>44579</v>
      </c>
      <c r="B86" s="82">
        <f t="shared" si="5"/>
        <v>1</v>
      </c>
      <c r="C86">
        <f t="shared" si="9"/>
        <v>2022</v>
      </c>
      <c r="E86" s="84" t="s">
        <v>98</v>
      </c>
      <c r="G86" s="44">
        <v>1115827</v>
      </c>
      <c r="H86" s="44">
        <f t="shared" si="6"/>
        <v>-1115827</v>
      </c>
      <c r="L86" s="29" t="s">
        <v>2</v>
      </c>
      <c r="M86" s="93" t="s">
        <v>32</v>
      </c>
    </row>
    <row r="87" spans="1:13">
      <c r="A87" s="86">
        <v>44580</v>
      </c>
      <c r="B87" s="82">
        <f t="shared" ref="B87:B150" si="10">MONTH(A87)</f>
        <v>1</v>
      </c>
      <c r="C87">
        <f t="shared" si="9"/>
        <v>2022</v>
      </c>
      <c r="E87" s="84" t="s">
        <v>97</v>
      </c>
      <c r="F87" s="44">
        <v>1110474</v>
      </c>
      <c r="H87" s="44">
        <f t="shared" ref="H87:H150" si="11">F87-G87</f>
        <v>1110474</v>
      </c>
      <c r="L87" s="29" t="s">
        <v>2</v>
      </c>
      <c r="M87" s="29" t="s">
        <v>35</v>
      </c>
    </row>
    <row r="88" spans="1:13">
      <c r="A88" s="86">
        <v>44580</v>
      </c>
      <c r="B88" s="82">
        <f t="shared" si="10"/>
        <v>1</v>
      </c>
      <c r="C88">
        <f t="shared" si="9"/>
        <v>2022</v>
      </c>
      <c r="E88" s="84" t="s">
        <v>143</v>
      </c>
      <c r="F88" s="44">
        <v>919995.04800000007</v>
      </c>
      <c r="H88" s="44">
        <f t="shared" si="11"/>
        <v>919995.04800000007</v>
      </c>
      <c r="I88"/>
      <c r="M88" t="s">
        <v>2</v>
      </c>
    </row>
    <row r="89" spans="1:13">
      <c r="A89" s="86">
        <v>44580</v>
      </c>
      <c r="B89" s="82">
        <f t="shared" si="10"/>
        <v>1</v>
      </c>
      <c r="C89">
        <f t="shared" si="9"/>
        <v>2022</v>
      </c>
      <c r="E89" s="84" t="s">
        <v>89</v>
      </c>
      <c r="G89" s="44">
        <v>919995.04800000007</v>
      </c>
      <c r="H89" s="44">
        <f t="shared" si="11"/>
        <v>-919995.04800000007</v>
      </c>
      <c r="I89"/>
      <c r="M89" t="s">
        <v>2</v>
      </c>
    </row>
    <row r="90" spans="1:13">
      <c r="A90" s="86">
        <v>44580</v>
      </c>
      <c r="B90" s="82">
        <f t="shared" si="10"/>
        <v>1</v>
      </c>
      <c r="C90">
        <f t="shared" si="9"/>
        <v>2022</v>
      </c>
      <c r="E90" s="84" t="s">
        <v>98</v>
      </c>
      <c r="G90" s="44">
        <v>1110474</v>
      </c>
      <c r="H90" s="44">
        <f t="shared" si="11"/>
        <v>-1110474</v>
      </c>
      <c r="L90" s="29" t="s">
        <v>2</v>
      </c>
      <c r="M90" s="93" t="s">
        <v>35</v>
      </c>
    </row>
    <row r="91" spans="1:13">
      <c r="A91" s="86">
        <v>44581</v>
      </c>
      <c r="B91" s="82">
        <f t="shared" si="10"/>
        <v>1</v>
      </c>
      <c r="C91">
        <f t="shared" si="9"/>
        <v>2022</v>
      </c>
      <c r="E91" s="84" t="s">
        <v>97</v>
      </c>
      <c r="F91" s="44">
        <v>601126</v>
      </c>
      <c r="H91" s="44">
        <f t="shared" si="11"/>
        <v>601126</v>
      </c>
      <c r="L91" s="29" t="s">
        <v>14</v>
      </c>
      <c r="M91" s="29" t="s">
        <v>40</v>
      </c>
    </row>
    <row r="92" spans="1:13">
      <c r="A92" s="86">
        <v>44581</v>
      </c>
      <c r="B92" s="82">
        <f t="shared" si="10"/>
        <v>1</v>
      </c>
      <c r="C92">
        <f t="shared" si="9"/>
        <v>2022</v>
      </c>
      <c r="E92" s="84" t="s">
        <v>143</v>
      </c>
      <c r="F92" s="44">
        <v>507463.76400000002</v>
      </c>
      <c r="H92" s="44">
        <f t="shared" si="11"/>
        <v>507463.76400000002</v>
      </c>
      <c r="I92"/>
      <c r="M92" t="s">
        <v>14</v>
      </c>
    </row>
    <row r="93" spans="1:13">
      <c r="A93" s="86">
        <v>44581</v>
      </c>
      <c r="B93" s="82">
        <f t="shared" si="10"/>
        <v>1</v>
      </c>
      <c r="C93">
        <f t="shared" si="9"/>
        <v>2022</v>
      </c>
      <c r="E93" s="84" t="s">
        <v>91</v>
      </c>
      <c r="G93" s="44">
        <v>507463.76400000002</v>
      </c>
      <c r="H93" s="44">
        <f t="shared" si="11"/>
        <v>-507463.76400000002</v>
      </c>
      <c r="I93"/>
      <c r="M93" t="s">
        <v>14</v>
      </c>
    </row>
    <row r="94" spans="1:13">
      <c r="A94" s="86">
        <v>44581</v>
      </c>
      <c r="B94" s="82">
        <f t="shared" si="10"/>
        <v>1</v>
      </c>
      <c r="C94">
        <f t="shared" si="9"/>
        <v>2022</v>
      </c>
      <c r="E94" s="84" t="s">
        <v>98</v>
      </c>
      <c r="G94" s="44">
        <v>601126</v>
      </c>
      <c r="H94" s="44">
        <f t="shared" si="11"/>
        <v>-601126</v>
      </c>
      <c r="L94" s="29" t="s">
        <v>14</v>
      </c>
      <c r="M94" s="93" t="s">
        <v>40</v>
      </c>
    </row>
    <row r="95" spans="1:13">
      <c r="A95" s="86">
        <v>44582</v>
      </c>
      <c r="B95" s="82">
        <f t="shared" si="10"/>
        <v>1</v>
      </c>
      <c r="C95">
        <f t="shared" si="9"/>
        <v>2022</v>
      </c>
      <c r="E95" s="84" t="s">
        <v>97</v>
      </c>
      <c r="F95" s="44">
        <v>550988</v>
      </c>
      <c r="H95" s="44">
        <f t="shared" si="11"/>
        <v>550988</v>
      </c>
      <c r="L95" s="29" t="s">
        <v>10</v>
      </c>
      <c r="M95" s="29" t="s">
        <v>37</v>
      </c>
    </row>
    <row r="96" spans="1:13">
      <c r="A96" s="86">
        <v>44582</v>
      </c>
      <c r="B96" s="82">
        <f t="shared" si="10"/>
        <v>1</v>
      </c>
      <c r="C96">
        <f t="shared" si="9"/>
        <v>2022</v>
      </c>
      <c r="E96" s="84" t="s">
        <v>143</v>
      </c>
      <c r="F96" s="44">
        <v>414301.39200000005</v>
      </c>
      <c r="H96" s="44">
        <f t="shared" si="11"/>
        <v>414301.39200000005</v>
      </c>
      <c r="I96"/>
      <c r="M96" t="s">
        <v>10</v>
      </c>
    </row>
    <row r="97" spans="1:13">
      <c r="A97" s="86">
        <v>44582</v>
      </c>
      <c r="B97" s="82">
        <f t="shared" si="10"/>
        <v>1</v>
      </c>
      <c r="C97">
        <f t="shared" si="9"/>
        <v>2022</v>
      </c>
      <c r="E97" s="84" t="s">
        <v>90</v>
      </c>
      <c r="G97" s="44">
        <v>414301.39200000005</v>
      </c>
      <c r="H97" s="44">
        <f t="shared" si="11"/>
        <v>-414301.39200000005</v>
      </c>
      <c r="I97"/>
      <c r="M97" t="s">
        <v>10</v>
      </c>
    </row>
    <row r="98" spans="1:13">
      <c r="A98" s="86">
        <v>44582</v>
      </c>
      <c r="B98" s="82">
        <f t="shared" si="10"/>
        <v>1</v>
      </c>
      <c r="C98">
        <f t="shared" si="9"/>
        <v>2022</v>
      </c>
      <c r="E98" s="84" t="s">
        <v>98</v>
      </c>
      <c r="G98" s="44">
        <v>550988</v>
      </c>
      <c r="H98" s="44">
        <f t="shared" si="11"/>
        <v>-550988</v>
      </c>
      <c r="L98" s="29" t="s">
        <v>10</v>
      </c>
      <c r="M98" s="93" t="s">
        <v>37</v>
      </c>
    </row>
    <row r="99" spans="1:13">
      <c r="A99" s="86">
        <v>44584</v>
      </c>
      <c r="B99" s="82">
        <f t="shared" si="10"/>
        <v>1</v>
      </c>
      <c r="C99">
        <f t="shared" si="9"/>
        <v>2022</v>
      </c>
      <c r="E99" s="84" t="s">
        <v>97</v>
      </c>
      <c r="F99" s="44">
        <v>4248900</v>
      </c>
      <c r="H99" s="44">
        <f t="shared" si="11"/>
        <v>4248900</v>
      </c>
      <c r="L99" s="29" t="s">
        <v>14</v>
      </c>
      <c r="M99" s="29" t="s">
        <v>39</v>
      </c>
    </row>
    <row r="100" spans="1:13">
      <c r="A100" s="86">
        <v>44584</v>
      </c>
      <c r="B100" s="82">
        <f t="shared" si="10"/>
        <v>1</v>
      </c>
      <c r="C100">
        <f t="shared" si="9"/>
        <v>2022</v>
      </c>
      <c r="E100" s="84" t="s">
        <v>143</v>
      </c>
      <c r="F100" s="44">
        <v>3802085.6760000004</v>
      </c>
      <c r="H100" s="44">
        <f t="shared" si="11"/>
        <v>3802085.6760000004</v>
      </c>
      <c r="I100"/>
      <c r="M100" t="s">
        <v>14</v>
      </c>
    </row>
    <row r="101" spans="1:13">
      <c r="A101" s="86">
        <v>44584</v>
      </c>
      <c r="B101" s="82">
        <f t="shared" si="10"/>
        <v>1</v>
      </c>
      <c r="C101">
        <f t="shared" si="9"/>
        <v>2022</v>
      </c>
      <c r="E101" s="84" t="s">
        <v>91</v>
      </c>
      <c r="G101" s="44">
        <v>3802085.6760000004</v>
      </c>
      <c r="H101" s="44">
        <f t="shared" si="11"/>
        <v>-3802085.6760000004</v>
      </c>
      <c r="I101"/>
      <c r="M101" t="s">
        <v>14</v>
      </c>
    </row>
    <row r="102" spans="1:13">
      <c r="A102" s="86">
        <v>44584</v>
      </c>
      <c r="B102" s="82">
        <f t="shared" si="10"/>
        <v>1</v>
      </c>
      <c r="C102">
        <f t="shared" si="9"/>
        <v>2022</v>
      </c>
      <c r="E102" s="84" t="s">
        <v>98</v>
      </c>
      <c r="G102" s="44">
        <v>4248900</v>
      </c>
      <c r="H102" s="44">
        <f t="shared" si="11"/>
        <v>-4248900</v>
      </c>
      <c r="L102" s="29" t="s">
        <v>14</v>
      </c>
      <c r="M102" s="29" t="s">
        <v>39</v>
      </c>
    </row>
    <row r="103" spans="1:13">
      <c r="A103" s="86">
        <v>44588</v>
      </c>
      <c r="B103" s="82">
        <f t="shared" si="10"/>
        <v>1</v>
      </c>
      <c r="C103">
        <f t="shared" si="9"/>
        <v>2022</v>
      </c>
      <c r="E103" s="84" t="s">
        <v>97</v>
      </c>
      <c r="F103" s="44">
        <v>1005360</v>
      </c>
      <c r="H103" s="44">
        <f t="shared" si="11"/>
        <v>1005360</v>
      </c>
      <c r="L103" s="29" t="s">
        <v>10</v>
      </c>
      <c r="M103" s="29" t="s">
        <v>38</v>
      </c>
    </row>
    <row r="104" spans="1:13">
      <c r="A104" s="86">
        <v>44588</v>
      </c>
      <c r="B104" s="82">
        <f t="shared" si="10"/>
        <v>1</v>
      </c>
      <c r="C104">
        <f t="shared" si="9"/>
        <v>2022</v>
      </c>
      <c r="E104" s="84" t="s">
        <v>143</v>
      </c>
      <c r="F104" s="44">
        <v>564304.32000000007</v>
      </c>
      <c r="H104" s="44">
        <f t="shared" si="11"/>
        <v>564304.32000000007</v>
      </c>
      <c r="I104"/>
      <c r="M104" t="s">
        <v>10</v>
      </c>
    </row>
    <row r="105" spans="1:13">
      <c r="A105" s="86">
        <v>44588</v>
      </c>
      <c r="B105" s="82">
        <f t="shared" si="10"/>
        <v>1</v>
      </c>
      <c r="C105">
        <f t="shared" si="9"/>
        <v>2022</v>
      </c>
      <c r="E105" s="84" t="s">
        <v>90</v>
      </c>
      <c r="G105" s="44">
        <v>564304.32000000007</v>
      </c>
      <c r="H105" s="44">
        <f t="shared" si="11"/>
        <v>-564304.32000000007</v>
      </c>
      <c r="I105"/>
      <c r="M105" t="s">
        <v>10</v>
      </c>
    </row>
    <row r="106" spans="1:13">
      <c r="A106" s="86">
        <v>44588</v>
      </c>
      <c r="B106" s="82">
        <f t="shared" si="10"/>
        <v>1</v>
      </c>
      <c r="C106">
        <f t="shared" si="9"/>
        <v>2022</v>
      </c>
      <c r="E106" s="84" t="s">
        <v>98</v>
      </c>
      <c r="G106" s="44">
        <v>1005360</v>
      </c>
      <c r="H106" s="44">
        <f t="shared" si="11"/>
        <v>-1005360</v>
      </c>
      <c r="L106" s="29" t="s">
        <v>10</v>
      </c>
      <c r="M106" s="93" t="s">
        <v>38</v>
      </c>
    </row>
    <row r="107" spans="1:13">
      <c r="A107" s="86">
        <v>44592</v>
      </c>
      <c r="B107" s="82">
        <f t="shared" si="10"/>
        <v>1</v>
      </c>
      <c r="C107">
        <f t="shared" si="9"/>
        <v>2022</v>
      </c>
      <c r="E107" s="84" t="s">
        <v>155</v>
      </c>
      <c r="F107" s="44">
        <v>795212</v>
      </c>
      <c r="H107" s="44">
        <f t="shared" si="11"/>
        <v>795212</v>
      </c>
      <c r="M107"/>
    </row>
    <row r="108" spans="1:13">
      <c r="A108" s="86">
        <v>44592</v>
      </c>
      <c r="B108" s="82">
        <f t="shared" si="10"/>
        <v>1</v>
      </c>
      <c r="C108">
        <f t="shared" si="9"/>
        <v>2022</v>
      </c>
      <c r="D108" s="86"/>
      <c r="E108" s="331" t="s">
        <v>150</v>
      </c>
      <c r="G108" s="44">
        <v>281426</v>
      </c>
      <c r="H108" s="44">
        <f t="shared" si="11"/>
        <v>-281426</v>
      </c>
      <c r="M108"/>
    </row>
    <row r="109" spans="1:13">
      <c r="A109" s="86">
        <v>44592</v>
      </c>
      <c r="B109" s="82">
        <f t="shared" si="10"/>
        <v>1</v>
      </c>
      <c r="C109">
        <f t="shared" si="9"/>
        <v>2022</v>
      </c>
      <c r="E109" s="331" t="s">
        <v>150</v>
      </c>
      <c r="G109" s="44">
        <v>991135</v>
      </c>
      <c r="H109" s="44">
        <f t="shared" si="11"/>
        <v>-991135</v>
      </c>
      <c r="M109"/>
    </row>
    <row r="110" spans="1:13">
      <c r="A110" s="86">
        <v>44592</v>
      </c>
      <c r="B110" s="82">
        <f t="shared" si="10"/>
        <v>1</v>
      </c>
      <c r="C110">
        <f t="shared" si="9"/>
        <v>2022</v>
      </c>
      <c r="E110" s="331" t="s">
        <v>150</v>
      </c>
      <c r="G110" s="44">
        <v>778137</v>
      </c>
      <c r="H110" s="44">
        <f t="shared" si="11"/>
        <v>-778137</v>
      </c>
      <c r="M110"/>
    </row>
    <row r="111" spans="1:13">
      <c r="A111" s="86">
        <v>44592</v>
      </c>
      <c r="B111" s="82">
        <f t="shared" si="10"/>
        <v>1</v>
      </c>
      <c r="C111">
        <f t="shared" si="9"/>
        <v>2022</v>
      </c>
      <c r="E111" s="331" t="s">
        <v>150</v>
      </c>
      <c r="G111" s="44">
        <v>795212</v>
      </c>
      <c r="H111" s="44">
        <f t="shared" si="11"/>
        <v>-795212</v>
      </c>
      <c r="M111"/>
    </row>
    <row r="112" spans="1:13">
      <c r="A112" s="86">
        <v>44592</v>
      </c>
      <c r="B112" s="82">
        <f t="shared" si="10"/>
        <v>1</v>
      </c>
      <c r="C112">
        <f t="shared" si="9"/>
        <v>2022</v>
      </c>
      <c r="D112" s="26"/>
      <c r="E112" s="331" t="s">
        <v>150</v>
      </c>
      <c r="F112" s="44">
        <v>1222608</v>
      </c>
      <c r="H112" s="44">
        <f t="shared" si="11"/>
        <v>1222608</v>
      </c>
      <c r="M112"/>
    </row>
    <row r="113" spans="1:13">
      <c r="A113" s="86">
        <v>44592</v>
      </c>
      <c r="B113" s="82">
        <f t="shared" si="10"/>
        <v>1</v>
      </c>
      <c r="C113">
        <f t="shared" si="9"/>
        <v>2022</v>
      </c>
      <c r="D113" s="26"/>
      <c r="E113" s="331" t="s">
        <v>150</v>
      </c>
      <c r="G113" s="44">
        <v>1223814</v>
      </c>
      <c r="H113" s="44">
        <f t="shared" si="11"/>
        <v>-1223814</v>
      </c>
      <c r="M113"/>
    </row>
    <row r="114" spans="1:13">
      <c r="A114" s="86">
        <v>44592</v>
      </c>
      <c r="B114" s="82">
        <f t="shared" si="10"/>
        <v>1</v>
      </c>
      <c r="C114">
        <f t="shared" si="9"/>
        <v>2022</v>
      </c>
      <c r="E114" s="84" t="s">
        <v>154</v>
      </c>
      <c r="F114" s="44">
        <v>778137</v>
      </c>
      <c r="H114" s="44">
        <f t="shared" si="11"/>
        <v>778137</v>
      </c>
      <c r="M114"/>
    </row>
    <row r="115" spans="1:13">
      <c r="A115" s="86">
        <v>44592</v>
      </c>
      <c r="B115" s="82">
        <f t="shared" si="10"/>
        <v>1</v>
      </c>
      <c r="C115">
        <f t="shared" si="9"/>
        <v>2022</v>
      </c>
      <c r="E115" s="84" t="s">
        <v>159</v>
      </c>
      <c r="F115" s="44">
        <v>1223814</v>
      </c>
      <c r="H115" s="44">
        <f t="shared" si="11"/>
        <v>1223814</v>
      </c>
      <c r="M115"/>
    </row>
    <row r="116" spans="1:13">
      <c r="A116" s="86">
        <v>44592</v>
      </c>
      <c r="B116" s="82">
        <f t="shared" si="10"/>
        <v>1</v>
      </c>
      <c r="C116">
        <f t="shared" si="9"/>
        <v>2022</v>
      </c>
      <c r="E116" s="84" t="s">
        <v>158</v>
      </c>
      <c r="G116" s="44">
        <v>1222608</v>
      </c>
      <c r="H116" s="44">
        <f t="shared" si="11"/>
        <v>-1222608</v>
      </c>
      <c r="M116"/>
    </row>
    <row r="117" spans="1:13">
      <c r="A117" s="86">
        <v>44592</v>
      </c>
      <c r="B117" s="82">
        <f t="shared" si="10"/>
        <v>1</v>
      </c>
      <c r="C117">
        <f t="shared" si="9"/>
        <v>2022</v>
      </c>
      <c r="E117" s="84" t="s">
        <v>157</v>
      </c>
      <c r="F117" s="44">
        <v>991135</v>
      </c>
      <c r="H117" s="44">
        <f t="shared" si="11"/>
        <v>991135</v>
      </c>
      <c r="M117"/>
    </row>
    <row r="118" spans="1:13">
      <c r="A118" s="86">
        <v>44592</v>
      </c>
      <c r="B118" s="82">
        <f t="shared" si="10"/>
        <v>1</v>
      </c>
      <c r="C118">
        <f t="shared" si="9"/>
        <v>2022</v>
      </c>
      <c r="D118" s="86"/>
      <c r="E118" s="84" t="s">
        <v>146</v>
      </c>
      <c r="F118" s="44">
        <v>281426</v>
      </c>
      <c r="H118" s="44">
        <f t="shared" si="11"/>
        <v>281426</v>
      </c>
      <c r="M118"/>
    </row>
    <row r="119" spans="1:13">
      <c r="A119" s="86">
        <v>44593</v>
      </c>
      <c r="B119" s="82">
        <f t="shared" si="10"/>
        <v>2</v>
      </c>
      <c r="C119">
        <f t="shared" si="9"/>
        <v>2022</v>
      </c>
      <c r="E119" s="330" t="s">
        <v>191</v>
      </c>
      <c r="F119" s="44">
        <v>6455000</v>
      </c>
      <c r="H119" s="44">
        <f t="shared" si="11"/>
        <v>6455000</v>
      </c>
      <c r="M119"/>
    </row>
    <row r="120" spans="1:13">
      <c r="A120" s="86">
        <v>44593</v>
      </c>
      <c r="B120" s="82">
        <f t="shared" si="10"/>
        <v>2</v>
      </c>
      <c r="C120">
        <f t="shared" si="9"/>
        <v>2022</v>
      </c>
      <c r="E120" s="44" t="s">
        <v>190</v>
      </c>
      <c r="F120" s="44">
        <v>9045000</v>
      </c>
      <c r="H120" s="44">
        <f t="shared" si="11"/>
        <v>9045000</v>
      </c>
      <c r="M120"/>
    </row>
    <row r="121" spans="1:13">
      <c r="A121" s="86">
        <v>44593</v>
      </c>
      <c r="B121" s="82">
        <f t="shared" si="10"/>
        <v>2</v>
      </c>
      <c r="C121">
        <f t="shared" si="9"/>
        <v>2022</v>
      </c>
      <c r="E121" t="s">
        <v>189</v>
      </c>
      <c r="F121" s="44">
        <v>45000000</v>
      </c>
      <c r="H121" s="44">
        <f t="shared" si="11"/>
        <v>45000000</v>
      </c>
      <c r="M121"/>
    </row>
    <row r="122" spans="1:13">
      <c r="A122" s="86">
        <v>44593</v>
      </c>
      <c r="B122" s="82">
        <f t="shared" si="10"/>
        <v>2</v>
      </c>
      <c r="C122">
        <f t="shared" si="9"/>
        <v>2022</v>
      </c>
      <c r="E122" s="44" t="s">
        <v>156</v>
      </c>
      <c r="G122" s="44">
        <v>50000000</v>
      </c>
      <c r="H122" s="44">
        <f t="shared" si="11"/>
        <v>-50000000</v>
      </c>
      <c r="M122"/>
    </row>
    <row r="123" spans="1:13">
      <c r="A123" s="86">
        <v>44593</v>
      </c>
      <c r="B123" s="82">
        <f t="shared" si="10"/>
        <v>2</v>
      </c>
      <c r="C123">
        <f t="shared" si="9"/>
        <v>2022</v>
      </c>
      <c r="E123" s="44" t="s">
        <v>192</v>
      </c>
      <c r="G123" s="44">
        <v>10500000</v>
      </c>
      <c r="H123" s="44">
        <f t="shared" si="11"/>
        <v>-10500000</v>
      </c>
      <c r="M123"/>
    </row>
    <row r="124" spans="1:13">
      <c r="A124" s="86">
        <v>44596</v>
      </c>
      <c r="B124" s="82">
        <f t="shared" si="10"/>
        <v>2</v>
      </c>
      <c r="C124">
        <f t="shared" si="9"/>
        <v>2022</v>
      </c>
      <c r="D124" s="86"/>
      <c r="E124" s="84" t="s">
        <v>68</v>
      </c>
      <c r="G124" s="44">
        <v>800000</v>
      </c>
      <c r="H124" s="44">
        <f t="shared" si="11"/>
        <v>-800000</v>
      </c>
      <c r="L124" t="s">
        <v>3</v>
      </c>
      <c r="M124" s="44" t="s">
        <v>123</v>
      </c>
    </row>
    <row r="125" spans="1:13">
      <c r="A125" s="86">
        <v>44596</v>
      </c>
      <c r="B125" s="82">
        <f t="shared" si="10"/>
        <v>2</v>
      </c>
      <c r="C125">
        <f t="shared" si="9"/>
        <v>2022</v>
      </c>
      <c r="D125" s="86"/>
      <c r="E125" s="84" t="s">
        <v>68</v>
      </c>
      <c r="G125" s="44">
        <v>945000</v>
      </c>
      <c r="H125" s="44">
        <f t="shared" si="11"/>
        <v>-945000</v>
      </c>
      <c r="L125" t="s">
        <v>4</v>
      </c>
      <c r="M125" s="44" t="s">
        <v>123</v>
      </c>
    </row>
    <row r="126" spans="1:13">
      <c r="A126" s="86">
        <v>44596</v>
      </c>
      <c r="B126" s="82">
        <f t="shared" si="10"/>
        <v>2</v>
      </c>
      <c r="C126">
        <f t="shared" si="9"/>
        <v>2022</v>
      </c>
      <c r="D126" s="86"/>
      <c r="E126" s="84" t="s">
        <v>68</v>
      </c>
      <c r="G126" s="44">
        <v>1800000</v>
      </c>
      <c r="H126" s="44">
        <f t="shared" si="11"/>
        <v>-1800000</v>
      </c>
      <c r="L126" t="s">
        <v>5</v>
      </c>
      <c r="M126" s="44" t="s">
        <v>123</v>
      </c>
    </row>
    <row r="127" spans="1:13">
      <c r="A127" s="86">
        <v>44596</v>
      </c>
      <c r="B127" s="82">
        <f t="shared" si="10"/>
        <v>2</v>
      </c>
      <c r="C127">
        <f t="shared" si="9"/>
        <v>2022</v>
      </c>
      <c r="D127" s="86"/>
      <c r="E127" s="84" t="s">
        <v>68</v>
      </c>
      <c r="G127" s="44">
        <v>1980000</v>
      </c>
      <c r="H127" s="44">
        <f t="shared" si="11"/>
        <v>-1980000</v>
      </c>
      <c r="L127" t="s">
        <v>6</v>
      </c>
      <c r="M127" s="44" t="s">
        <v>124</v>
      </c>
    </row>
    <row r="128" spans="1:13">
      <c r="A128" s="86">
        <v>44596</v>
      </c>
      <c r="B128" s="82">
        <f t="shared" si="10"/>
        <v>2</v>
      </c>
      <c r="C128">
        <f t="shared" si="9"/>
        <v>2022</v>
      </c>
      <c r="D128" s="86"/>
      <c r="E128" s="84" t="s">
        <v>68</v>
      </c>
      <c r="G128" s="44">
        <v>855000</v>
      </c>
      <c r="H128" s="44">
        <f t="shared" si="11"/>
        <v>-855000</v>
      </c>
      <c r="L128" t="s">
        <v>11</v>
      </c>
      <c r="M128" s="44" t="s">
        <v>125</v>
      </c>
    </row>
    <row r="129" spans="1:15">
      <c r="A129" s="86">
        <v>44596</v>
      </c>
      <c r="B129" s="82">
        <f t="shared" si="10"/>
        <v>2</v>
      </c>
      <c r="C129">
        <f t="shared" si="9"/>
        <v>2022</v>
      </c>
      <c r="D129" s="86"/>
      <c r="E129" s="84" t="s">
        <v>68</v>
      </c>
      <c r="G129" s="44">
        <v>2192505</v>
      </c>
      <c r="H129" s="44">
        <f t="shared" si="11"/>
        <v>-2192505</v>
      </c>
      <c r="L129" t="s">
        <v>12</v>
      </c>
      <c r="M129" s="44" t="s">
        <v>125</v>
      </c>
    </row>
    <row r="130" spans="1:15">
      <c r="A130" s="86">
        <v>44596</v>
      </c>
      <c r="B130" s="82">
        <f t="shared" si="10"/>
        <v>2</v>
      </c>
      <c r="C130">
        <f t="shared" si="9"/>
        <v>2022</v>
      </c>
      <c r="D130" s="86"/>
      <c r="E130" s="84" t="s">
        <v>67</v>
      </c>
      <c r="F130" s="44">
        <v>800000</v>
      </c>
      <c r="H130" s="44">
        <f t="shared" si="11"/>
        <v>800000</v>
      </c>
      <c r="L130" t="s">
        <v>3</v>
      </c>
      <c r="M130" s="44" t="s">
        <v>123</v>
      </c>
    </row>
    <row r="131" spans="1:15">
      <c r="A131" s="86">
        <v>44596</v>
      </c>
      <c r="B131" s="82">
        <f t="shared" si="10"/>
        <v>2</v>
      </c>
      <c r="C131">
        <f t="shared" si="9"/>
        <v>2022</v>
      </c>
      <c r="D131" s="86"/>
      <c r="E131" s="84" t="s">
        <v>67</v>
      </c>
      <c r="F131" s="44">
        <v>945000</v>
      </c>
      <c r="H131" s="44">
        <f t="shared" si="11"/>
        <v>945000</v>
      </c>
      <c r="L131" t="s">
        <v>4</v>
      </c>
      <c r="M131" s="44" t="s">
        <v>123</v>
      </c>
    </row>
    <row r="132" spans="1:15">
      <c r="A132" s="86">
        <v>44596</v>
      </c>
      <c r="B132" s="82">
        <f t="shared" si="10"/>
        <v>2</v>
      </c>
      <c r="C132">
        <f t="shared" si="9"/>
        <v>2022</v>
      </c>
      <c r="D132" s="86"/>
      <c r="E132" s="84" t="s">
        <v>67</v>
      </c>
      <c r="F132" s="44">
        <v>1800000</v>
      </c>
      <c r="H132" s="44">
        <f t="shared" si="11"/>
        <v>1800000</v>
      </c>
      <c r="L132" t="s">
        <v>5</v>
      </c>
      <c r="M132" s="44" t="s">
        <v>123</v>
      </c>
    </row>
    <row r="133" spans="1:15">
      <c r="A133" s="86">
        <v>44596</v>
      </c>
      <c r="B133" s="82">
        <f t="shared" si="10"/>
        <v>2</v>
      </c>
      <c r="C133">
        <f t="shared" si="9"/>
        <v>2022</v>
      </c>
      <c r="D133" s="86"/>
      <c r="E133" s="84" t="s">
        <v>67</v>
      </c>
      <c r="F133" s="44">
        <v>1980000</v>
      </c>
      <c r="H133" s="44">
        <f t="shared" si="11"/>
        <v>1980000</v>
      </c>
      <c r="L133" t="s">
        <v>6</v>
      </c>
      <c r="M133" s="44" t="s">
        <v>124</v>
      </c>
    </row>
    <row r="134" spans="1:15">
      <c r="A134" s="86">
        <v>44596</v>
      </c>
      <c r="B134" s="82">
        <f t="shared" si="10"/>
        <v>2</v>
      </c>
      <c r="C134">
        <f t="shared" si="9"/>
        <v>2022</v>
      </c>
      <c r="D134" s="86"/>
      <c r="E134" s="84" t="s">
        <v>67</v>
      </c>
      <c r="F134" s="44">
        <v>855000</v>
      </c>
      <c r="H134" s="44">
        <f t="shared" si="11"/>
        <v>855000</v>
      </c>
      <c r="L134" t="s">
        <v>11</v>
      </c>
      <c r="M134" s="44" t="s">
        <v>125</v>
      </c>
    </row>
    <row r="135" spans="1:15">
      <c r="A135" s="86">
        <v>44596</v>
      </c>
      <c r="B135" s="82">
        <f t="shared" si="10"/>
        <v>2</v>
      </c>
      <c r="C135">
        <f t="shared" si="9"/>
        <v>2022</v>
      </c>
      <c r="D135" s="86"/>
      <c r="E135" s="84" t="s">
        <v>67</v>
      </c>
      <c r="F135" s="44">
        <v>2192505</v>
      </c>
      <c r="H135" s="44">
        <f t="shared" si="11"/>
        <v>2192505</v>
      </c>
      <c r="L135" t="s">
        <v>12</v>
      </c>
      <c r="M135" s="44" t="s">
        <v>125</v>
      </c>
    </row>
    <row r="136" spans="1:15">
      <c r="A136" s="86">
        <v>44603</v>
      </c>
      <c r="B136" s="82">
        <f t="shared" si="10"/>
        <v>2</v>
      </c>
      <c r="C136">
        <f t="shared" si="9"/>
        <v>2022</v>
      </c>
      <c r="E136" s="84" t="s">
        <v>81</v>
      </c>
      <c r="F136" s="44">
        <v>927914.8</v>
      </c>
      <c r="H136" s="44">
        <f t="shared" si="11"/>
        <v>927914.8</v>
      </c>
      <c r="L136" t="str">
        <f>VLOOKUP(M136,Reference!$A$16:$B$21,2,0)</f>
        <v>Supplier A</v>
      </c>
      <c r="M136" t="s">
        <v>3</v>
      </c>
      <c r="N136" t="str">
        <f t="shared" ref="N136:N141" si="12">L136</f>
        <v>Supplier A</v>
      </c>
      <c r="O136" t="str">
        <f t="shared" ref="O136:O141" si="13">M136</f>
        <v>Component 1</v>
      </c>
    </row>
    <row r="137" spans="1:15">
      <c r="A137" s="86">
        <v>44603</v>
      </c>
      <c r="B137" s="82">
        <f t="shared" si="10"/>
        <v>2</v>
      </c>
      <c r="C137">
        <f t="shared" si="9"/>
        <v>2022</v>
      </c>
      <c r="E137" s="84" t="s">
        <v>81</v>
      </c>
      <c r="F137" s="44">
        <v>925831.55999999982</v>
      </c>
      <c r="H137" s="44">
        <f t="shared" si="11"/>
        <v>925831.55999999982</v>
      </c>
      <c r="L137" t="str">
        <f>VLOOKUP(M137,Reference!$A$16:$B$21,2,0)</f>
        <v>Supplier A</v>
      </c>
      <c r="M137" t="s">
        <v>4</v>
      </c>
      <c r="N137" t="str">
        <f t="shared" si="12"/>
        <v>Supplier A</v>
      </c>
      <c r="O137" t="str">
        <f t="shared" si="13"/>
        <v>Component 2</v>
      </c>
    </row>
    <row r="138" spans="1:15">
      <c r="A138" s="86">
        <v>44603</v>
      </c>
      <c r="B138" s="82">
        <f t="shared" si="10"/>
        <v>2</v>
      </c>
      <c r="C138">
        <f t="shared" si="9"/>
        <v>2022</v>
      </c>
      <c r="E138" s="84" t="s">
        <v>81</v>
      </c>
      <c r="F138" s="44">
        <v>1954768.8699999999</v>
      </c>
      <c r="H138" s="44">
        <f t="shared" si="11"/>
        <v>1954768.8699999999</v>
      </c>
      <c r="L138" t="str">
        <f>VLOOKUP(M138,Reference!$A$16:$B$21,2,0)</f>
        <v>Supplier A</v>
      </c>
      <c r="M138" t="s">
        <v>5</v>
      </c>
      <c r="N138" t="str">
        <f t="shared" si="12"/>
        <v>Supplier A</v>
      </c>
      <c r="O138" t="str">
        <f t="shared" si="13"/>
        <v>Component 3</v>
      </c>
    </row>
    <row r="139" spans="1:15">
      <c r="A139" s="86">
        <v>44603</v>
      </c>
      <c r="B139" s="82">
        <f t="shared" si="10"/>
        <v>2</v>
      </c>
      <c r="C139">
        <f t="shared" si="9"/>
        <v>2022</v>
      </c>
      <c r="E139" s="84" t="s">
        <v>81</v>
      </c>
      <c r="F139" s="44">
        <v>2153616</v>
      </c>
      <c r="H139" s="44">
        <f t="shared" si="11"/>
        <v>2153616</v>
      </c>
      <c r="L139" t="str">
        <f>VLOOKUP(M139,Reference!$A$16:$B$21,2,0)</f>
        <v>Supplier B</v>
      </c>
      <c r="M139" t="s">
        <v>6</v>
      </c>
      <c r="N139" t="str">
        <f t="shared" si="12"/>
        <v>Supplier B</v>
      </c>
      <c r="O139" t="str">
        <f t="shared" si="13"/>
        <v>Component 4</v>
      </c>
    </row>
    <row r="140" spans="1:15">
      <c r="A140" s="86">
        <v>44603</v>
      </c>
      <c r="B140" s="82">
        <f t="shared" si="10"/>
        <v>2</v>
      </c>
      <c r="C140">
        <f t="shared" si="9"/>
        <v>2022</v>
      </c>
      <c r="E140" s="84" t="s">
        <v>81</v>
      </c>
      <c r="F140" s="44">
        <v>796282.75</v>
      </c>
      <c r="H140" s="44">
        <f t="shared" si="11"/>
        <v>796282.75</v>
      </c>
      <c r="L140" t="str">
        <f>VLOOKUP(M140,Reference!$A$16:$B$21,2,0)</f>
        <v>Supplier D</v>
      </c>
      <c r="M140" t="s">
        <v>11</v>
      </c>
      <c r="N140" t="str">
        <f t="shared" si="12"/>
        <v>Supplier D</v>
      </c>
      <c r="O140" t="str">
        <f t="shared" si="13"/>
        <v>Component 5</v>
      </c>
    </row>
    <row r="141" spans="1:15">
      <c r="A141" s="86">
        <v>44603</v>
      </c>
      <c r="B141" s="82">
        <f t="shared" si="10"/>
        <v>2</v>
      </c>
      <c r="C141">
        <f t="shared" ref="C141:C204" si="14">YEAR(A141)</f>
        <v>2022</v>
      </c>
      <c r="E141" s="84" t="s">
        <v>81</v>
      </c>
      <c r="F141" s="44">
        <v>2066008</v>
      </c>
      <c r="H141" s="44">
        <f t="shared" si="11"/>
        <v>2066008</v>
      </c>
      <c r="L141" t="str">
        <f>VLOOKUP(M141,Reference!$A$16:$B$21,2,0)</f>
        <v>Supplier D</v>
      </c>
      <c r="M141" t="s">
        <v>12</v>
      </c>
      <c r="N141" t="str">
        <f t="shared" si="12"/>
        <v>Supplier D</v>
      </c>
      <c r="O141" t="str">
        <f t="shared" si="13"/>
        <v>Component 6</v>
      </c>
    </row>
    <row r="142" spans="1:15">
      <c r="A142" s="86">
        <v>44603</v>
      </c>
      <c r="B142" s="82">
        <f t="shared" si="10"/>
        <v>2</v>
      </c>
      <c r="C142">
        <f t="shared" si="14"/>
        <v>2022</v>
      </c>
      <c r="E142" s="84" t="s">
        <v>143</v>
      </c>
      <c r="G142" s="44">
        <v>927914.8</v>
      </c>
      <c r="H142" s="44">
        <f t="shared" si="11"/>
        <v>-927914.8</v>
      </c>
      <c r="J142"/>
      <c r="M142" t="s">
        <v>3</v>
      </c>
    </row>
    <row r="143" spans="1:15">
      <c r="A143" s="86">
        <v>44603</v>
      </c>
      <c r="B143" s="82">
        <f t="shared" si="10"/>
        <v>2</v>
      </c>
      <c r="C143">
        <f t="shared" si="14"/>
        <v>2022</v>
      </c>
      <c r="E143" s="84" t="s">
        <v>143</v>
      </c>
      <c r="G143" s="44">
        <v>925831.55999999982</v>
      </c>
      <c r="H143" s="44">
        <f t="shared" si="11"/>
        <v>-925831.55999999982</v>
      </c>
      <c r="J143"/>
      <c r="M143" t="s">
        <v>4</v>
      </c>
    </row>
    <row r="144" spans="1:15">
      <c r="A144" s="86">
        <v>44603</v>
      </c>
      <c r="B144" s="82">
        <f t="shared" si="10"/>
        <v>2</v>
      </c>
      <c r="C144">
        <f t="shared" si="14"/>
        <v>2022</v>
      </c>
      <c r="E144" s="84" t="s">
        <v>143</v>
      </c>
      <c r="G144" s="44">
        <v>1954768.8699999999</v>
      </c>
      <c r="H144" s="44">
        <f t="shared" si="11"/>
        <v>-1954768.8699999999</v>
      </c>
      <c r="J144"/>
      <c r="M144" t="s">
        <v>5</v>
      </c>
    </row>
    <row r="145" spans="1:19">
      <c r="A145" s="86">
        <v>44603</v>
      </c>
      <c r="B145" s="82">
        <f t="shared" si="10"/>
        <v>2</v>
      </c>
      <c r="C145">
        <f t="shared" si="14"/>
        <v>2022</v>
      </c>
      <c r="E145" s="84" t="s">
        <v>143</v>
      </c>
      <c r="G145" s="44">
        <v>2153616</v>
      </c>
      <c r="H145" s="44">
        <f t="shared" si="11"/>
        <v>-2153616</v>
      </c>
      <c r="J145"/>
      <c r="M145" t="s">
        <v>6</v>
      </c>
    </row>
    <row r="146" spans="1:19">
      <c r="A146" s="86">
        <v>44603</v>
      </c>
      <c r="B146" s="82">
        <f t="shared" si="10"/>
        <v>2</v>
      </c>
      <c r="C146">
        <f t="shared" si="14"/>
        <v>2022</v>
      </c>
      <c r="E146" s="84" t="s">
        <v>143</v>
      </c>
      <c r="G146" s="44">
        <v>796282.75</v>
      </c>
      <c r="H146" s="44">
        <f t="shared" si="11"/>
        <v>-796282.75</v>
      </c>
      <c r="J146"/>
      <c r="M146" t="s">
        <v>11</v>
      </c>
    </row>
    <row r="147" spans="1:19">
      <c r="A147" s="86">
        <v>44603</v>
      </c>
      <c r="B147" s="82">
        <f t="shared" si="10"/>
        <v>2</v>
      </c>
      <c r="C147">
        <f t="shared" si="14"/>
        <v>2022</v>
      </c>
      <c r="E147" s="84" t="s">
        <v>143</v>
      </c>
      <c r="G147" s="44">
        <v>2066008</v>
      </c>
      <c r="H147" s="44">
        <f t="shared" si="11"/>
        <v>-2066008</v>
      </c>
      <c r="J147"/>
      <c r="M147" t="s">
        <v>12</v>
      </c>
    </row>
    <row r="148" spans="1:19">
      <c r="A148" s="86">
        <v>44603</v>
      </c>
      <c r="B148" s="82">
        <f t="shared" si="10"/>
        <v>2</v>
      </c>
      <c r="C148">
        <f t="shared" si="14"/>
        <v>2022</v>
      </c>
      <c r="E148" s="84" t="s">
        <v>67</v>
      </c>
      <c r="G148" s="44">
        <v>927914.8</v>
      </c>
      <c r="H148" s="44">
        <f t="shared" si="11"/>
        <v>-927914.8</v>
      </c>
      <c r="L148" t="s">
        <v>3</v>
      </c>
      <c r="M148" s="44" t="s">
        <v>123</v>
      </c>
    </row>
    <row r="149" spans="1:19">
      <c r="A149" s="86">
        <v>44603</v>
      </c>
      <c r="B149" s="82">
        <f t="shared" si="10"/>
        <v>2</v>
      </c>
      <c r="C149">
        <f t="shared" si="14"/>
        <v>2022</v>
      </c>
      <c r="E149" s="84" t="s">
        <v>67</v>
      </c>
      <c r="G149" s="44">
        <v>925831.55999999982</v>
      </c>
      <c r="H149" s="44">
        <f t="shared" si="11"/>
        <v>-925831.55999999982</v>
      </c>
      <c r="L149" t="s">
        <v>4</v>
      </c>
      <c r="M149" s="44" t="s">
        <v>123</v>
      </c>
    </row>
    <row r="150" spans="1:19">
      <c r="A150" s="86">
        <v>44603</v>
      </c>
      <c r="B150" s="82">
        <f t="shared" si="10"/>
        <v>2</v>
      </c>
      <c r="C150">
        <f t="shared" si="14"/>
        <v>2022</v>
      </c>
      <c r="E150" s="84" t="s">
        <v>67</v>
      </c>
      <c r="G150" s="44">
        <v>1954768.8699999999</v>
      </c>
      <c r="H150" s="44">
        <f t="shared" si="11"/>
        <v>-1954768.8699999999</v>
      </c>
      <c r="L150" t="s">
        <v>5</v>
      </c>
      <c r="M150" s="44" t="s">
        <v>123</v>
      </c>
    </row>
    <row r="151" spans="1:19">
      <c r="A151" s="86">
        <v>44603</v>
      </c>
      <c r="B151" s="82">
        <f t="shared" ref="B151:B214" si="15">MONTH(A151)</f>
        <v>2</v>
      </c>
      <c r="C151">
        <f t="shared" si="14"/>
        <v>2022</v>
      </c>
      <c r="E151" s="84" t="s">
        <v>67</v>
      </c>
      <c r="G151" s="44">
        <v>2153616</v>
      </c>
      <c r="H151" s="44">
        <f t="shared" ref="H151:H214" si="16">F151-G151</f>
        <v>-2153616</v>
      </c>
      <c r="L151" t="s">
        <v>6</v>
      </c>
      <c r="M151" s="44" t="s">
        <v>124</v>
      </c>
    </row>
    <row r="152" spans="1:19">
      <c r="A152" s="86">
        <v>44603</v>
      </c>
      <c r="B152" s="82">
        <f t="shared" si="15"/>
        <v>2</v>
      </c>
      <c r="C152">
        <f t="shared" si="14"/>
        <v>2022</v>
      </c>
      <c r="E152" s="84" t="s">
        <v>67</v>
      </c>
      <c r="G152" s="44">
        <v>796282.75</v>
      </c>
      <c r="H152" s="44">
        <f t="shared" si="16"/>
        <v>-796282.75</v>
      </c>
      <c r="L152" t="s">
        <v>11</v>
      </c>
      <c r="M152" s="44" t="s">
        <v>125</v>
      </c>
    </row>
    <row r="153" spans="1:19">
      <c r="A153" s="86">
        <v>44603</v>
      </c>
      <c r="B153" s="82">
        <f t="shared" si="15"/>
        <v>2</v>
      </c>
      <c r="C153">
        <f t="shared" si="14"/>
        <v>2022</v>
      </c>
      <c r="E153" s="84" t="s">
        <v>67</v>
      </c>
      <c r="G153" s="44">
        <v>2066008</v>
      </c>
      <c r="H153" s="44">
        <f t="shared" si="16"/>
        <v>-2066008</v>
      </c>
      <c r="L153" t="s">
        <v>12</v>
      </c>
      <c r="M153" s="44" t="s">
        <v>125</v>
      </c>
    </row>
    <row r="154" spans="1:19">
      <c r="A154" s="86">
        <v>44604</v>
      </c>
      <c r="B154" s="82">
        <f t="shared" si="15"/>
        <v>2</v>
      </c>
      <c r="C154">
        <f t="shared" si="14"/>
        <v>2022</v>
      </c>
      <c r="E154" s="84" t="s">
        <v>97</v>
      </c>
      <c r="F154" s="44">
        <v>543344</v>
      </c>
      <c r="H154" s="44">
        <f t="shared" si="16"/>
        <v>543344</v>
      </c>
      <c r="L154" s="29" t="s">
        <v>10</v>
      </c>
      <c r="M154" s="29" t="s">
        <v>38</v>
      </c>
    </row>
    <row r="155" spans="1:19">
      <c r="A155" s="86">
        <v>44604</v>
      </c>
      <c r="B155" s="82">
        <f t="shared" si="15"/>
        <v>2</v>
      </c>
      <c r="C155">
        <f t="shared" si="14"/>
        <v>2022</v>
      </c>
      <c r="E155" s="84" t="s">
        <v>143</v>
      </c>
      <c r="F155" s="44">
        <v>397784.016</v>
      </c>
      <c r="H155" s="44">
        <f t="shared" si="16"/>
        <v>397784.016</v>
      </c>
      <c r="I155"/>
      <c r="M155" t="s">
        <v>10</v>
      </c>
    </row>
    <row r="156" spans="1:19">
      <c r="A156" s="86">
        <v>44604</v>
      </c>
      <c r="B156" s="82">
        <f t="shared" si="15"/>
        <v>2</v>
      </c>
      <c r="C156">
        <f t="shared" si="14"/>
        <v>2022</v>
      </c>
      <c r="E156" s="84" t="s">
        <v>89</v>
      </c>
      <c r="F156" s="44">
        <v>4603648.2519999994</v>
      </c>
      <c r="H156" s="44">
        <f t="shared" si="16"/>
        <v>4603648.2519999994</v>
      </c>
      <c r="I156"/>
      <c r="J156"/>
      <c r="M156"/>
    </row>
    <row r="157" spans="1:19" s="82" customFormat="1">
      <c r="A157" s="86">
        <v>44604</v>
      </c>
      <c r="B157" s="82">
        <f t="shared" si="15"/>
        <v>2</v>
      </c>
      <c r="C157">
        <f t="shared" si="14"/>
        <v>2022</v>
      </c>
      <c r="D157"/>
      <c r="E157" s="84" t="s">
        <v>90</v>
      </c>
      <c r="F157" s="44">
        <v>2003314.6980000001</v>
      </c>
      <c r="G157" s="44"/>
      <c r="H157" s="44">
        <f t="shared" si="16"/>
        <v>2003314.6980000001</v>
      </c>
      <c r="I157"/>
      <c r="J157"/>
      <c r="K157"/>
      <c r="L157"/>
      <c r="M157"/>
      <c r="N157"/>
      <c r="O157"/>
      <c r="P157"/>
      <c r="Q157"/>
      <c r="R157"/>
      <c r="S157"/>
    </row>
    <row r="158" spans="1:19">
      <c r="A158" s="86">
        <v>44604</v>
      </c>
      <c r="B158" s="82">
        <f t="shared" si="15"/>
        <v>2</v>
      </c>
      <c r="C158">
        <f t="shared" si="14"/>
        <v>2022</v>
      </c>
      <c r="E158" s="84" t="s">
        <v>90</v>
      </c>
      <c r="G158" s="44">
        <v>397784.016</v>
      </c>
      <c r="H158" s="44">
        <f t="shared" si="16"/>
        <v>-397784.016</v>
      </c>
      <c r="I158"/>
      <c r="M158" t="s">
        <v>10</v>
      </c>
    </row>
    <row r="159" spans="1:19">
      <c r="A159" s="86">
        <v>44604</v>
      </c>
      <c r="B159" s="82">
        <f t="shared" si="15"/>
        <v>2</v>
      </c>
      <c r="C159">
        <f t="shared" si="14"/>
        <v>2022</v>
      </c>
      <c r="E159" s="84" t="s">
        <v>91</v>
      </c>
      <c r="F159" s="44">
        <v>2416655.1280000005</v>
      </c>
      <c r="H159" s="44">
        <f t="shared" si="16"/>
        <v>2416655.1280000005</v>
      </c>
      <c r="I159"/>
      <c r="J159"/>
      <c r="M159"/>
    </row>
    <row r="160" spans="1:19">
      <c r="A160" s="86">
        <v>44604</v>
      </c>
      <c r="B160" s="82">
        <f t="shared" si="15"/>
        <v>2</v>
      </c>
      <c r="C160">
        <f t="shared" si="14"/>
        <v>2022</v>
      </c>
      <c r="E160" s="84" t="s">
        <v>98</v>
      </c>
      <c r="G160" s="44">
        <v>543344</v>
      </c>
      <c r="H160" s="44">
        <f t="shared" si="16"/>
        <v>-543344</v>
      </c>
      <c r="L160" s="29" t="s">
        <v>10</v>
      </c>
      <c r="M160" s="93" t="s">
        <v>38</v>
      </c>
    </row>
    <row r="161" spans="1:13">
      <c r="A161" s="86">
        <v>44604</v>
      </c>
      <c r="B161" s="82">
        <f t="shared" si="15"/>
        <v>2</v>
      </c>
      <c r="C161">
        <f t="shared" si="14"/>
        <v>2022</v>
      </c>
      <c r="E161" s="84" t="s">
        <v>146</v>
      </c>
      <c r="G161" s="44">
        <v>199196.098</v>
      </c>
      <c r="H161" s="44">
        <f t="shared" si="16"/>
        <v>-199196.098</v>
      </c>
      <c r="I161"/>
      <c r="J161"/>
      <c r="M161"/>
    </row>
    <row r="162" spans="1:13">
      <c r="A162" s="86">
        <v>44606</v>
      </c>
      <c r="B162" s="82">
        <f t="shared" si="15"/>
        <v>2</v>
      </c>
      <c r="C162">
        <f t="shared" si="14"/>
        <v>2022</v>
      </c>
      <c r="E162" s="84" t="s">
        <v>143</v>
      </c>
      <c r="F162" s="44">
        <v>258045.85600000003</v>
      </c>
      <c r="H162" s="44">
        <f t="shared" si="16"/>
        <v>258045.85600000003</v>
      </c>
      <c r="I162"/>
      <c r="M162" t="s">
        <v>14</v>
      </c>
    </row>
    <row r="163" spans="1:13">
      <c r="A163" s="86">
        <v>44606</v>
      </c>
      <c r="B163" s="82">
        <f t="shared" si="15"/>
        <v>2</v>
      </c>
      <c r="C163">
        <f t="shared" si="14"/>
        <v>2022</v>
      </c>
      <c r="E163" s="84" t="s">
        <v>91</v>
      </c>
      <c r="G163" s="44">
        <v>258045.85600000003</v>
      </c>
      <c r="H163" s="44">
        <f t="shared" si="16"/>
        <v>-258045.85600000003</v>
      </c>
      <c r="I163"/>
      <c r="M163" t="s">
        <v>14</v>
      </c>
    </row>
    <row r="164" spans="1:13">
      <c r="A164" s="86">
        <v>44606</v>
      </c>
      <c r="B164" s="82">
        <f t="shared" si="15"/>
        <v>2</v>
      </c>
      <c r="C164">
        <f t="shared" si="14"/>
        <v>2022</v>
      </c>
      <c r="E164" s="84" t="s">
        <v>98</v>
      </c>
      <c r="G164" s="44">
        <v>273400</v>
      </c>
      <c r="H164" s="44">
        <f t="shared" si="16"/>
        <v>-273400</v>
      </c>
      <c r="L164" s="29" t="s">
        <v>14</v>
      </c>
      <c r="M164" s="93" t="s">
        <v>40</v>
      </c>
    </row>
    <row r="165" spans="1:13">
      <c r="A165" s="86">
        <v>44607</v>
      </c>
      <c r="B165" s="82">
        <f t="shared" si="15"/>
        <v>2</v>
      </c>
      <c r="C165">
        <f t="shared" si="14"/>
        <v>2022</v>
      </c>
      <c r="E165" s="84" t="s">
        <v>97</v>
      </c>
      <c r="F165" s="44">
        <v>483771</v>
      </c>
      <c r="H165" s="44">
        <f t="shared" si="16"/>
        <v>483771</v>
      </c>
      <c r="L165" s="29" t="s">
        <v>10</v>
      </c>
      <c r="M165" s="29" t="s">
        <v>37</v>
      </c>
    </row>
    <row r="166" spans="1:13">
      <c r="A166" s="86">
        <v>44607</v>
      </c>
      <c r="B166" s="82">
        <f t="shared" si="15"/>
        <v>2</v>
      </c>
      <c r="C166">
        <f t="shared" si="14"/>
        <v>2022</v>
      </c>
      <c r="E166" s="84" t="s">
        <v>143</v>
      </c>
      <c r="F166" s="44">
        <v>437061.36600000004</v>
      </c>
      <c r="H166" s="44">
        <f t="shared" si="16"/>
        <v>437061.36600000004</v>
      </c>
      <c r="I166"/>
      <c r="M166" t="s">
        <v>10</v>
      </c>
    </row>
    <row r="167" spans="1:13">
      <c r="A167" s="86">
        <v>44607</v>
      </c>
      <c r="B167" s="82">
        <f t="shared" si="15"/>
        <v>2</v>
      </c>
      <c r="C167">
        <f t="shared" si="14"/>
        <v>2022</v>
      </c>
      <c r="E167" s="84" t="s">
        <v>90</v>
      </c>
      <c r="G167" s="44">
        <v>437061.36600000004</v>
      </c>
      <c r="H167" s="44">
        <f t="shared" si="16"/>
        <v>-437061.36600000004</v>
      </c>
      <c r="I167"/>
      <c r="M167" t="s">
        <v>10</v>
      </c>
    </row>
    <row r="168" spans="1:13">
      <c r="A168" s="86">
        <v>44607</v>
      </c>
      <c r="B168" s="82">
        <f t="shared" si="15"/>
        <v>2</v>
      </c>
      <c r="C168">
        <f t="shared" si="14"/>
        <v>2022</v>
      </c>
      <c r="E168" s="84" t="s">
        <v>98</v>
      </c>
      <c r="G168" s="44">
        <v>483771</v>
      </c>
      <c r="H168" s="44">
        <f t="shared" si="16"/>
        <v>-483771</v>
      </c>
      <c r="L168" s="29" t="s">
        <v>10</v>
      </c>
      <c r="M168" s="93" t="s">
        <v>37</v>
      </c>
    </row>
    <row r="169" spans="1:13">
      <c r="A169" s="86">
        <v>44609</v>
      </c>
      <c r="B169" s="82">
        <f t="shared" si="15"/>
        <v>2</v>
      </c>
      <c r="C169">
        <f t="shared" si="14"/>
        <v>2022</v>
      </c>
      <c r="E169" s="84" t="s">
        <v>97</v>
      </c>
      <c r="F169" s="44">
        <v>2424273</v>
      </c>
      <c r="H169" s="44">
        <f t="shared" si="16"/>
        <v>2424273</v>
      </c>
      <c r="L169" s="29" t="s">
        <v>14</v>
      </c>
      <c r="M169" s="29" t="s">
        <v>39</v>
      </c>
    </row>
    <row r="170" spans="1:13">
      <c r="A170" s="86">
        <v>44609</v>
      </c>
      <c r="B170" s="82">
        <f t="shared" si="15"/>
        <v>2</v>
      </c>
      <c r="C170">
        <f t="shared" si="14"/>
        <v>2022</v>
      </c>
      <c r="E170" s="84" t="s">
        <v>143</v>
      </c>
      <c r="F170" s="44">
        <v>2158609.2720000003</v>
      </c>
      <c r="H170" s="44">
        <f t="shared" si="16"/>
        <v>2158609.2720000003</v>
      </c>
      <c r="I170"/>
      <c r="M170" t="s">
        <v>14</v>
      </c>
    </row>
    <row r="171" spans="1:13">
      <c r="A171" s="86">
        <v>44609</v>
      </c>
      <c r="B171" s="82">
        <f t="shared" si="15"/>
        <v>2</v>
      </c>
      <c r="C171">
        <f t="shared" si="14"/>
        <v>2022</v>
      </c>
      <c r="E171" s="84" t="s">
        <v>91</v>
      </c>
      <c r="G171" s="44">
        <v>2158609.2720000003</v>
      </c>
      <c r="H171" s="44">
        <f t="shared" si="16"/>
        <v>-2158609.2720000003</v>
      </c>
      <c r="I171"/>
      <c r="M171" t="s">
        <v>14</v>
      </c>
    </row>
    <row r="172" spans="1:13">
      <c r="A172" s="86">
        <v>44609</v>
      </c>
      <c r="B172" s="82">
        <f t="shared" si="15"/>
        <v>2</v>
      </c>
      <c r="C172">
        <f t="shared" si="14"/>
        <v>2022</v>
      </c>
      <c r="E172" s="84" t="s">
        <v>98</v>
      </c>
      <c r="G172" s="44">
        <v>2424273</v>
      </c>
      <c r="H172" s="44">
        <f t="shared" si="16"/>
        <v>-2424273</v>
      </c>
      <c r="L172" s="29" t="s">
        <v>14</v>
      </c>
      <c r="M172" s="29" t="s">
        <v>39</v>
      </c>
    </row>
    <row r="173" spans="1:13">
      <c r="A173" s="86">
        <v>44610</v>
      </c>
      <c r="B173" s="82">
        <f t="shared" si="15"/>
        <v>2</v>
      </c>
      <c r="C173">
        <f t="shared" si="14"/>
        <v>2022</v>
      </c>
      <c r="E173" s="84" t="s">
        <v>97</v>
      </c>
      <c r="F173" s="44">
        <v>1348382</v>
      </c>
      <c r="H173" s="44">
        <f t="shared" si="16"/>
        <v>1348382</v>
      </c>
      <c r="L173" s="29" t="s">
        <v>10</v>
      </c>
      <c r="M173" s="29" t="s">
        <v>36</v>
      </c>
    </row>
    <row r="174" spans="1:13">
      <c r="A174" s="86">
        <v>44610</v>
      </c>
      <c r="B174" s="82">
        <f t="shared" si="15"/>
        <v>2</v>
      </c>
      <c r="C174">
        <f t="shared" si="14"/>
        <v>2022</v>
      </c>
      <c r="E174" s="84" t="s">
        <v>97</v>
      </c>
      <c r="F174" s="44">
        <v>1282260</v>
      </c>
      <c r="H174" s="44">
        <f t="shared" si="16"/>
        <v>1282260</v>
      </c>
      <c r="L174" s="29" t="s">
        <v>2</v>
      </c>
      <c r="M174" s="29" t="s">
        <v>33</v>
      </c>
    </row>
    <row r="175" spans="1:13">
      <c r="A175" s="86">
        <v>44610</v>
      </c>
      <c r="B175" s="82">
        <f t="shared" si="15"/>
        <v>2</v>
      </c>
      <c r="C175">
        <f t="shared" si="14"/>
        <v>2022</v>
      </c>
      <c r="E175" s="84" t="s">
        <v>143</v>
      </c>
      <c r="F175" s="44">
        <v>1168469.3160000001</v>
      </c>
      <c r="H175" s="44">
        <f t="shared" si="16"/>
        <v>1168469.3160000001</v>
      </c>
      <c r="I175"/>
      <c r="M175" t="s">
        <v>10</v>
      </c>
    </row>
    <row r="176" spans="1:13">
      <c r="A176" s="86">
        <v>44610</v>
      </c>
      <c r="B176" s="82">
        <f t="shared" si="15"/>
        <v>2</v>
      </c>
      <c r="C176">
        <f t="shared" si="14"/>
        <v>2022</v>
      </c>
      <c r="E176" s="84" t="s">
        <v>143</v>
      </c>
      <c r="F176" s="44">
        <v>699427.22999999986</v>
      </c>
      <c r="H176" s="44">
        <f t="shared" si="16"/>
        <v>699427.22999999986</v>
      </c>
      <c r="I176"/>
      <c r="M176" t="s">
        <v>2</v>
      </c>
    </row>
    <row r="177" spans="1:13">
      <c r="A177" s="86">
        <v>44610</v>
      </c>
      <c r="B177" s="82">
        <f t="shared" si="15"/>
        <v>2</v>
      </c>
      <c r="C177">
        <f t="shared" si="14"/>
        <v>2022</v>
      </c>
      <c r="E177" s="84" t="s">
        <v>89</v>
      </c>
      <c r="G177" s="44">
        <v>699427.22999999986</v>
      </c>
      <c r="H177" s="44">
        <f t="shared" si="16"/>
        <v>-699427.22999999986</v>
      </c>
      <c r="I177"/>
      <c r="M177" t="s">
        <v>2</v>
      </c>
    </row>
    <row r="178" spans="1:13">
      <c r="A178" s="86">
        <v>44610</v>
      </c>
      <c r="B178" s="82">
        <f t="shared" si="15"/>
        <v>2</v>
      </c>
      <c r="C178">
        <f t="shared" si="14"/>
        <v>2022</v>
      </c>
      <c r="E178" s="84" t="s">
        <v>90</v>
      </c>
      <c r="G178" s="44">
        <v>1168469.3160000001</v>
      </c>
      <c r="H178" s="44">
        <f t="shared" si="16"/>
        <v>-1168469.3160000001</v>
      </c>
      <c r="I178"/>
      <c r="M178" t="s">
        <v>10</v>
      </c>
    </row>
    <row r="179" spans="1:13">
      <c r="A179" s="86">
        <v>44610</v>
      </c>
      <c r="B179" s="82">
        <f t="shared" si="15"/>
        <v>2</v>
      </c>
      <c r="C179">
        <f t="shared" si="14"/>
        <v>2022</v>
      </c>
      <c r="E179" s="84" t="s">
        <v>98</v>
      </c>
      <c r="G179" s="44">
        <v>1348382</v>
      </c>
      <c r="H179" s="44">
        <f t="shared" si="16"/>
        <v>-1348382</v>
      </c>
      <c r="L179" s="29" t="s">
        <v>10</v>
      </c>
      <c r="M179" s="93" t="s">
        <v>36</v>
      </c>
    </row>
    <row r="180" spans="1:13">
      <c r="A180" s="86">
        <v>44610</v>
      </c>
      <c r="B180" s="82">
        <f t="shared" si="15"/>
        <v>2</v>
      </c>
      <c r="C180">
        <f t="shared" si="14"/>
        <v>2022</v>
      </c>
      <c r="E180" s="84" t="s">
        <v>98</v>
      </c>
      <c r="G180" s="44">
        <v>1282260</v>
      </c>
      <c r="H180" s="44">
        <f t="shared" si="16"/>
        <v>-1282260</v>
      </c>
      <c r="L180" s="29" t="s">
        <v>2</v>
      </c>
      <c r="M180" s="93" t="s">
        <v>33</v>
      </c>
    </row>
    <row r="181" spans="1:13">
      <c r="A181" s="86">
        <v>44611</v>
      </c>
      <c r="B181" s="82">
        <f t="shared" si="15"/>
        <v>2</v>
      </c>
      <c r="C181">
        <f t="shared" si="14"/>
        <v>2022</v>
      </c>
      <c r="E181" s="84" t="s">
        <v>97</v>
      </c>
      <c r="F181" s="44">
        <v>2014920</v>
      </c>
      <c r="H181" s="44">
        <f t="shared" si="16"/>
        <v>2014920</v>
      </c>
      <c r="L181" s="29" t="s">
        <v>2</v>
      </c>
      <c r="M181" s="29" t="s">
        <v>35</v>
      </c>
    </row>
    <row r="182" spans="1:13">
      <c r="A182" s="86">
        <v>44611</v>
      </c>
      <c r="B182" s="82">
        <f t="shared" si="15"/>
        <v>2</v>
      </c>
      <c r="C182">
        <f t="shared" si="14"/>
        <v>2022</v>
      </c>
      <c r="E182" s="84" t="s">
        <v>143</v>
      </c>
      <c r="F182" s="44">
        <v>1095057.5799999998</v>
      </c>
      <c r="H182" s="44">
        <f t="shared" si="16"/>
        <v>1095057.5799999998</v>
      </c>
      <c r="I182"/>
      <c r="M182" t="s">
        <v>2</v>
      </c>
    </row>
    <row r="183" spans="1:13">
      <c r="A183" s="86">
        <v>44611</v>
      </c>
      <c r="B183" s="82">
        <f t="shared" si="15"/>
        <v>2</v>
      </c>
      <c r="C183">
        <f t="shared" si="14"/>
        <v>2022</v>
      </c>
      <c r="E183" s="84" t="s">
        <v>89</v>
      </c>
      <c r="G183" s="44">
        <v>1095057.5799999998</v>
      </c>
      <c r="H183" s="44">
        <f t="shared" si="16"/>
        <v>-1095057.5799999998</v>
      </c>
      <c r="I183"/>
      <c r="M183" t="s">
        <v>2</v>
      </c>
    </row>
    <row r="184" spans="1:13">
      <c r="A184" s="86">
        <v>44611</v>
      </c>
      <c r="B184" s="82">
        <f t="shared" si="15"/>
        <v>2</v>
      </c>
      <c r="C184">
        <f t="shared" si="14"/>
        <v>2022</v>
      </c>
      <c r="E184" s="84" t="s">
        <v>98</v>
      </c>
      <c r="G184" s="44">
        <v>2014920</v>
      </c>
      <c r="H184" s="44">
        <f t="shared" si="16"/>
        <v>-2014920</v>
      </c>
      <c r="L184" s="29" t="s">
        <v>2</v>
      </c>
      <c r="M184" s="93" t="s">
        <v>35</v>
      </c>
    </row>
    <row r="185" spans="1:13">
      <c r="A185" s="86">
        <v>44613</v>
      </c>
      <c r="B185" s="82">
        <f t="shared" si="15"/>
        <v>2</v>
      </c>
      <c r="C185">
        <f t="shared" si="14"/>
        <v>2022</v>
      </c>
      <c r="E185" s="84" t="s">
        <v>97</v>
      </c>
      <c r="F185" s="44">
        <v>1025715</v>
      </c>
      <c r="H185" s="44">
        <f t="shared" si="16"/>
        <v>1025715</v>
      </c>
      <c r="L185" s="29" t="s">
        <v>2</v>
      </c>
      <c r="M185" s="29" t="s">
        <v>31</v>
      </c>
    </row>
    <row r="186" spans="1:13">
      <c r="A186" s="86">
        <v>44613</v>
      </c>
      <c r="B186" s="82">
        <f t="shared" si="15"/>
        <v>2</v>
      </c>
      <c r="C186">
        <f t="shared" si="14"/>
        <v>2022</v>
      </c>
      <c r="E186" s="84" t="s">
        <v>97</v>
      </c>
      <c r="F186" s="44">
        <v>1502664</v>
      </c>
      <c r="H186" s="44">
        <f t="shared" si="16"/>
        <v>1502664</v>
      </c>
      <c r="L186" s="29" t="s">
        <v>2</v>
      </c>
      <c r="M186" s="29" t="s">
        <v>34</v>
      </c>
    </row>
    <row r="187" spans="1:13">
      <c r="A187" s="86">
        <v>44613</v>
      </c>
      <c r="B187" s="82">
        <f t="shared" si="15"/>
        <v>2</v>
      </c>
      <c r="C187">
        <f t="shared" si="14"/>
        <v>2022</v>
      </c>
      <c r="E187" s="84" t="s">
        <v>143</v>
      </c>
      <c r="F187" s="44">
        <v>693000.87</v>
      </c>
      <c r="H187" s="44">
        <f t="shared" si="16"/>
        <v>693000.87</v>
      </c>
      <c r="I187"/>
      <c r="M187" t="s">
        <v>2</v>
      </c>
    </row>
    <row r="188" spans="1:13">
      <c r="A188" s="86">
        <v>44613</v>
      </c>
      <c r="B188" s="82">
        <f t="shared" si="15"/>
        <v>2</v>
      </c>
      <c r="C188">
        <f t="shared" si="14"/>
        <v>2022</v>
      </c>
      <c r="E188" s="84" t="s">
        <v>143</v>
      </c>
      <c r="F188" s="44">
        <v>1012264.2059999998</v>
      </c>
      <c r="H188" s="44">
        <f t="shared" si="16"/>
        <v>1012264.2059999998</v>
      </c>
      <c r="I188"/>
      <c r="M188" t="s">
        <v>2</v>
      </c>
    </row>
    <row r="189" spans="1:13">
      <c r="A189" s="86">
        <v>44613</v>
      </c>
      <c r="B189" s="82">
        <f t="shared" si="15"/>
        <v>2</v>
      </c>
      <c r="C189">
        <f t="shared" si="14"/>
        <v>2022</v>
      </c>
      <c r="E189" s="84" t="s">
        <v>89</v>
      </c>
      <c r="G189" s="44">
        <v>693000.87</v>
      </c>
      <c r="H189" s="44">
        <f t="shared" si="16"/>
        <v>-693000.87</v>
      </c>
      <c r="I189"/>
      <c r="M189" t="s">
        <v>2</v>
      </c>
    </row>
    <row r="190" spans="1:13">
      <c r="A190" s="86">
        <v>44613</v>
      </c>
      <c r="B190" s="82">
        <f t="shared" si="15"/>
        <v>2</v>
      </c>
      <c r="C190">
        <f t="shared" si="14"/>
        <v>2022</v>
      </c>
      <c r="E190" s="84" t="s">
        <v>89</v>
      </c>
      <c r="G190" s="44">
        <v>1012264.2059999998</v>
      </c>
      <c r="H190" s="44">
        <f t="shared" si="16"/>
        <v>-1012264.2059999998</v>
      </c>
      <c r="I190"/>
      <c r="M190" t="s">
        <v>2</v>
      </c>
    </row>
    <row r="191" spans="1:13">
      <c r="A191" s="86">
        <v>44613</v>
      </c>
      <c r="B191" s="82">
        <f t="shared" si="15"/>
        <v>2</v>
      </c>
      <c r="C191">
        <f t="shared" si="14"/>
        <v>2022</v>
      </c>
      <c r="E191" s="84" t="s">
        <v>98</v>
      </c>
      <c r="G191" s="44">
        <v>1025715</v>
      </c>
      <c r="H191" s="44">
        <f t="shared" si="16"/>
        <v>-1025715</v>
      </c>
      <c r="L191" s="29" t="s">
        <v>2</v>
      </c>
      <c r="M191" s="93" t="s">
        <v>31</v>
      </c>
    </row>
    <row r="192" spans="1:13">
      <c r="A192" s="86">
        <v>44613</v>
      </c>
      <c r="B192" s="82">
        <f t="shared" si="15"/>
        <v>2</v>
      </c>
      <c r="C192">
        <f t="shared" si="14"/>
        <v>2022</v>
      </c>
      <c r="E192" s="84" t="s">
        <v>98</v>
      </c>
      <c r="G192" s="44">
        <v>1502664</v>
      </c>
      <c r="H192" s="44">
        <f t="shared" si="16"/>
        <v>-1502664</v>
      </c>
      <c r="L192" s="29" t="s">
        <v>2</v>
      </c>
      <c r="M192" s="93" t="s">
        <v>34</v>
      </c>
    </row>
    <row r="193" spans="1:13">
      <c r="A193" s="86">
        <v>44617</v>
      </c>
      <c r="B193" s="82">
        <f t="shared" si="15"/>
        <v>2</v>
      </c>
      <c r="C193">
        <f t="shared" si="14"/>
        <v>2022</v>
      </c>
      <c r="D193" s="86"/>
      <c r="E193" s="84" t="s">
        <v>68</v>
      </c>
      <c r="F193" s="44">
        <v>760000</v>
      </c>
      <c r="H193" s="44">
        <f t="shared" si="16"/>
        <v>760000</v>
      </c>
      <c r="J193" s="49"/>
      <c r="L193" t="s">
        <v>3</v>
      </c>
      <c r="M193" s="44" t="s">
        <v>123</v>
      </c>
    </row>
    <row r="194" spans="1:13">
      <c r="A194" s="86">
        <v>44617</v>
      </c>
      <c r="B194" s="82">
        <f t="shared" si="15"/>
        <v>2</v>
      </c>
      <c r="C194">
        <f t="shared" si="14"/>
        <v>2022</v>
      </c>
      <c r="D194" s="86"/>
      <c r="E194" s="331" t="s">
        <v>150</v>
      </c>
      <c r="G194" s="44">
        <v>760000</v>
      </c>
      <c r="H194" s="44">
        <f t="shared" si="16"/>
        <v>-760000</v>
      </c>
      <c r="L194" t="s">
        <v>3</v>
      </c>
      <c r="M194" s="44" t="s">
        <v>123</v>
      </c>
    </row>
    <row r="195" spans="1:13">
      <c r="A195" s="86">
        <v>44618</v>
      </c>
      <c r="B195" s="82">
        <f t="shared" si="15"/>
        <v>2</v>
      </c>
      <c r="C195">
        <f t="shared" si="14"/>
        <v>2022</v>
      </c>
      <c r="E195" s="84" t="s">
        <v>97</v>
      </c>
      <c r="F195" s="44">
        <v>1827738</v>
      </c>
      <c r="H195" s="44">
        <f t="shared" si="16"/>
        <v>1827738</v>
      </c>
      <c r="L195" s="29" t="s">
        <v>2</v>
      </c>
      <c r="M195" s="29" t="s">
        <v>32</v>
      </c>
    </row>
    <row r="196" spans="1:13">
      <c r="A196" s="86">
        <v>44618</v>
      </c>
      <c r="B196" s="82">
        <f t="shared" si="15"/>
        <v>2</v>
      </c>
      <c r="C196">
        <f t="shared" si="14"/>
        <v>2022</v>
      </c>
      <c r="E196" s="84" t="s">
        <v>143</v>
      </c>
      <c r="F196" s="44">
        <v>1103898.3660000002</v>
      </c>
      <c r="H196" s="44">
        <f t="shared" si="16"/>
        <v>1103898.3660000002</v>
      </c>
      <c r="I196"/>
      <c r="M196" t="s">
        <v>2</v>
      </c>
    </row>
    <row r="197" spans="1:13">
      <c r="A197" s="86">
        <v>44618</v>
      </c>
      <c r="B197" s="82">
        <f t="shared" si="15"/>
        <v>2</v>
      </c>
      <c r="C197">
        <f t="shared" si="14"/>
        <v>2022</v>
      </c>
      <c r="E197" s="84" t="s">
        <v>89</v>
      </c>
      <c r="G197" s="44">
        <v>1103898.3660000002</v>
      </c>
      <c r="H197" s="44">
        <f t="shared" si="16"/>
        <v>-1103898.3660000002</v>
      </c>
      <c r="I197"/>
      <c r="M197" t="s">
        <v>2</v>
      </c>
    </row>
    <row r="198" spans="1:13">
      <c r="A198" s="86">
        <v>44618</v>
      </c>
      <c r="B198" s="82">
        <f t="shared" si="15"/>
        <v>2</v>
      </c>
      <c r="C198">
        <f t="shared" si="14"/>
        <v>2022</v>
      </c>
      <c r="E198" s="84" t="s">
        <v>98</v>
      </c>
      <c r="G198" s="44">
        <v>1827738</v>
      </c>
      <c r="H198" s="44">
        <f t="shared" si="16"/>
        <v>-1827738</v>
      </c>
      <c r="L198" s="29" t="s">
        <v>2</v>
      </c>
      <c r="M198" s="93" t="s">
        <v>32</v>
      </c>
    </row>
    <row r="199" spans="1:13">
      <c r="A199" s="86">
        <v>44606</v>
      </c>
      <c r="B199" s="82">
        <f t="shared" si="15"/>
        <v>2</v>
      </c>
      <c r="C199">
        <f t="shared" si="14"/>
        <v>2022</v>
      </c>
      <c r="E199" s="84" t="s">
        <v>97</v>
      </c>
      <c r="F199" s="44">
        <v>273400</v>
      </c>
      <c r="H199" s="44">
        <f t="shared" si="16"/>
        <v>273400</v>
      </c>
      <c r="L199" s="29" t="s">
        <v>14</v>
      </c>
      <c r="M199" s="29" t="s">
        <v>40</v>
      </c>
    </row>
    <row r="200" spans="1:13">
      <c r="A200" s="86">
        <v>44620</v>
      </c>
      <c r="B200" s="82">
        <f t="shared" si="15"/>
        <v>2</v>
      </c>
      <c r="C200">
        <f t="shared" si="14"/>
        <v>2022</v>
      </c>
      <c r="E200" s="84" t="s">
        <v>155</v>
      </c>
      <c r="F200" s="44">
        <v>790258</v>
      </c>
      <c r="H200" s="44">
        <f t="shared" si="16"/>
        <v>790258</v>
      </c>
      <c r="M200"/>
    </row>
    <row r="201" spans="1:13">
      <c r="A201" s="86">
        <v>44620</v>
      </c>
      <c r="B201" s="82">
        <f t="shared" si="15"/>
        <v>2</v>
      </c>
      <c r="C201">
        <f t="shared" si="14"/>
        <v>2022</v>
      </c>
      <c r="D201" s="86"/>
      <c r="E201" s="331" t="s">
        <v>150</v>
      </c>
      <c r="G201" s="44">
        <v>199196.098</v>
      </c>
      <c r="H201" s="44">
        <f t="shared" si="16"/>
        <v>-199196.098</v>
      </c>
      <c r="M201"/>
    </row>
    <row r="202" spans="1:13">
      <c r="A202" s="86">
        <v>44620</v>
      </c>
      <c r="B202" s="82">
        <f t="shared" si="15"/>
        <v>2</v>
      </c>
      <c r="C202">
        <f t="shared" si="14"/>
        <v>2022</v>
      </c>
      <c r="E202" s="331" t="s">
        <v>150</v>
      </c>
      <c r="F202" s="44">
        <v>601126</v>
      </c>
      <c r="H202" s="44">
        <f t="shared" si="16"/>
        <v>601126</v>
      </c>
      <c r="L202" s="29" t="s">
        <v>14</v>
      </c>
      <c r="M202" s="29" t="s">
        <v>40</v>
      </c>
    </row>
    <row r="203" spans="1:13">
      <c r="A203" s="86">
        <v>44620</v>
      </c>
      <c r="B203" s="82">
        <f t="shared" si="15"/>
        <v>2</v>
      </c>
      <c r="C203">
        <f t="shared" si="14"/>
        <v>2022</v>
      </c>
      <c r="E203" s="331" t="s">
        <v>150</v>
      </c>
      <c r="G203" s="44">
        <v>938597</v>
      </c>
      <c r="H203" s="44">
        <f t="shared" si="16"/>
        <v>-938597</v>
      </c>
      <c r="M203"/>
    </row>
    <row r="204" spans="1:13">
      <c r="A204" s="86">
        <v>44620</v>
      </c>
      <c r="B204" s="82">
        <f t="shared" si="15"/>
        <v>2</v>
      </c>
      <c r="C204">
        <f t="shared" si="14"/>
        <v>2022</v>
      </c>
      <c r="E204" s="331" t="s">
        <v>150</v>
      </c>
      <c r="G204" s="44">
        <v>783888</v>
      </c>
      <c r="H204" s="44">
        <f t="shared" si="16"/>
        <v>-783888</v>
      </c>
      <c r="M204"/>
    </row>
    <row r="205" spans="1:13">
      <c r="A205" s="86">
        <v>44620</v>
      </c>
      <c r="B205" s="82">
        <f t="shared" si="15"/>
        <v>2</v>
      </c>
      <c r="C205">
        <f t="shared" ref="C205:C268" si="17">YEAR(A205)</f>
        <v>2022</v>
      </c>
      <c r="E205" s="331" t="s">
        <v>150</v>
      </c>
      <c r="G205" s="44">
        <v>790258</v>
      </c>
      <c r="H205" s="44">
        <f t="shared" si="16"/>
        <v>-790258</v>
      </c>
      <c r="M205"/>
    </row>
    <row r="206" spans="1:13">
      <c r="A206" s="86">
        <v>44620</v>
      </c>
      <c r="B206" s="82">
        <f t="shared" si="15"/>
        <v>2</v>
      </c>
      <c r="C206">
        <f t="shared" si="17"/>
        <v>2022</v>
      </c>
      <c r="E206" s="331" t="s">
        <v>150</v>
      </c>
      <c r="F206" s="44">
        <v>1229651</v>
      </c>
      <c r="H206" s="44">
        <f t="shared" si="16"/>
        <v>1229651</v>
      </c>
      <c r="M206"/>
    </row>
    <row r="207" spans="1:13">
      <c r="A207" s="86">
        <v>44620</v>
      </c>
      <c r="B207" s="82">
        <f t="shared" si="15"/>
        <v>2</v>
      </c>
      <c r="C207">
        <f t="shared" si="17"/>
        <v>2022</v>
      </c>
      <c r="E207" s="331" t="s">
        <v>150</v>
      </c>
      <c r="G207" s="44">
        <v>1206806</v>
      </c>
      <c r="H207" s="44">
        <f t="shared" si="16"/>
        <v>-1206806</v>
      </c>
      <c r="M207"/>
    </row>
    <row r="208" spans="1:13">
      <c r="A208" s="86">
        <v>44620</v>
      </c>
      <c r="B208" s="82">
        <f t="shared" si="15"/>
        <v>2</v>
      </c>
      <c r="C208">
        <f t="shared" si="17"/>
        <v>2022</v>
      </c>
      <c r="E208" s="84" t="s">
        <v>154</v>
      </c>
      <c r="F208" s="44">
        <v>783888</v>
      </c>
      <c r="H208" s="44">
        <f t="shared" si="16"/>
        <v>783888</v>
      </c>
      <c r="M208"/>
    </row>
    <row r="209" spans="1:13">
      <c r="A209" s="86">
        <v>44620</v>
      </c>
      <c r="B209" s="82">
        <f t="shared" si="15"/>
        <v>2</v>
      </c>
      <c r="C209">
        <f t="shared" si="17"/>
        <v>2022</v>
      </c>
      <c r="E209" s="84" t="s">
        <v>159</v>
      </c>
      <c r="F209" s="44">
        <v>1206806</v>
      </c>
      <c r="H209" s="44">
        <f t="shared" si="16"/>
        <v>1206806</v>
      </c>
      <c r="M209"/>
    </row>
    <row r="210" spans="1:13">
      <c r="A210" s="86">
        <v>44620</v>
      </c>
      <c r="B210" s="82">
        <f t="shared" si="15"/>
        <v>2</v>
      </c>
      <c r="C210">
        <f t="shared" si="17"/>
        <v>2022</v>
      </c>
      <c r="E210" s="84" t="s">
        <v>158</v>
      </c>
      <c r="G210" s="44">
        <v>1229651</v>
      </c>
      <c r="H210" s="44">
        <f t="shared" si="16"/>
        <v>-1229651</v>
      </c>
      <c r="M210"/>
    </row>
    <row r="211" spans="1:13">
      <c r="A211" s="86">
        <v>44620</v>
      </c>
      <c r="B211" s="82">
        <f t="shared" si="15"/>
        <v>2</v>
      </c>
      <c r="C211">
        <f t="shared" si="17"/>
        <v>2022</v>
      </c>
      <c r="E211" s="84" t="s">
        <v>157</v>
      </c>
      <c r="F211" s="44">
        <v>938597</v>
      </c>
      <c r="H211" s="44">
        <f t="shared" si="16"/>
        <v>938597</v>
      </c>
      <c r="M211"/>
    </row>
    <row r="212" spans="1:13">
      <c r="A212" s="86">
        <v>44620</v>
      </c>
      <c r="B212" s="82">
        <f t="shared" si="15"/>
        <v>2</v>
      </c>
      <c r="C212">
        <f t="shared" si="17"/>
        <v>2022</v>
      </c>
      <c r="D212" s="86"/>
      <c r="E212" s="84" t="s">
        <v>146</v>
      </c>
      <c r="F212" s="44">
        <v>199196.098</v>
      </c>
      <c r="H212" s="44">
        <f t="shared" si="16"/>
        <v>199196.098</v>
      </c>
      <c r="M212"/>
    </row>
    <row r="213" spans="1:13">
      <c r="A213" s="86">
        <v>44621</v>
      </c>
      <c r="B213" s="82">
        <f t="shared" si="15"/>
        <v>3</v>
      </c>
      <c r="C213">
        <f t="shared" si="17"/>
        <v>2022</v>
      </c>
      <c r="D213" s="86"/>
      <c r="E213" s="84" t="s">
        <v>97</v>
      </c>
      <c r="G213" s="44">
        <v>644640</v>
      </c>
      <c r="H213" s="44">
        <f t="shared" si="16"/>
        <v>-644640</v>
      </c>
      <c r="L213" s="29" t="s">
        <v>10</v>
      </c>
      <c r="M213" s="29" t="s">
        <v>36</v>
      </c>
    </row>
    <row r="214" spans="1:13">
      <c r="A214" s="86">
        <v>44621</v>
      </c>
      <c r="B214" s="82">
        <f t="shared" si="15"/>
        <v>3</v>
      </c>
      <c r="C214">
        <f t="shared" si="17"/>
        <v>2022</v>
      </c>
      <c r="E214" s="84" t="s">
        <v>150</v>
      </c>
      <c r="F214" s="44">
        <v>644640</v>
      </c>
      <c r="H214" s="44">
        <f t="shared" si="16"/>
        <v>644640</v>
      </c>
      <c r="L214" s="29" t="s">
        <v>10</v>
      </c>
      <c r="M214" s="29" t="s">
        <v>36</v>
      </c>
    </row>
    <row r="215" spans="1:13">
      <c r="A215" s="86">
        <v>44621</v>
      </c>
      <c r="B215" s="82">
        <f t="shared" ref="B215:B278" si="18">MONTH(A215)</f>
        <v>3</v>
      </c>
      <c r="C215">
        <f t="shared" si="17"/>
        <v>2022</v>
      </c>
      <c r="E215" s="44" t="s">
        <v>191</v>
      </c>
      <c r="F215" s="44">
        <v>6455000</v>
      </c>
      <c r="H215" s="44">
        <f t="shared" ref="H215:H278" si="19">F215-G215</f>
        <v>6455000</v>
      </c>
      <c r="M215"/>
    </row>
    <row r="216" spans="1:13">
      <c r="A216" s="86">
        <v>44621</v>
      </c>
      <c r="B216" s="82">
        <f t="shared" si="18"/>
        <v>3</v>
      </c>
      <c r="C216">
        <f t="shared" si="17"/>
        <v>2022</v>
      </c>
      <c r="E216" s="44" t="s">
        <v>190</v>
      </c>
      <c r="F216" s="44">
        <v>9045000</v>
      </c>
      <c r="H216" s="44">
        <f t="shared" si="19"/>
        <v>9045000</v>
      </c>
      <c r="M216"/>
    </row>
    <row r="217" spans="1:13">
      <c r="A217" s="86">
        <v>44621</v>
      </c>
      <c r="B217" s="82">
        <f t="shared" si="18"/>
        <v>3</v>
      </c>
      <c r="C217">
        <f t="shared" si="17"/>
        <v>2022</v>
      </c>
      <c r="E217" t="s">
        <v>189</v>
      </c>
      <c r="F217" s="44">
        <v>45000000</v>
      </c>
      <c r="H217" s="44">
        <f t="shared" si="19"/>
        <v>45000000</v>
      </c>
      <c r="M217"/>
    </row>
    <row r="218" spans="1:13">
      <c r="A218" s="86">
        <v>44621</v>
      </c>
      <c r="B218" s="82">
        <f t="shared" si="18"/>
        <v>3</v>
      </c>
      <c r="C218">
        <f t="shared" si="17"/>
        <v>2022</v>
      </c>
      <c r="E218" s="44" t="s">
        <v>156</v>
      </c>
      <c r="G218" s="44">
        <v>50000000</v>
      </c>
      <c r="H218" s="44">
        <f t="shared" si="19"/>
        <v>-50000000</v>
      </c>
      <c r="M218"/>
    </row>
    <row r="219" spans="1:13">
      <c r="A219" s="86">
        <v>44621</v>
      </c>
      <c r="B219" s="82">
        <f t="shared" si="18"/>
        <v>3</v>
      </c>
      <c r="C219">
        <f t="shared" si="17"/>
        <v>2022</v>
      </c>
      <c r="E219" s="44" t="s">
        <v>192</v>
      </c>
      <c r="G219" s="44">
        <v>10500000</v>
      </c>
      <c r="H219" s="44">
        <f t="shared" si="19"/>
        <v>-10500000</v>
      </c>
      <c r="M219"/>
    </row>
    <row r="220" spans="1:13">
      <c r="A220" s="86">
        <v>44624</v>
      </c>
      <c r="B220" s="82">
        <f t="shared" si="18"/>
        <v>3</v>
      </c>
      <c r="C220">
        <f t="shared" si="17"/>
        <v>2022</v>
      </c>
      <c r="D220" s="86"/>
      <c r="E220" s="84" t="s">
        <v>68</v>
      </c>
      <c r="G220" s="44">
        <v>760000</v>
      </c>
      <c r="H220" s="44">
        <f t="shared" si="19"/>
        <v>-760000</v>
      </c>
      <c r="L220" t="s">
        <v>3</v>
      </c>
      <c r="M220" s="44" t="s">
        <v>123</v>
      </c>
    </row>
    <row r="221" spans="1:13">
      <c r="A221" s="86">
        <v>44624</v>
      </c>
      <c r="B221" s="82">
        <f t="shared" si="18"/>
        <v>3</v>
      </c>
      <c r="C221">
        <f t="shared" si="17"/>
        <v>2022</v>
      </c>
      <c r="D221" s="86"/>
      <c r="E221" s="84" t="s">
        <v>68</v>
      </c>
      <c r="G221" s="44">
        <v>855000</v>
      </c>
      <c r="H221" s="44">
        <f t="shared" si="19"/>
        <v>-855000</v>
      </c>
      <c r="L221" t="s">
        <v>4</v>
      </c>
      <c r="M221" s="44" t="s">
        <v>123</v>
      </c>
    </row>
    <row r="222" spans="1:13">
      <c r="A222" s="86">
        <v>44624</v>
      </c>
      <c r="B222" s="82">
        <f t="shared" si="18"/>
        <v>3</v>
      </c>
      <c r="C222">
        <f t="shared" si="17"/>
        <v>2022</v>
      </c>
      <c r="D222" s="86"/>
      <c r="E222" s="84" t="s">
        <v>68</v>
      </c>
      <c r="G222" s="44">
        <v>2000000</v>
      </c>
      <c r="H222" s="44">
        <f t="shared" si="19"/>
        <v>-2000000</v>
      </c>
      <c r="L222" t="s">
        <v>5</v>
      </c>
      <c r="M222" s="44" t="s">
        <v>123</v>
      </c>
    </row>
    <row r="223" spans="1:13">
      <c r="A223" s="86">
        <v>44624</v>
      </c>
      <c r="B223" s="82">
        <f t="shared" si="18"/>
        <v>3</v>
      </c>
      <c r="C223">
        <f t="shared" si="17"/>
        <v>2022</v>
      </c>
      <c r="D223" s="86"/>
      <c r="E223" s="84" t="s">
        <v>68</v>
      </c>
      <c r="G223" s="44">
        <v>1980000</v>
      </c>
      <c r="H223" s="44">
        <f t="shared" si="19"/>
        <v>-1980000</v>
      </c>
      <c r="L223" t="s">
        <v>6</v>
      </c>
      <c r="M223" s="44" t="s">
        <v>124</v>
      </c>
    </row>
    <row r="224" spans="1:13">
      <c r="A224" s="86">
        <v>44624</v>
      </c>
      <c r="B224" s="82">
        <f t="shared" si="18"/>
        <v>3</v>
      </c>
      <c r="C224">
        <f t="shared" si="17"/>
        <v>2022</v>
      </c>
      <c r="D224" s="86"/>
      <c r="E224" s="84" t="s">
        <v>68</v>
      </c>
      <c r="G224" s="44">
        <v>1020000</v>
      </c>
      <c r="H224" s="44">
        <f t="shared" si="19"/>
        <v>-1020000</v>
      </c>
      <c r="L224" t="s">
        <v>11</v>
      </c>
      <c r="M224" s="44" t="s">
        <v>125</v>
      </c>
    </row>
    <row r="225" spans="1:15">
      <c r="A225" s="86">
        <v>44624</v>
      </c>
      <c r="B225" s="82">
        <f t="shared" si="18"/>
        <v>3</v>
      </c>
      <c r="C225">
        <f t="shared" si="17"/>
        <v>2022</v>
      </c>
      <c r="D225" s="86"/>
      <c r="E225" s="84" t="s">
        <v>68</v>
      </c>
      <c r="G225" s="44">
        <v>3300000</v>
      </c>
      <c r="H225" s="44">
        <f t="shared" si="19"/>
        <v>-3300000</v>
      </c>
      <c r="L225" t="s">
        <v>12</v>
      </c>
      <c r="M225" s="44" t="s">
        <v>125</v>
      </c>
    </row>
    <row r="226" spans="1:15">
      <c r="A226" s="86">
        <v>44624</v>
      </c>
      <c r="B226" s="82">
        <f t="shared" si="18"/>
        <v>3</v>
      </c>
      <c r="C226">
        <f t="shared" si="17"/>
        <v>2022</v>
      </c>
      <c r="D226" s="86"/>
      <c r="E226" s="84" t="s">
        <v>67</v>
      </c>
      <c r="F226" s="44">
        <v>760000</v>
      </c>
      <c r="H226" s="44">
        <f t="shared" si="19"/>
        <v>760000</v>
      </c>
      <c r="L226" t="s">
        <v>3</v>
      </c>
      <c r="M226" s="44" t="s">
        <v>123</v>
      </c>
    </row>
    <row r="227" spans="1:15">
      <c r="A227" s="86">
        <v>44624</v>
      </c>
      <c r="B227" s="82">
        <f t="shared" si="18"/>
        <v>3</v>
      </c>
      <c r="C227">
        <f t="shared" si="17"/>
        <v>2022</v>
      </c>
      <c r="D227" s="86"/>
      <c r="E227" s="84" t="s">
        <v>67</v>
      </c>
      <c r="F227" s="44">
        <v>855000</v>
      </c>
      <c r="H227" s="44">
        <f t="shared" si="19"/>
        <v>855000</v>
      </c>
      <c r="L227" t="s">
        <v>4</v>
      </c>
      <c r="M227" s="44" t="s">
        <v>123</v>
      </c>
    </row>
    <row r="228" spans="1:15">
      <c r="A228" s="86">
        <v>44624</v>
      </c>
      <c r="B228" s="82">
        <f t="shared" si="18"/>
        <v>3</v>
      </c>
      <c r="C228">
        <f t="shared" si="17"/>
        <v>2022</v>
      </c>
      <c r="D228" s="86"/>
      <c r="E228" s="84" t="s">
        <v>67</v>
      </c>
      <c r="F228" s="44">
        <v>2000000</v>
      </c>
      <c r="H228" s="44">
        <f t="shared" si="19"/>
        <v>2000000</v>
      </c>
      <c r="L228" t="s">
        <v>5</v>
      </c>
      <c r="M228" s="44" t="s">
        <v>123</v>
      </c>
    </row>
    <row r="229" spans="1:15">
      <c r="A229" s="86">
        <v>44624</v>
      </c>
      <c r="B229" s="82">
        <f t="shared" si="18"/>
        <v>3</v>
      </c>
      <c r="C229">
        <f t="shared" si="17"/>
        <v>2022</v>
      </c>
      <c r="D229" s="86"/>
      <c r="E229" s="84" t="s">
        <v>67</v>
      </c>
      <c r="F229" s="44">
        <v>1980000</v>
      </c>
      <c r="H229" s="44">
        <f t="shared" si="19"/>
        <v>1980000</v>
      </c>
      <c r="L229" t="s">
        <v>6</v>
      </c>
      <c r="M229" s="44" t="s">
        <v>124</v>
      </c>
    </row>
    <row r="230" spans="1:15">
      <c r="A230" s="86">
        <v>44624</v>
      </c>
      <c r="B230" s="82">
        <f t="shared" si="18"/>
        <v>3</v>
      </c>
      <c r="C230">
        <f t="shared" si="17"/>
        <v>2022</v>
      </c>
      <c r="D230" s="86"/>
      <c r="E230" s="84" t="s">
        <v>67</v>
      </c>
      <c r="F230" s="44">
        <v>1020000</v>
      </c>
      <c r="H230" s="44">
        <f t="shared" si="19"/>
        <v>1020000</v>
      </c>
      <c r="L230" t="s">
        <v>11</v>
      </c>
      <c r="M230" s="44" t="s">
        <v>125</v>
      </c>
    </row>
    <row r="231" spans="1:15">
      <c r="A231" s="86">
        <v>44624</v>
      </c>
      <c r="B231" s="82">
        <f t="shared" si="18"/>
        <v>3</v>
      </c>
      <c r="C231">
        <f t="shared" si="17"/>
        <v>2022</v>
      </c>
      <c r="D231" s="86"/>
      <c r="E231" s="84" t="s">
        <v>67</v>
      </c>
      <c r="F231" s="44">
        <v>3300000</v>
      </c>
      <c r="H231" s="44">
        <f t="shared" si="19"/>
        <v>3300000</v>
      </c>
      <c r="L231" t="s">
        <v>12</v>
      </c>
      <c r="M231" s="44" t="s">
        <v>125</v>
      </c>
    </row>
    <row r="232" spans="1:15">
      <c r="A232" s="86">
        <v>44631</v>
      </c>
      <c r="B232" s="82">
        <f t="shared" si="18"/>
        <v>3</v>
      </c>
      <c r="C232">
        <f t="shared" si="17"/>
        <v>2022</v>
      </c>
      <c r="E232" s="84" t="s">
        <v>81</v>
      </c>
      <c r="F232" s="44">
        <v>404875.6</v>
      </c>
      <c r="H232" s="44">
        <f t="shared" si="19"/>
        <v>404875.6</v>
      </c>
      <c r="L232" t="str">
        <f>VLOOKUP(M232,Reference!$A$16:$B$21,2,0)</f>
        <v>Supplier A</v>
      </c>
      <c r="M232" t="s">
        <v>3</v>
      </c>
      <c r="N232" t="str">
        <f t="shared" ref="N232:N237" si="20">L232</f>
        <v>Supplier A</v>
      </c>
      <c r="O232" t="str">
        <f t="shared" ref="O232:O237" si="21">M232</f>
        <v>Component 1</v>
      </c>
    </row>
    <row r="233" spans="1:15">
      <c r="A233" s="86">
        <v>44631</v>
      </c>
      <c r="B233" s="82">
        <f t="shared" si="18"/>
        <v>3</v>
      </c>
      <c r="C233">
        <f t="shared" si="17"/>
        <v>2022</v>
      </c>
      <c r="E233" s="84" t="s">
        <v>81</v>
      </c>
      <c r="F233" s="44">
        <v>830798.7</v>
      </c>
      <c r="H233" s="44">
        <f t="shared" si="19"/>
        <v>830798.7</v>
      </c>
      <c r="L233" t="str">
        <f>VLOOKUP(M233,Reference!$A$16:$B$21,2,0)</f>
        <v>Supplier A</v>
      </c>
      <c r="M233" t="s">
        <v>4</v>
      </c>
      <c r="N233" t="str">
        <f t="shared" si="20"/>
        <v>Supplier A</v>
      </c>
      <c r="O233" t="str">
        <f t="shared" si="21"/>
        <v>Component 2</v>
      </c>
    </row>
    <row r="234" spans="1:15">
      <c r="A234" s="86">
        <v>44631</v>
      </c>
      <c r="B234" s="82">
        <f t="shared" si="18"/>
        <v>3</v>
      </c>
      <c r="C234">
        <f t="shared" si="17"/>
        <v>2022</v>
      </c>
      <c r="E234" s="84" t="s">
        <v>81</v>
      </c>
      <c r="F234" s="44">
        <v>2022844.58</v>
      </c>
      <c r="H234" s="44">
        <f t="shared" si="19"/>
        <v>2022844.58</v>
      </c>
      <c r="L234" t="str">
        <f>VLOOKUP(M234,Reference!$A$16:$B$21,2,0)</f>
        <v>Supplier A</v>
      </c>
      <c r="M234" t="s">
        <v>5</v>
      </c>
      <c r="N234" t="str">
        <f t="shared" si="20"/>
        <v>Supplier A</v>
      </c>
      <c r="O234" t="str">
        <f t="shared" si="21"/>
        <v>Component 3</v>
      </c>
    </row>
    <row r="235" spans="1:15">
      <c r="A235" s="86">
        <v>44631</v>
      </c>
      <c r="B235" s="82">
        <f t="shared" si="18"/>
        <v>3</v>
      </c>
      <c r="C235">
        <f t="shared" si="17"/>
        <v>2022</v>
      </c>
      <c r="E235" s="84" t="s">
        <v>81</v>
      </c>
      <c r="F235" s="44">
        <v>955314</v>
      </c>
      <c r="H235" s="44">
        <f t="shared" si="19"/>
        <v>955314</v>
      </c>
      <c r="L235" t="str">
        <f>VLOOKUP(M235,Reference!$A$16:$B$21,2,0)</f>
        <v>Supplier B</v>
      </c>
      <c r="M235" t="s">
        <v>6</v>
      </c>
      <c r="N235" t="str">
        <f t="shared" si="20"/>
        <v>Supplier B</v>
      </c>
      <c r="O235" t="str">
        <f t="shared" si="21"/>
        <v>Component 4</v>
      </c>
    </row>
    <row r="236" spans="1:15">
      <c r="A236" s="86">
        <v>44631</v>
      </c>
      <c r="B236" s="82">
        <f t="shared" si="18"/>
        <v>3</v>
      </c>
      <c r="C236">
        <f t="shared" si="17"/>
        <v>2022</v>
      </c>
      <c r="E236" s="84" t="s">
        <v>81</v>
      </c>
      <c r="F236" s="44">
        <v>998481.35</v>
      </c>
      <c r="H236" s="44">
        <f t="shared" si="19"/>
        <v>998481.35</v>
      </c>
      <c r="L236" t="str">
        <f>VLOOKUP(M236,Reference!$A$16:$B$21,2,0)</f>
        <v>Supplier D</v>
      </c>
      <c r="M236" t="s">
        <v>11</v>
      </c>
      <c r="N236" t="str">
        <f t="shared" si="20"/>
        <v>Supplier D</v>
      </c>
      <c r="O236" t="str">
        <f t="shared" si="21"/>
        <v>Component 5</v>
      </c>
    </row>
    <row r="237" spans="1:15">
      <c r="A237" s="86">
        <v>44631</v>
      </c>
      <c r="B237" s="82">
        <f t="shared" si="18"/>
        <v>3</v>
      </c>
      <c r="C237">
        <f t="shared" si="17"/>
        <v>2022</v>
      </c>
      <c r="E237" s="84" t="s">
        <v>81</v>
      </c>
      <c r="F237" s="44">
        <v>2980589</v>
      </c>
      <c r="H237" s="44">
        <f t="shared" si="19"/>
        <v>2980589</v>
      </c>
      <c r="L237" t="str">
        <f>VLOOKUP(M237,Reference!$A$16:$B$21,2,0)</f>
        <v>Supplier D</v>
      </c>
      <c r="M237" t="s">
        <v>12</v>
      </c>
      <c r="N237" t="str">
        <f t="shared" si="20"/>
        <v>Supplier D</v>
      </c>
      <c r="O237" t="str">
        <f t="shared" si="21"/>
        <v>Component 6</v>
      </c>
    </row>
    <row r="238" spans="1:15">
      <c r="A238" s="86">
        <v>44631</v>
      </c>
      <c r="B238" s="82">
        <f t="shared" si="18"/>
        <v>3</v>
      </c>
      <c r="C238">
        <f t="shared" si="17"/>
        <v>2022</v>
      </c>
      <c r="E238" s="84" t="s">
        <v>143</v>
      </c>
      <c r="G238" s="44">
        <v>404875.6</v>
      </c>
      <c r="H238" s="44">
        <f t="shared" si="19"/>
        <v>-404875.6</v>
      </c>
      <c r="J238"/>
      <c r="M238" t="s">
        <v>3</v>
      </c>
    </row>
    <row r="239" spans="1:15">
      <c r="A239" s="86">
        <v>44631</v>
      </c>
      <c r="B239" s="82">
        <f t="shared" si="18"/>
        <v>3</v>
      </c>
      <c r="C239">
        <f t="shared" si="17"/>
        <v>2022</v>
      </c>
      <c r="E239" s="84" t="s">
        <v>143</v>
      </c>
      <c r="G239" s="44">
        <v>830798.7</v>
      </c>
      <c r="H239" s="44">
        <f t="shared" si="19"/>
        <v>-830798.7</v>
      </c>
      <c r="J239"/>
      <c r="M239" t="s">
        <v>4</v>
      </c>
    </row>
    <row r="240" spans="1:15">
      <c r="A240" s="86">
        <v>44631</v>
      </c>
      <c r="B240" s="82">
        <f t="shared" si="18"/>
        <v>3</v>
      </c>
      <c r="C240">
        <f t="shared" si="17"/>
        <v>2022</v>
      </c>
      <c r="E240" s="84" t="s">
        <v>143</v>
      </c>
      <c r="G240" s="44">
        <v>2022844.58</v>
      </c>
      <c r="H240" s="44">
        <f t="shared" si="19"/>
        <v>-2022844.58</v>
      </c>
      <c r="J240"/>
      <c r="M240" t="s">
        <v>5</v>
      </c>
    </row>
    <row r="241" spans="1:13">
      <c r="A241" s="86">
        <v>44631</v>
      </c>
      <c r="B241" s="82">
        <f t="shared" si="18"/>
        <v>3</v>
      </c>
      <c r="C241">
        <f t="shared" si="17"/>
        <v>2022</v>
      </c>
      <c r="E241" s="84" t="s">
        <v>143</v>
      </c>
      <c r="G241" s="44">
        <v>955314</v>
      </c>
      <c r="H241" s="44">
        <f t="shared" si="19"/>
        <v>-955314</v>
      </c>
      <c r="J241"/>
      <c r="M241" t="s">
        <v>6</v>
      </c>
    </row>
    <row r="242" spans="1:13">
      <c r="A242" s="86">
        <v>44631</v>
      </c>
      <c r="B242" s="82">
        <f t="shared" si="18"/>
        <v>3</v>
      </c>
      <c r="C242">
        <f t="shared" si="17"/>
        <v>2022</v>
      </c>
      <c r="E242" s="84" t="s">
        <v>143</v>
      </c>
      <c r="G242" s="44">
        <v>998481.35</v>
      </c>
      <c r="H242" s="44">
        <f t="shared" si="19"/>
        <v>-998481.35</v>
      </c>
      <c r="J242"/>
      <c r="M242" t="s">
        <v>11</v>
      </c>
    </row>
    <row r="243" spans="1:13">
      <c r="A243" s="86">
        <v>44631</v>
      </c>
      <c r="B243" s="82">
        <f t="shared" si="18"/>
        <v>3</v>
      </c>
      <c r="C243">
        <f t="shared" si="17"/>
        <v>2022</v>
      </c>
      <c r="E243" s="84" t="s">
        <v>143</v>
      </c>
      <c r="G243" s="44">
        <v>2980589</v>
      </c>
      <c r="H243" s="44">
        <f t="shared" si="19"/>
        <v>-2980589</v>
      </c>
      <c r="J243"/>
      <c r="M243" t="s">
        <v>12</v>
      </c>
    </row>
    <row r="244" spans="1:13">
      <c r="A244" s="86">
        <v>44631</v>
      </c>
      <c r="B244" s="82">
        <f t="shared" si="18"/>
        <v>3</v>
      </c>
      <c r="C244">
        <f t="shared" si="17"/>
        <v>2022</v>
      </c>
      <c r="E244" s="84" t="s">
        <v>67</v>
      </c>
      <c r="G244" s="44">
        <v>404875.6</v>
      </c>
      <c r="H244" s="44">
        <f t="shared" si="19"/>
        <v>-404875.6</v>
      </c>
      <c r="L244" t="s">
        <v>3</v>
      </c>
      <c r="M244" s="44" t="s">
        <v>123</v>
      </c>
    </row>
    <row r="245" spans="1:13">
      <c r="A245" s="86">
        <v>44631</v>
      </c>
      <c r="B245" s="82">
        <f t="shared" si="18"/>
        <v>3</v>
      </c>
      <c r="C245">
        <f t="shared" si="17"/>
        <v>2022</v>
      </c>
      <c r="E245" s="84" t="s">
        <v>67</v>
      </c>
      <c r="G245" s="44">
        <v>830798.7</v>
      </c>
      <c r="H245" s="44">
        <f t="shared" si="19"/>
        <v>-830798.7</v>
      </c>
      <c r="L245" t="s">
        <v>4</v>
      </c>
      <c r="M245" s="44" t="s">
        <v>123</v>
      </c>
    </row>
    <row r="246" spans="1:13">
      <c r="A246" s="86">
        <v>44631</v>
      </c>
      <c r="B246" s="82">
        <f t="shared" si="18"/>
        <v>3</v>
      </c>
      <c r="C246">
        <f t="shared" si="17"/>
        <v>2022</v>
      </c>
      <c r="E246" s="84" t="s">
        <v>67</v>
      </c>
      <c r="G246" s="44">
        <v>2022844.58</v>
      </c>
      <c r="H246" s="44">
        <f t="shared" si="19"/>
        <v>-2022844.58</v>
      </c>
      <c r="L246" t="s">
        <v>5</v>
      </c>
      <c r="M246" s="44" t="s">
        <v>123</v>
      </c>
    </row>
    <row r="247" spans="1:13">
      <c r="A247" s="86">
        <v>44631</v>
      </c>
      <c r="B247" s="82">
        <f t="shared" si="18"/>
        <v>3</v>
      </c>
      <c r="C247">
        <f t="shared" si="17"/>
        <v>2022</v>
      </c>
      <c r="E247" s="84" t="s">
        <v>67</v>
      </c>
      <c r="G247" s="44">
        <v>955314</v>
      </c>
      <c r="H247" s="44">
        <f t="shared" si="19"/>
        <v>-955314</v>
      </c>
      <c r="L247" t="s">
        <v>6</v>
      </c>
      <c r="M247" s="44" t="s">
        <v>124</v>
      </c>
    </row>
    <row r="248" spans="1:13">
      <c r="A248" s="86">
        <v>44631</v>
      </c>
      <c r="B248" s="82">
        <f t="shared" si="18"/>
        <v>3</v>
      </c>
      <c r="C248">
        <f t="shared" si="17"/>
        <v>2022</v>
      </c>
      <c r="E248" s="84" t="s">
        <v>67</v>
      </c>
      <c r="G248" s="44">
        <v>998481.35</v>
      </c>
      <c r="H248" s="44">
        <f t="shared" si="19"/>
        <v>-998481.35</v>
      </c>
      <c r="L248" t="s">
        <v>11</v>
      </c>
      <c r="M248" s="44" t="s">
        <v>125</v>
      </c>
    </row>
    <row r="249" spans="1:13">
      <c r="A249" s="86">
        <v>44631</v>
      </c>
      <c r="B249" s="82">
        <f t="shared" si="18"/>
        <v>3</v>
      </c>
      <c r="C249">
        <f t="shared" si="17"/>
        <v>2022</v>
      </c>
      <c r="E249" s="84" t="s">
        <v>67</v>
      </c>
      <c r="G249" s="44">
        <v>2980589</v>
      </c>
      <c r="H249" s="44">
        <f t="shared" si="19"/>
        <v>-2980589</v>
      </c>
      <c r="L249" t="s">
        <v>12</v>
      </c>
      <c r="M249" s="44" t="s">
        <v>125</v>
      </c>
    </row>
    <row r="250" spans="1:13">
      <c r="A250" s="86">
        <v>44632</v>
      </c>
      <c r="B250" s="82">
        <f t="shared" si="18"/>
        <v>3</v>
      </c>
      <c r="C250">
        <f t="shared" si="17"/>
        <v>2022</v>
      </c>
      <c r="D250" s="86"/>
      <c r="E250" s="84" t="s">
        <v>97</v>
      </c>
      <c r="G250" s="44">
        <v>1110474</v>
      </c>
      <c r="H250" s="44">
        <f t="shared" si="19"/>
        <v>-1110474</v>
      </c>
      <c r="L250" s="29" t="s">
        <v>2</v>
      </c>
      <c r="M250" s="29" t="s">
        <v>35</v>
      </c>
    </row>
    <row r="251" spans="1:13">
      <c r="A251" s="86">
        <v>44632</v>
      </c>
      <c r="B251" s="82">
        <f t="shared" si="18"/>
        <v>3</v>
      </c>
      <c r="C251">
        <f t="shared" si="17"/>
        <v>2022</v>
      </c>
      <c r="E251" s="84" t="s">
        <v>150</v>
      </c>
      <c r="F251" s="44">
        <v>1110474</v>
      </c>
      <c r="H251" s="44">
        <f t="shared" si="19"/>
        <v>1110474</v>
      </c>
      <c r="L251" s="29" t="s">
        <v>2</v>
      </c>
      <c r="M251" s="29" t="s">
        <v>35</v>
      </c>
    </row>
    <row r="252" spans="1:13">
      <c r="A252" s="86">
        <v>44632</v>
      </c>
      <c r="B252" s="82">
        <f t="shared" si="18"/>
        <v>3</v>
      </c>
      <c r="C252">
        <f t="shared" si="17"/>
        <v>2022</v>
      </c>
      <c r="E252" s="84" t="s">
        <v>89</v>
      </c>
      <c r="F252" s="44">
        <v>2144872.1059999983</v>
      </c>
      <c r="H252" s="44">
        <f t="shared" si="19"/>
        <v>2144872.1059999983</v>
      </c>
      <c r="I252"/>
      <c r="J252"/>
      <c r="M252"/>
    </row>
    <row r="253" spans="1:13">
      <c r="A253" s="86">
        <v>44632</v>
      </c>
      <c r="B253" s="82">
        <f t="shared" si="18"/>
        <v>3</v>
      </c>
      <c r="C253">
        <f t="shared" si="17"/>
        <v>2022</v>
      </c>
      <c r="E253" s="84" t="s">
        <v>90</v>
      </c>
      <c r="F253" s="44">
        <v>2357264.1300000004</v>
      </c>
      <c r="H253" s="44">
        <f t="shared" si="19"/>
        <v>2357264.1300000004</v>
      </c>
      <c r="I253"/>
      <c r="J253"/>
      <c r="M253"/>
    </row>
    <row r="254" spans="1:13">
      <c r="A254" s="86">
        <v>44632</v>
      </c>
      <c r="B254" s="82">
        <f t="shared" si="18"/>
        <v>3</v>
      </c>
      <c r="C254">
        <f t="shared" si="17"/>
        <v>2022</v>
      </c>
      <c r="E254" s="84" t="s">
        <v>91</v>
      </c>
      <c r="F254" s="44">
        <v>3906411.9960000003</v>
      </c>
      <c r="H254" s="44">
        <f t="shared" si="19"/>
        <v>3906411.9960000003</v>
      </c>
      <c r="I254"/>
      <c r="J254"/>
      <c r="M254"/>
    </row>
    <row r="255" spans="1:13">
      <c r="A255" s="86">
        <v>44632</v>
      </c>
      <c r="B255" s="82">
        <f t="shared" si="18"/>
        <v>3</v>
      </c>
      <c r="C255">
        <f t="shared" si="17"/>
        <v>2022</v>
      </c>
      <c r="E255" s="84" t="s">
        <v>146</v>
      </c>
      <c r="G255" s="44">
        <v>215645.00200000001</v>
      </c>
      <c r="H255" s="44">
        <f t="shared" si="19"/>
        <v>-215645.00200000001</v>
      </c>
      <c r="I255"/>
      <c r="J255"/>
      <c r="M255"/>
    </row>
    <row r="256" spans="1:13">
      <c r="A256" s="86">
        <v>44634</v>
      </c>
      <c r="B256" s="82">
        <f t="shared" si="18"/>
        <v>3</v>
      </c>
      <c r="C256">
        <f t="shared" si="17"/>
        <v>2022</v>
      </c>
      <c r="E256" s="84" t="s">
        <v>97</v>
      </c>
      <c r="F256" s="44">
        <v>664416</v>
      </c>
      <c r="H256" s="44">
        <f t="shared" si="19"/>
        <v>664416</v>
      </c>
      <c r="L256" s="29" t="s">
        <v>2</v>
      </c>
      <c r="M256" s="29" t="s">
        <v>34</v>
      </c>
    </row>
    <row r="257" spans="1:13">
      <c r="A257" s="86">
        <v>44634</v>
      </c>
      <c r="B257" s="82">
        <f t="shared" si="18"/>
        <v>3</v>
      </c>
      <c r="C257">
        <f t="shared" si="17"/>
        <v>2022</v>
      </c>
      <c r="E257" s="84" t="s">
        <v>143</v>
      </c>
      <c r="F257" s="44">
        <v>561297.59066666604</v>
      </c>
      <c r="H257" s="44">
        <f t="shared" si="19"/>
        <v>561297.59066666604</v>
      </c>
      <c r="I257"/>
      <c r="M257" t="s">
        <v>2</v>
      </c>
    </row>
    <row r="258" spans="1:13">
      <c r="A258" s="86">
        <v>44634</v>
      </c>
      <c r="B258" s="82">
        <f t="shared" si="18"/>
        <v>3</v>
      </c>
      <c r="C258">
        <f t="shared" si="17"/>
        <v>2022</v>
      </c>
      <c r="E258" s="84" t="s">
        <v>89</v>
      </c>
      <c r="G258" s="44">
        <v>561297.59066666604</v>
      </c>
      <c r="H258" s="44">
        <f t="shared" si="19"/>
        <v>-561297.59066666604</v>
      </c>
      <c r="I258"/>
      <c r="M258" t="s">
        <v>2</v>
      </c>
    </row>
    <row r="259" spans="1:13">
      <c r="A259" s="86">
        <v>44634</v>
      </c>
      <c r="B259" s="82">
        <f t="shared" si="18"/>
        <v>3</v>
      </c>
      <c r="C259">
        <f t="shared" si="17"/>
        <v>2022</v>
      </c>
      <c r="E259" s="84" t="s">
        <v>98</v>
      </c>
      <c r="G259" s="44">
        <v>664416</v>
      </c>
      <c r="H259" s="44">
        <f t="shared" si="19"/>
        <v>-664416</v>
      </c>
      <c r="L259" s="29" t="s">
        <v>2</v>
      </c>
      <c r="M259" s="93" t="s">
        <v>34</v>
      </c>
    </row>
    <row r="260" spans="1:13">
      <c r="A260" s="86">
        <v>44635</v>
      </c>
      <c r="B260" s="82">
        <f t="shared" si="18"/>
        <v>3</v>
      </c>
      <c r="C260">
        <f t="shared" si="17"/>
        <v>2022</v>
      </c>
      <c r="D260" s="86"/>
      <c r="E260" s="84" t="s">
        <v>68</v>
      </c>
      <c r="F260" s="44">
        <v>810000</v>
      </c>
      <c r="H260" s="44">
        <f t="shared" si="19"/>
        <v>810000</v>
      </c>
      <c r="J260" s="49"/>
      <c r="L260" t="s">
        <v>4</v>
      </c>
      <c r="M260" s="44" t="s">
        <v>123</v>
      </c>
    </row>
    <row r="261" spans="1:13">
      <c r="A261" s="86">
        <v>44635</v>
      </c>
      <c r="B261" s="82">
        <f t="shared" si="18"/>
        <v>3</v>
      </c>
      <c r="C261">
        <f t="shared" si="17"/>
        <v>2022</v>
      </c>
      <c r="E261" s="84" t="s">
        <v>97</v>
      </c>
      <c r="F261" s="44">
        <v>585872</v>
      </c>
      <c r="H261" s="44">
        <f t="shared" si="19"/>
        <v>585872</v>
      </c>
      <c r="L261" s="29" t="s">
        <v>10</v>
      </c>
      <c r="M261" s="29" t="s">
        <v>37</v>
      </c>
    </row>
    <row r="262" spans="1:13">
      <c r="A262" s="86">
        <v>44635</v>
      </c>
      <c r="B262" s="82">
        <f t="shared" si="18"/>
        <v>3</v>
      </c>
      <c r="C262">
        <f t="shared" si="17"/>
        <v>2022</v>
      </c>
      <c r="D262" s="86"/>
      <c r="E262" s="84" t="s">
        <v>150</v>
      </c>
      <c r="G262" s="44">
        <v>810000</v>
      </c>
      <c r="H262" s="44">
        <f t="shared" si="19"/>
        <v>-810000</v>
      </c>
      <c r="L262" t="s">
        <v>4</v>
      </c>
      <c r="M262" s="44" t="s">
        <v>123</v>
      </c>
    </row>
    <row r="263" spans="1:13">
      <c r="A263" s="86">
        <v>44635</v>
      </c>
      <c r="B263" s="82">
        <f t="shared" si="18"/>
        <v>3</v>
      </c>
      <c r="C263">
        <f t="shared" si="17"/>
        <v>2022</v>
      </c>
      <c r="E263" s="84" t="s">
        <v>143</v>
      </c>
      <c r="F263" s="44">
        <v>451142.36400000006</v>
      </c>
      <c r="H263" s="44">
        <f t="shared" si="19"/>
        <v>451142.36400000006</v>
      </c>
      <c r="I263"/>
      <c r="M263" t="s">
        <v>10</v>
      </c>
    </row>
    <row r="264" spans="1:13">
      <c r="A264" s="86">
        <v>44635</v>
      </c>
      <c r="B264" s="82">
        <f t="shared" si="18"/>
        <v>3</v>
      </c>
      <c r="C264">
        <f t="shared" si="17"/>
        <v>2022</v>
      </c>
      <c r="E264" s="84" t="s">
        <v>90</v>
      </c>
      <c r="G264" s="44">
        <v>451142.36400000006</v>
      </c>
      <c r="H264" s="44">
        <f t="shared" si="19"/>
        <v>-451142.36400000006</v>
      </c>
      <c r="I264"/>
      <c r="M264" t="s">
        <v>10</v>
      </c>
    </row>
    <row r="265" spans="1:13">
      <c r="A265" s="86">
        <v>44635</v>
      </c>
      <c r="B265" s="82">
        <f t="shared" si="18"/>
        <v>3</v>
      </c>
      <c r="C265">
        <f t="shared" si="17"/>
        <v>2022</v>
      </c>
      <c r="E265" s="84" t="s">
        <v>98</v>
      </c>
      <c r="G265" s="44">
        <v>585872</v>
      </c>
      <c r="H265" s="44">
        <f t="shared" si="19"/>
        <v>-585872</v>
      </c>
      <c r="L265" s="29" t="s">
        <v>10</v>
      </c>
      <c r="M265" s="93" t="s">
        <v>37</v>
      </c>
    </row>
    <row r="266" spans="1:13">
      <c r="A266" s="86">
        <v>44620</v>
      </c>
      <c r="B266" s="82">
        <f t="shared" si="18"/>
        <v>2</v>
      </c>
      <c r="C266">
        <f t="shared" si="17"/>
        <v>2022</v>
      </c>
      <c r="D266" s="86"/>
      <c r="E266" s="84" t="s">
        <v>97</v>
      </c>
      <c r="G266" s="44">
        <v>601126</v>
      </c>
      <c r="H266" s="44">
        <f t="shared" si="19"/>
        <v>-601126</v>
      </c>
      <c r="L266" s="29" t="s">
        <v>14</v>
      </c>
      <c r="M266" s="29" t="s">
        <v>40</v>
      </c>
    </row>
    <row r="267" spans="1:13">
      <c r="A267" s="86">
        <v>44636</v>
      </c>
      <c r="B267" s="82">
        <f t="shared" si="18"/>
        <v>3</v>
      </c>
      <c r="C267">
        <f t="shared" si="17"/>
        <v>2022</v>
      </c>
      <c r="E267" s="84" t="s">
        <v>143</v>
      </c>
      <c r="F267" s="44">
        <v>826197.97200000007</v>
      </c>
      <c r="H267" s="44">
        <f t="shared" si="19"/>
        <v>826197.97200000007</v>
      </c>
      <c r="I267"/>
      <c r="M267" t="s">
        <v>14</v>
      </c>
    </row>
    <row r="268" spans="1:13">
      <c r="A268" s="86">
        <v>44636</v>
      </c>
      <c r="B268" s="82">
        <f t="shared" si="18"/>
        <v>3</v>
      </c>
      <c r="C268">
        <f t="shared" si="17"/>
        <v>2022</v>
      </c>
      <c r="E268" s="84" t="s">
        <v>91</v>
      </c>
      <c r="G268" s="44">
        <v>826197.97200000007</v>
      </c>
      <c r="H268" s="44">
        <f t="shared" si="19"/>
        <v>-826197.97200000007</v>
      </c>
      <c r="I268"/>
      <c r="M268" t="s">
        <v>14</v>
      </c>
    </row>
    <row r="269" spans="1:13">
      <c r="A269" s="86">
        <v>44636</v>
      </c>
      <c r="B269" s="82">
        <f t="shared" si="18"/>
        <v>3</v>
      </c>
      <c r="C269">
        <f t="shared" ref="C269:C332" si="22">YEAR(A269)</f>
        <v>2022</v>
      </c>
      <c r="E269" s="84" t="s">
        <v>98</v>
      </c>
      <c r="G269" s="44">
        <v>1217721</v>
      </c>
      <c r="H269" s="44">
        <f t="shared" si="19"/>
        <v>-1217721</v>
      </c>
      <c r="L269" s="29" t="s">
        <v>14</v>
      </c>
      <c r="M269" s="93" t="s">
        <v>40</v>
      </c>
    </row>
    <row r="270" spans="1:13">
      <c r="A270" s="86">
        <v>44637</v>
      </c>
      <c r="B270" s="82">
        <f t="shared" si="18"/>
        <v>3</v>
      </c>
      <c r="C270">
        <f t="shared" si="22"/>
        <v>2022</v>
      </c>
      <c r="E270" s="84" t="s">
        <v>97</v>
      </c>
      <c r="F270" s="44">
        <v>3772578</v>
      </c>
      <c r="H270" s="44">
        <f t="shared" si="19"/>
        <v>3772578</v>
      </c>
      <c r="L270" s="29" t="s">
        <v>14</v>
      </c>
      <c r="M270" s="29" t="s">
        <v>39</v>
      </c>
    </row>
    <row r="271" spans="1:13">
      <c r="A271" s="86">
        <v>44637</v>
      </c>
      <c r="B271" s="82">
        <f t="shared" si="18"/>
        <v>3</v>
      </c>
      <c r="C271">
        <f t="shared" si="22"/>
        <v>2022</v>
      </c>
      <c r="E271" s="84" t="s">
        <v>97</v>
      </c>
      <c r="F271" s="44">
        <v>446978</v>
      </c>
      <c r="H271" s="44">
        <f t="shared" si="19"/>
        <v>446978</v>
      </c>
      <c r="L271" s="29" t="s">
        <v>2</v>
      </c>
      <c r="M271" s="29" t="s">
        <v>33</v>
      </c>
    </row>
    <row r="272" spans="1:13">
      <c r="A272" s="86">
        <v>44637</v>
      </c>
      <c r="B272" s="82">
        <f t="shared" si="18"/>
        <v>3</v>
      </c>
      <c r="C272">
        <f t="shared" si="22"/>
        <v>2022</v>
      </c>
      <c r="E272" s="84" t="s">
        <v>97</v>
      </c>
      <c r="F272" s="44">
        <v>372166</v>
      </c>
      <c r="H272" s="44">
        <f t="shared" si="19"/>
        <v>372166</v>
      </c>
      <c r="L272" s="29" t="s">
        <v>2</v>
      </c>
      <c r="M272" s="29" t="s">
        <v>35</v>
      </c>
    </row>
    <row r="273" spans="1:13">
      <c r="A273" s="86">
        <v>44637</v>
      </c>
      <c r="B273" s="82">
        <f t="shared" si="18"/>
        <v>3</v>
      </c>
      <c r="C273">
        <f t="shared" si="22"/>
        <v>2022</v>
      </c>
      <c r="E273" s="84" t="s">
        <v>143</v>
      </c>
      <c r="F273" s="44">
        <v>3080214.0240000002</v>
      </c>
      <c r="H273" s="44">
        <f t="shared" si="19"/>
        <v>3080214.0240000002</v>
      </c>
      <c r="I273"/>
      <c r="M273" t="s">
        <v>14</v>
      </c>
    </row>
    <row r="274" spans="1:13">
      <c r="A274" s="86">
        <v>44637</v>
      </c>
      <c r="B274" s="82">
        <f t="shared" si="18"/>
        <v>3</v>
      </c>
      <c r="C274">
        <f t="shared" si="22"/>
        <v>2022</v>
      </c>
      <c r="E274" s="84" t="s">
        <v>143</v>
      </c>
      <c r="F274" s="44">
        <v>372865.75066666602</v>
      </c>
      <c r="H274" s="44">
        <f t="shared" si="19"/>
        <v>372865.75066666602</v>
      </c>
      <c r="I274"/>
      <c r="M274" t="s">
        <v>2</v>
      </c>
    </row>
    <row r="275" spans="1:13">
      <c r="A275" s="86">
        <v>44637</v>
      </c>
      <c r="B275" s="82">
        <f t="shared" si="18"/>
        <v>3</v>
      </c>
      <c r="C275">
        <f t="shared" si="22"/>
        <v>2022</v>
      </c>
      <c r="E275" s="84" t="s">
        <v>143</v>
      </c>
      <c r="F275" s="44">
        <v>289029.55066666601</v>
      </c>
      <c r="H275" s="44">
        <f t="shared" si="19"/>
        <v>289029.55066666601</v>
      </c>
      <c r="I275"/>
      <c r="M275" t="s">
        <v>2</v>
      </c>
    </row>
    <row r="276" spans="1:13">
      <c r="A276" s="86">
        <v>44637</v>
      </c>
      <c r="B276" s="82">
        <f t="shared" si="18"/>
        <v>3</v>
      </c>
      <c r="C276">
        <f t="shared" si="22"/>
        <v>2022</v>
      </c>
      <c r="E276" s="84" t="s">
        <v>89</v>
      </c>
      <c r="G276" s="44">
        <v>372865.75066666602</v>
      </c>
      <c r="H276" s="44">
        <f t="shared" si="19"/>
        <v>-372865.75066666602</v>
      </c>
      <c r="I276"/>
      <c r="M276" t="s">
        <v>2</v>
      </c>
    </row>
    <row r="277" spans="1:13">
      <c r="A277" s="86">
        <v>44637</v>
      </c>
      <c r="B277" s="82">
        <f t="shared" si="18"/>
        <v>3</v>
      </c>
      <c r="C277">
        <f t="shared" si="22"/>
        <v>2022</v>
      </c>
      <c r="E277" s="84" t="s">
        <v>89</v>
      </c>
      <c r="G277" s="44">
        <v>289029.55066666601</v>
      </c>
      <c r="H277" s="44">
        <f t="shared" si="19"/>
        <v>-289029.55066666601</v>
      </c>
      <c r="I277"/>
      <c r="M277" t="s">
        <v>2</v>
      </c>
    </row>
    <row r="278" spans="1:13">
      <c r="A278" s="86">
        <v>44637</v>
      </c>
      <c r="B278" s="82">
        <f t="shared" si="18"/>
        <v>3</v>
      </c>
      <c r="C278">
        <f t="shared" si="22"/>
        <v>2022</v>
      </c>
      <c r="E278" s="84" t="s">
        <v>91</v>
      </c>
      <c r="G278" s="44">
        <v>3080214.0240000002</v>
      </c>
      <c r="H278" s="44">
        <f t="shared" si="19"/>
        <v>-3080214.0240000002</v>
      </c>
      <c r="I278"/>
      <c r="M278" t="s">
        <v>14</v>
      </c>
    </row>
    <row r="279" spans="1:13">
      <c r="A279" s="86">
        <v>44637</v>
      </c>
      <c r="B279" s="82">
        <f t="shared" ref="B279:B342" si="23">MONTH(A279)</f>
        <v>3</v>
      </c>
      <c r="C279">
        <f t="shared" si="22"/>
        <v>2022</v>
      </c>
      <c r="E279" s="84" t="s">
        <v>98</v>
      </c>
      <c r="G279" s="44">
        <v>3772578</v>
      </c>
      <c r="H279" s="44">
        <f t="shared" ref="H279:H342" si="24">F279-G279</f>
        <v>-3772578</v>
      </c>
      <c r="L279" s="29" t="s">
        <v>14</v>
      </c>
      <c r="M279" s="29" t="s">
        <v>39</v>
      </c>
    </row>
    <row r="280" spans="1:13">
      <c r="A280" s="86">
        <v>44637</v>
      </c>
      <c r="B280" s="82">
        <f t="shared" si="23"/>
        <v>3</v>
      </c>
      <c r="C280">
        <f t="shared" si="22"/>
        <v>2022</v>
      </c>
      <c r="E280" s="84" t="s">
        <v>98</v>
      </c>
      <c r="G280" s="44">
        <v>446978</v>
      </c>
      <c r="H280" s="44">
        <f t="shared" si="24"/>
        <v>-446978</v>
      </c>
      <c r="L280" s="29" t="s">
        <v>2</v>
      </c>
      <c r="M280" s="93" t="s">
        <v>33</v>
      </c>
    </row>
    <row r="281" spans="1:13">
      <c r="A281" s="86">
        <v>44637</v>
      </c>
      <c r="B281" s="82">
        <f t="shared" si="23"/>
        <v>3</v>
      </c>
      <c r="C281">
        <f t="shared" si="22"/>
        <v>2022</v>
      </c>
      <c r="E281" s="84" t="s">
        <v>98</v>
      </c>
      <c r="G281" s="44">
        <v>372166</v>
      </c>
      <c r="H281" s="44">
        <f t="shared" si="24"/>
        <v>-372166</v>
      </c>
      <c r="L281" s="29" t="s">
        <v>2</v>
      </c>
      <c r="M281" s="93" t="s">
        <v>35</v>
      </c>
    </row>
    <row r="282" spans="1:13">
      <c r="A282" s="86">
        <v>44638</v>
      </c>
      <c r="B282" s="82">
        <f t="shared" si="23"/>
        <v>3</v>
      </c>
      <c r="C282">
        <f t="shared" si="22"/>
        <v>2022</v>
      </c>
      <c r="E282" s="84" t="s">
        <v>97</v>
      </c>
      <c r="F282" s="44">
        <v>421857</v>
      </c>
      <c r="H282" s="44">
        <f t="shared" si="24"/>
        <v>421857</v>
      </c>
      <c r="L282" s="29" t="s">
        <v>2</v>
      </c>
      <c r="M282" s="29" t="s">
        <v>32</v>
      </c>
    </row>
    <row r="283" spans="1:13">
      <c r="A283" s="86">
        <v>44638</v>
      </c>
      <c r="B283" s="82">
        <f t="shared" si="23"/>
        <v>3</v>
      </c>
      <c r="C283">
        <f t="shared" si="22"/>
        <v>2022</v>
      </c>
      <c r="E283" s="84" t="s">
        <v>143</v>
      </c>
      <c r="F283" s="44">
        <v>295462.72200000001</v>
      </c>
      <c r="H283" s="44">
        <f t="shared" si="24"/>
        <v>295462.72200000001</v>
      </c>
      <c r="I283"/>
      <c r="M283" t="s">
        <v>2</v>
      </c>
    </row>
    <row r="284" spans="1:13">
      <c r="A284" s="86">
        <v>44638</v>
      </c>
      <c r="B284" s="82">
        <f t="shared" si="23"/>
        <v>3</v>
      </c>
      <c r="C284">
        <f t="shared" si="22"/>
        <v>2022</v>
      </c>
      <c r="E284" s="84" t="s">
        <v>89</v>
      </c>
      <c r="G284" s="44">
        <v>295462.72200000001</v>
      </c>
      <c r="H284" s="44">
        <f t="shared" si="24"/>
        <v>-295462.72200000001</v>
      </c>
      <c r="I284"/>
      <c r="M284" t="s">
        <v>2</v>
      </c>
    </row>
    <row r="285" spans="1:13">
      <c r="A285" s="86">
        <v>44638</v>
      </c>
      <c r="B285" s="82">
        <f t="shared" si="23"/>
        <v>3</v>
      </c>
      <c r="C285">
        <f t="shared" si="22"/>
        <v>2022</v>
      </c>
      <c r="E285" s="84" t="s">
        <v>98</v>
      </c>
      <c r="G285" s="44">
        <v>421857</v>
      </c>
      <c r="H285" s="44">
        <f t="shared" si="24"/>
        <v>-421857</v>
      </c>
      <c r="L285" s="29" t="s">
        <v>2</v>
      </c>
      <c r="M285" s="93" t="s">
        <v>32</v>
      </c>
    </row>
    <row r="286" spans="1:13">
      <c r="A286" s="86">
        <v>44639</v>
      </c>
      <c r="B286" s="82">
        <f t="shared" si="23"/>
        <v>3</v>
      </c>
      <c r="C286">
        <f t="shared" si="22"/>
        <v>2022</v>
      </c>
      <c r="E286" s="84" t="s">
        <v>97</v>
      </c>
      <c r="F286" s="44">
        <v>861150</v>
      </c>
      <c r="H286" s="44">
        <f t="shared" si="24"/>
        <v>861150</v>
      </c>
      <c r="L286" s="29" t="s">
        <v>10</v>
      </c>
      <c r="M286" s="29" t="s">
        <v>36</v>
      </c>
    </row>
    <row r="287" spans="1:13">
      <c r="A287" s="86">
        <v>44639</v>
      </c>
      <c r="B287" s="82">
        <f t="shared" si="23"/>
        <v>3</v>
      </c>
      <c r="C287">
        <f t="shared" si="22"/>
        <v>2022</v>
      </c>
      <c r="E287" s="84" t="s">
        <v>143</v>
      </c>
      <c r="F287" s="44">
        <v>742690.20600000012</v>
      </c>
      <c r="H287" s="44">
        <f t="shared" si="24"/>
        <v>742690.20600000012</v>
      </c>
      <c r="I287"/>
      <c r="M287" t="s">
        <v>10</v>
      </c>
    </row>
    <row r="288" spans="1:13">
      <c r="A288" s="86">
        <v>44639</v>
      </c>
      <c r="B288" s="82">
        <f t="shared" si="23"/>
        <v>3</v>
      </c>
      <c r="C288">
        <f t="shared" si="22"/>
        <v>2022</v>
      </c>
      <c r="E288" s="84" t="s">
        <v>90</v>
      </c>
      <c r="G288" s="44">
        <v>742690.20600000012</v>
      </c>
      <c r="H288" s="44">
        <f t="shared" si="24"/>
        <v>-742690.20600000012</v>
      </c>
      <c r="I288"/>
      <c r="M288" t="s">
        <v>10</v>
      </c>
    </row>
    <row r="289" spans="1:13">
      <c r="A289" s="86">
        <v>44639</v>
      </c>
      <c r="B289" s="82">
        <f t="shared" si="23"/>
        <v>3</v>
      </c>
      <c r="C289">
        <f t="shared" si="22"/>
        <v>2022</v>
      </c>
      <c r="E289" s="84" t="s">
        <v>98</v>
      </c>
      <c r="G289" s="44">
        <v>861150</v>
      </c>
      <c r="H289" s="44">
        <f t="shared" si="24"/>
        <v>-861150</v>
      </c>
      <c r="L289" s="29" t="s">
        <v>10</v>
      </c>
      <c r="M289" s="93" t="s">
        <v>36</v>
      </c>
    </row>
    <row r="290" spans="1:13">
      <c r="A290" s="86">
        <v>44641</v>
      </c>
      <c r="B290" s="82">
        <f t="shared" si="23"/>
        <v>3</v>
      </c>
      <c r="C290">
        <f t="shared" si="22"/>
        <v>2022</v>
      </c>
      <c r="D290" s="86"/>
      <c r="E290" s="84" t="s">
        <v>68</v>
      </c>
      <c r="F290" s="44">
        <v>800000</v>
      </c>
      <c r="H290" s="44">
        <f t="shared" si="24"/>
        <v>800000</v>
      </c>
      <c r="L290" t="s">
        <v>3</v>
      </c>
      <c r="M290" s="44" t="s">
        <v>123</v>
      </c>
    </row>
    <row r="291" spans="1:13">
      <c r="A291" s="86">
        <v>44641</v>
      </c>
      <c r="B291" s="82">
        <f t="shared" si="23"/>
        <v>3</v>
      </c>
      <c r="C291">
        <f t="shared" si="22"/>
        <v>2022</v>
      </c>
      <c r="D291" s="86"/>
      <c r="E291" s="84" t="s">
        <v>150</v>
      </c>
      <c r="G291" s="44">
        <v>800000</v>
      </c>
      <c r="H291" s="44">
        <f t="shared" si="24"/>
        <v>-800000</v>
      </c>
      <c r="L291" t="s">
        <v>3</v>
      </c>
      <c r="M291" s="44" t="s">
        <v>123</v>
      </c>
    </row>
    <row r="292" spans="1:13">
      <c r="A292" s="86">
        <v>44644</v>
      </c>
      <c r="B292" s="82">
        <f t="shared" si="23"/>
        <v>3</v>
      </c>
      <c r="C292">
        <f t="shared" si="22"/>
        <v>2022</v>
      </c>
      <c r="E292" s="84" t="s">
        <v>97</v>
      </c>
      <c r="F292" s="44">
        <v>1402960</v>
      </c>
      <c r="H292" s="44">
        <f t="shared" si="24"/>
        <v>1402960</v>
      </c>
      <c r="L292" s="29" t="s">
        <v>10</v>
      </c>
      <c r="M292" s="29" t="s">
        <v>38</v>
      </c>
    </row>
    <row r="293" spans="1:13">
      <c r="A293" s="86">
        <v>44644</v>
      </c>
      <c r="B293" s="82">
        <f t="shared" si="23"/>
        <v>3</v>
      </c>
      <c r="C293">
        <f t="shared" si="22"/>
        <v>2022</v>
      </c>
      <c r="E293" s="84" t="s">
        <v>143</v>
      </c>
      <c r="F293" s="44">
        <v>1163431.5600000003</v>
      </c>
      <c r="H293" s="44">
        <f t="shared" si="24"/>
        <v>1163431.5600000003</v>
      </c>
      <c r="I293"/>
      <c r="M293" t="s">
        <v>10</v>
      </c>
    </row>
    <row r="294" spans="1:13">
      <c r="A294" s="86">
        <v>44644</v>
      </c>
      <c r="B294" s="82">
        <f t="shared" si="23"/>
        <v>3</v>
      </c>
      <c r="C294">
        <f t="shared" si="22"/>
        <v>2022</v>
      </c>
      <c r="E294" s="84" t="s">
        <v>90</v>
      </c>
      <c r="G294" s="44">
        <v>1163431.5600000003</v>
      </c>
      <c r="H294" s="44">
        <f t="shared" si="24"/>
        <v>-1163431.5600000003</v>
      </c>
      <c r="I294"/>
      <c r="M294" t="s">
        <v>10</v>
      </c>
    </row>
    <row r="295" spans="1:13">
      <c r="A295" s="86">
        <v>44644</v>
      </c>
      <c r="B295" s="82">
        <f t="shared" si="23"/>
        <v>3</v>
      </c>
      <c r="C295">
        <f t="shared" si="22"/>
        <v>2022</v>
      </c>
      <c r="E295" s="84" t="s">
        <v>98</v>
      </c>
      <c r="G295" s="44">
        <v>1402960</v>
      </c>
      <c r="H295" s="44">
        <f t="shared" si="24"/>
        <v>-1402960</v>
      </c>
      <c r="L295" s="29" t="s">
        <v>10</v>
      </c>
      <c r="M295" s="93" t="s">
        <v>38</v>
      </c>
    </row>
    <row r="296" spans="1:13">
      <c r="A296" s="86">
        <v>44646</v>
      </c>
      <c r="B296" s="82">
        <f t="shared" si="23"/>
        <v>3</v>
      </c>
      <c r="C296">
        <f t="shared" si="22"/>
        <v>2022</v>
      </c>
      <c r="D296" s="86"/>
      <c r="E296" s="84" t="s">
        <v>68</v>
      </c>
      <c r="F296" s="44">
        <v>1980000</v>
      </c>
      <c r="H296" s="44">
        <f t="shared" si="24"/>
        <v>1980000</v>
      </c>
      <c r="L296" t="s">
        <v>6</v>
      </c>
      <c r="M296" s="44" t="s">
        <v>124</v>
      </c>
    </row>
    <row r="297" spans="1:13">
      <c r="A297" s="86">
        <v>44646</v>
      </c>
      <c r="B297" s="82">
        <f t="shared" si="23"/>
        <v>3</v>
      </c>
      <c r="C297">
        <f t="shared" si="22"/>
        <v>2022</v>
      </c>
      <c r="D297" s="86"/>
      <c r="E297" s="84" t="s">
        <v>150</v>
      </c>
      <c r="G297" s="44">
        <v>1980000</v>
      </c>
      <c r="H297" s="44">
        <f t="shared" si="24"/>
        <v>-1980000</v>
      </c>
      <c r="L297" t="s">
        <v>6</v>
      </c>
      <c r="M297" s="44" t="s">
        <v>124</v>
      </c>
    </row>
    <row r="298" spans="1:13">
      <c r="A298" s="86">
        <v>44647</v>
      </c>
      <c r="B298" s="82">
        <f t="shared" si="23"/>
        <v>3</v>
      </c>
      <c r="C298">
        <f t="shared" si="22"/>
        <v>2022</v>
      </c>
      <c r="D298" s="86"/>
      <c r="E298" s="84" t="s">
        <v>68</v>
      </c>
      <c r="F298" s="44">
        <v>2310000</v>
      </c>
      <c r="H298" s="44">
        <f t="shared" si="24"/>
        <v>2310000</v>
      </c>
      <c r="J298" s="49"/>
      <c r="L298" t="s">
        <v>6</v>
      </c>
      <c r="M298" s="44" t="s">
        <v>124</v>
      </c>
    </row>
    <row r="299" spans="1:13">
      <c r="A299" s="86">
        <v>44647</v>
      </c>
      <c r="B299" s="82">
        <f t="shared" si="23"/>
        <v>3</v>
      </c>
      <c r="C299">
        <f t="shared" si="22"/>
        <v>2022</v>
      </c>
      <c r="D299" s="86"/>
      <c r="E299" s="84" t="s">
        <v>150</v>
      </c>
      <c r="G299" s="44">
        <v>2310000</v>
      </c>
      <c r="H299" s="44">
        <f t="shared" si="24"/>
        <v>-2310000</v>
      </c>
      <c r="L299" t="s">
        <v>6</v>
      </c>
      <c r="M299" s="44" t="s">
        <v>124</v>
      </c>
    </row>
    <row r="300" spans="1:13">
      <c r="A300" s="86">
        <v>44648</v>
      </c>
      <c r="B300" s="82">
        <f t="shared" si="23"/>
        <v>3</v>
      </c>
      <c r="C300">
        <f t="shared" si="22"/>
        <v>2022</v>
      </c>
      <c r="D300" s="86"/>
      <c r="E300" s="84" t="s">
        <v>68</v>
      </c>
      <c r="F300" s="44">
        <v>945000</v>
      </c>
      <c r="H300" s="44">
        <f t="shared" si="24"/>
        <v>945000</v>
      </c>
      <c r="L300" t="s">
        <v>4</v>
      </c>
      <c r="M300" s="44" t="s">
        <v>123</v>
      </c>
    </row>
    <row r="301" spans="1:13">
      <c r="A301" s="86">
        <v>44648</v>
      </c>
      <c r="B301" s="82">
        <f t="shared" si="23"/>
        <v>3</v>
      </c>
      <c r="C301">
        <f t="shared" si="22"/>
        <v>2022</v>
      </c>
      <c r="E301" s="84" t="s">
        <v>97</v>
      </c>
      <c r="F301" s="44">
        <v>1050962</v>
      </c>
      <c r="H301" s="44">
        <f t="shared" si="24"/>
        <v>1050962</v>
      </c>
      <c r="L301" s="29" t="s">
        <v>2</v>
      </c>
      <c r="M301" s="29" t="s">
        <v>31</v>
      </c>
    </row>
    <row r="302" spans="1:13">
      <c r="A302" s="86">
        <v>44648</v>
      </c>
      <c r="B302" s="82">
        <f t="shared" si="23"/>
        <v>3</v>
      </c>
      <c r="C302">
        <f t="shared" si="22"/>
        <v>2022</v>
      </c>
      <c r="D302" s="86"/>
      <c r="E302" s="84" t="s">
        <v>97</v>
      </c>
      <c r="G302" s="44">
        <v>1502664</v>
      </c>
      <c r="H302" s="44">
        <f t="shared" si="24"/>
        <v>-1502664</v>
      </c>
      <c r="L302" s="29" t="s">
        <v>2</v>
      </c>
      <c r="M302" s="29" t="s">
        <v>34</v>
      </c>
    </row>
    <row r="303" spans="1:13">
      <c r="A303" s="86">
        <v>44648</v>
      </c>
      <c r="B303" s="82">
        <f t="shared" si="23"/>
        <v>3</v>
      </c>
      <c r="C303">
        <f t="shared" si="22"/>
        <v>2022</v>
      </c>
      <c r="D303" s="86"/>
      <c r="E303" s="84" t="s">
        <v>150</v>
      </c>
      <c r="G303" s="44">
        <v>945000</v>
      </c>
      <c r="H303" s="44">
        <f t="shared" si="24"/>
        <v>-945000</v>
      </c>
      <c r="L303" t="s">
        <v>4</v>
      </c>
      <c r="M303" s="44" t="s">
        <v>123</v>
      </c>
    </row>
    <row r="304" spans="1:13">
      <c r="A304" s="86">
        <v>44648</v>
      </c>
      <c r="B304" s="82">
        <f t="shared" si="23"/>
        <v>3</v>
      </c>
      <c r="C304">
        <f t="shared" si="22"/>
        <v>2022</v>
      </c>
      <c r="E304" s="84" t="s">
        <v>150</v>
      </c>
      <c r="F304" s="44">
        <v>1502664</v>
      </c>
      <c r="H304" s="44">
        <f t="shared" si="24"/>
        <v>1502664</v>
      </c>
      <c r="L304" s="29" t="s">
        <v>2</v>
      </c>
      <c r="M304" s="29" t="s">
        <v>34</v>
      </c>
    </row>
    <row r="305" spans="1:13">
      <c r="A305" s="86">
        <v>44648</v>
      </c>
      <c r="B305" s="82">
        <f t="shared" si="23"/>
        <v>3</v>
      </c>
      <c r="C305">
        <f t="shared" si="22"/>
        <v>2022</v>
      </c>
      <c r="E305" s="84" t="s">
        <v>143</v>
      </c>
      <c r="F305" s="44">
        <v>626216.49200000009</v>
      </c>
      <c r="H305" s="44">
        <f t="shared" si="24"/>
        <v>626216.49200000009</v>
      </c>
      <c r="I305"/>
      <c r="M305" t="s">
        <v>2</v>
      </c>
    </row>
    <row r="306" spans="1:13">
      <c r="A306" s="86">
        <v>44648</v>
      </c>
      <c r="B306" s="82">
        <f t="shared" si="23"/>
        <v>3</v>
      </c>
      <c r="C306">
        <f t="shared" si="22"/>
        <v>2022</v>
      </c>
      <c r="E306" s="84" t="s">
        <v>89</v>
      </c>
      <c r="G306" s="44">
        <v>626216.49200000009</v>
      </c>
      <c r="H306" s="44">
        <f t="shared" si="24"/>
        <v>-626216.49200000009</v>
      </c>
      <c r="I306"/>
      <c r="M306" t="s">
        <v>2</v>
      </c>
    </row>
    <row r="307" spans="1:13">
      <c r="A307" s="86">
        <v>44648</v>
      </c>
      <c r="B307" s="82">
        <f t="shared" si="23"/>
        <v>3</v>
      </c>
      <c r="C307">
        <f t="shared" si="22"/>
        <v>2022</v>
      </c>
      <c r="E307" s="84" t="s">
        <v>98</v>
      </c>
      <c r="G307" s="44">
        <v>1050962</v>
      </c>
      <c r="H307" s="44">
        <f t="shared" si="24"/>
        <v>-1050962</v>
      </c>
      <c r="L307" s="29" t="s">
        <v>2</v>
      </c>
      <c r="M307" s="93" t="s">
        <v>31</v>
      </c>
    </row>
    <row r="308" spans="1:13">
      <c r="A308" s="86">
        <v>44650</v>
      </c>
      <c r="B308" s="82">
        <f t="shared" si="23"/>
        <v>3</v>
      </c>
      <c r="C308">
        <f t="shared" si="22"/>
        <v>2022</v>
      </c>
      <c r="D308" s="86"/>
      <c r="E308" s="84" t="s">
        <v>68</v>
      </c>
      <c r="F308" s="44">
        <v>1983695</v>
      </c>
      <c r="H308" s="44">
        <f t="shared" si="24"/>
        <v>1983695</v>
      </c>
      <c r="J308" s="49"/>
      <c r="L308" t="s">
        <v>12</v>
      </c>
      <c r="M308" s="44" t="s">
        <v>125</v>
      </c>
    </row>
    <row r="309" spans="1:13">
      <c r="A309" s="86">
        <v>44650</v>
      </c>
      <c r="B309" s="82">
        <f t="shared" si="23"/>
        <v>3</v>
      </c>
      <c r="C309">
        <f t="shared" si="22"/>
        <v>2022</v>
      </c>
      <c r="D309" s="86"/>
      <c r="E309" s="84" t="s">
        <v>150</v>
      </c>
      <c r="G309" s="44">
        <v>1983695</v>
      </c>
      <c r="H309" s="44">
        <f t="shared" si="24"/>
        <v>-1983695</v>
      </c>
      <c r="L309" t="s">
        <v>12</v>
      </c>
      <c r="M309" s="44" t="s">
        <v>125</v>
      </c>
    </row>
    <row r="310" spans="1:13">
      <c r="A310" s="86">
        <v>44651</v>
      </c>
      <c r="B310" s="82">
        <f t="shared" si="23"/>
        <v>3</v>
      </c>
      <c r="C310">
        <f t="shared" si="22"/>
        <v>2022</v>
      </c>
      <c r="D310" s="86"/>
      <c r="E310" s="84" t="s">
        <v>97</v>
      </c>
      <c r="G310" s="44">
        <v>550988</v>
      </c>
      <c r="H310" s="44">
        <f t="shared" si="24"/>
        <v>-550988</v>
      </c>
      <c r="L310" s="29" t="s">
        <v>10</v>
      </c>
      <c r="M310" s="29" t="s">
        <v>37</v>
      </c>
    </row>
    <row r="311" spans="1:13">
      <c r="A311" s="86">
        <v>44651</v>
      </c>
      <c r="B311" s="82">
        <f t="shared" si="23"/>
        <v>3</v>
      </c>
      <c r="C311">
        <f t="shared" si="22"/>
        <v>2022</v>
      </c>
      <c r="E311" s="84" t="s">
        <v>155</v>
      </c>
      <c r="F311" s="44">
        <v>802157</v>
      </c>
      <c r="H311" s="44">
        <f t="shared" si="24"/>
        <v>802157</v>
      </c>
      <c r="M311"/>
    </row>
    <row r="312" spans="1:13">
      <c r="A312" s="86">
        <v>44651</v>
      </c>
      <c r="B312" s="82">
        <f t="shared" si="23"/>
        <v>3</v>
      </c>
      <c r="C312">
        <f t="shared" si="22"/>
        <v>2022</v>
      </c>
      <c r="D312" s="86"/>
      <c r="E312" s="84" t="s">
        <v>150</v>
      </c>
      <c r="G312" s="44">
        <v>215645.00200000001</v>
      </c>
      <c r="H312" s="44">
        <f t="shared" si="24"/>
        <v>-215645.00200000001</v>
      </c>
      <c r="M312"/>
    </row>
    <row r="313" spans="1:13">
      <c r="A313" s="86">
        <v>44651</v>
      </c>
      <c r="B313" s="82">
        <f t="shared" si="23"/>
        <v>3</v>
      </c>
      <c r="C313">
        <f t="shared" si="22"/>
        <v>2022</v>
      </c>
      <c r="E313" s="84" t="s">
        <v>150</v>
      </c>
      <c r="F313" s="44">
        <v>550988</v>
      </c>
      <c r="H313" s="44">
        <f t="shared" si="24"/>
        <v>550988</v>
      </c>
      <c r="L313" s="29" t="s">
        <v>10</v>
      </c>
      <c r="M313" s="29" t="s">
        <v>37</v>
      </c>
    </row>
    <row r="314" spans="1:13">
      <c r="A314" s="86">
        <v>44651</v>
      </c>
      <c r="B314" s="82">
        <f t="shared" si="23"/>
        <v>3</v>
      </c>
      <c r="C314">
        <f t="shared" si="22"/>
        <v>2022</v>
      </c>
      <c r="E314" s="84" t="s">
        <v>150</v>
      </c>
      <c r="G314" s="44">
        <v>1007206</v>
      </c>
      <c r="H314" s="44">
        <f t="shared" si="24"/>
        <v>-1007206</v>
      </c>
      <c r="M314"/>
    </row>
    <row r="315" spans="1:13">
      <c r="A315" s="86">
        <v>44651</v>
      </c>
      <c r="B315" s="82">
        <f t="shared" si="23"/>
        <v>3</v>
      </c>
      <c r="C315">
        <f t="shared" si="22"/>
        <v>2022</v>
      </c>
      <c r="E315" s="84" t="s">
        <v>150</v>
      </c>
      <c r="G315" s="44">
        <v>804347</v>
      </c>
      <c r="H315" s="44">
        <f t="shared" si="24"/>
        <v>-804347</v>
      </c>
      <c r="M315"/>
    </row>
    <row r="316" spans="1:13">
      <c r="A316" s="86">
        <v>44651</v>
      </c>
      <c r="B316" s="82">
        <f t="shared" si="23"/>
        <v>3</v>
      </c>
      <c r="C316">
        <f t="shared" si="22"/>
        <v>2022</v>
      </c>
      <c r="E316" s="84" t="s">
        <v>150</v>
      </c>
      <c r="G316" s="44">
        <v>802157</v>
      </c>
      <c r="H316" s="44">
        <f t="shared" si="24"/>
        <v>-802157</v>
      </c>
      <c r="M316"/>
    </row>
    <row r="317" spans="1:13">
      <c r="A317" s="86">
        <v>44651</v>
      </c>
      <c r="B317" s="82">
        <f t="shared" si="23"/>
        <v>3</v>
      </c>
      <c r="C317">
        <f t="shared" si="22"/>
        <v>2022</v>
      </c>
      <c r="E317" s="84" t="s">
        <v>150</v>
      </c>
      <c r="F317" s="44">
        <v>1211408</v>
      </c>
      <c r="H317" s="44">
        <f t="shared" si="24"/>
        <v>1211408</v>
      </c>
      <c r="M317"/>
    </row>
    <row r="318" spans="1:13">
      <c r="A318" s="86">
        <v>44651</v>
      </c>
      <c r="B318" s="82">
        <f t="shared" si="23"/>
        <v>3</v>
      </c>
      <c r="C318">
        <f t="shared" si="22"/>
        <v>2022</v>
      </c>
      <c r="E318" s="84" t="s">
        <v>150</v>
      </c>
      <c r="G318" s="44">
        <v>1206834</v>
      </c>
      <c r="H318" s="44">
        <f t="shared" si="24"/>
        <v>-1206834</v>
      </c>
      <c r="M318"/>
    </row>
    <row r="319" spans="1:13">
      <c r="A319" s="86">
        <v>44651</v>
      </c>
      <c r="B319" s="82">
        <f t="shared" si="23"/>
        <v>3</v>
      </c>
      <c r="C319">
        <f t="shared" si="22"/>
        <v>2022</v>
      </c>
      <c r="E319" s="84" t="s">
        <v>154</v>
      </c>
      <c r="F319" s="44">
        <v>804347</v>
      </c>
      <c r="H319" s="44">
        <f t="shared" si="24"/>
        <v>804347</v>
      </c>
      <c r="M319"/>
    </row>
    <row r="320" spans="1:13">
      <c r="A320" s="86">
        <v>44651</v>
      </c>
      <c r="B320" s="82">
        <f t="shared" si="23"/>
        <v>3</v>
      </c>
      <c r="C320">
        <f t="shared" si="22"/>
        <v>2022</v>
      </c>
      <c r="E320" s="84" t="s">
        <v>159</v>
      </c>
      <c r="F320" s="44">
        <v>1206834</v>
      </c>
      <c r="H320" s="44">
        <f t="shared" si="24"/>
        <v>1206834</v>
      </c>
      <c r="M320"/>
    </row>
    <row r="321" spans="1:13">
      <c r="A321" s="86">
        <v>44651</v>
      </c>
      <c r="B321" s="82">
        <f t="shared" si="23"/>
        <v>3</v>
      </c>
      <c r="C321">
        <f t="shared" si="22"/>
        <v>2022</v>
      </c>
      <c r="E321" s="84" t="s">
        <v>158</v>
      </c>
      <c r="G321" s="44">
        <v>1211408</v>
      </c>
      <c r="H321" s="44">
        <f t="shared" si="24"/>
        <v>-1211408</v>
      </c>
      <c r="M321"/>
    </row>
    <row r="322" spans="1:13">
      <c r="A322" s="86">
        <v>44651</v>
      </c>
      <c r="B322" s="82">
        <f t="shared" si="23"/>
        <v>3</v>
      </c>
      <c r="C322">
        <f t="shared" si="22"/>
        <v>2022</v>
      </c>
      <c r="E322" s="84" t="s">
        <v>157</v>
      </c>
      <c r="F322" s="44">
        <v>1007206</v>
      </c>
      <c r="H322" s="44">
        <f t="shared" si="24"/>
        <v>1007206</v>
      </c>
      <c r="M322"/>
    </row>
    <row r="323" spans="1:13">
      <c r="A323" s="86">
        <v>44651</v>
      </c>
      <c r="B323" s="82">
        <f t="shared" si="23"/>
        <v>3</v>
      </c>
      <c r="C323">
        <f t="shared" si="22"/>
        <v>2022</v>
      </c>
      <c r="D323" s="86"/>
      <c r="E323" s="84" t="s">
        <v>146</v>
      </c>
      <c r="F323" s="44">
        <v>215645.00200000001</v>
      </c>
      <c r="H323" s="44">
        <f t="shared" si="24"/>
        <v>215645.00200000001</v>
      </c>
      <c r="M323"/>
    </row>
    <row r="324" spans="1:13">
      <c r="A324" s="86">
        <v>44652</v>
      </c>
      <c r="B324" s="82">
        <f t="shared" si="23"/>
        <v>4</v>
      </c>
      <c r="C324">
        <f t="shared" si="22"/>
        <v>2022</v>
      </c>
      <c r="E324" s="44" t="s">
        <v>191</v>
      </c>
      <c r="F324" s="44">
        <v>6455000</v>
      </c>
      <c r="H324" s="44">
        <f t="shared" si="24"/>
        <v>6455000</v>
      </c>
      <c r="M324"/>
    </row>
    <row r="325" spans="1:13">
      <c r="A325" s="86">
        <v>44652</v>
      </c>
      <c r="B325" s="82">
        <f t="shared" si="23"/>
        <v>4</v>
      </c>
      <c r="C325">
        <f t="shared" si="22"/>
        <v>2022</v>
      </c>
      <c r="E325" s="44" t="s">
        <v>190</v>
      </c>
      <c r="F325" s="44">
        <v>9045000</v>
      </c>
      <c r="H325" s="44">
        <f t="shared" si="24"/>
        <v>9045000</v>
      </c>
      <c r="M325"/>
    </row>
    <row r="326" spans="1:13">
      <c r="A326" s="86">
        <v>44652</v>
      </c>
      <c r="B326" s="82">
        <f t="shared" si="23"/>
        <v>4</v>
      </c>
      <c r="C326">
        <f t="shared" si="22"/>
        <v>2022</v>
      </c>
      <c r="E326" t="s">
        <v>189</v>
      </c>
      <c r="F326" s="44">
        <v>45000000</v>
      </c>
      <c r="H326" s="44">
        <f t="shared" si="24"/>
        <v>45000000</v>
      </c>
      <c r="M326"/>
    </row>
    <row r="327" spans="1:13">
      <c r="A327" s="86">
        <v>44652</v>
      </c>
      <c r="B327" s="82">
        <f t="shared" si="23"/>
        <v>4</v>
      </c>
      <c r="C327">
        <f t="shared" si="22"/>
        <v>2022</v>
      </c>
      <c r="E327" s="44" t="s">
        <v>156</v>
      </c>
      <c r="G327" s="44">
        <v>50000000</v>
      </c>
      <c r="H327" s="44">
        <f t="shared" si="24"/>
        <v>-50000000</v>
      </c>
      <c r="M327"/>
    </row>
    <row r="328" spans="1:13">
      <c r="A328" s="86">
        <v>44652</v>
      </c>
      <c r="B328" s="82">
        <f t="shared" si="23"/>
        <v>4</v>
      </c>
      <c r="C328">
        <f t="shared" si="22"/>
        <v>2022</v>
      </c>
      <c r="E328" s="44" t="s">
        <v>192</v>
      </c>
      <c r="G328" s="44">
        <v>10500000</v>
      </c>
      <c r="H328" s="44">
        <f t="shared" si="24"/>
        <v>-10500000</v>
      </c>
      <c r="M328"/>
    </row>
    <row r="329" spans="1:13">
      <c r="A329" s="86">
        <v>44653</v>
      </c>
      <c r="B329" s="82">
        <f t="shared" si="23"/>
        <v>4</v>
      </c>
      <c r="C329">
        <f t="shared" si="22"/>
        <v>2022</v>
      </c>
      <c r="D329" s="86"/>
      <c r="E329" s="84" t="s">
        <v>97</v>
      </c>
      <c r="G329" s="44">
        <v>2014920</v>
      </c>
      <c r="H329" s="44">
        <f t="shared" si="24"/>
        <v>-2014920</v>
      </c>
      <c r="L329" s="29" t="s">
        <v>2</v>
      </c>
      <c r="M329" s="29" t="s">
        <v>35</v>
      </c>
    </row>
    <row r="330" spans="1:13">
      <c r="A330" s="86">
        <v>44653</v>
      </c>
      <c r="B330" s="82">
        <f t="shared" si="23"/>
        <v>4</v>
      </c>
      <c r="C330">
        <f t="shared" si="22"/>
        <v>2022</v>
      </c>
      <c r="E330" s="84" t="s">
        <v>150</v>
      </c>
      <c r="F330" s="44">
        <v>2014920</v>
      </c>
      <c r="H330" s="44">
        <f t="shared" si="24"/>
        <v>2014920</v>
      </c>
      <c r="L330" s="29" t="s">
        <v>2</v>
      </c>
      <c r="M330" s="29" t="s">
        <v>35</v>
      </c>
    </row>
    <row r="331" spans="1:13">
      <c r="A331" s="86">
        <v>44657</v>
      </c>
      <c r="B331" s="82">
        <f t="shared" si="23"/>
        <v>4</v>
      </c>
      <c r="C331">
        <f t="shared" si="22"/>
        <v>2022</v>
      </c>
      <c r="D331" s="86"/>
      <c r="E331" s="84" t="s">
        <v>68</v>
      </c>
      <c r="F331" s="44">
        <v>1980000</v>
      </c>
      <c r="H331" s="44">
        <f t="shared" si="24"/>
        <v>1980000</v>
      </c>
      <c r="L331" t="s">
        <v>6</v>
      </c>
      <c r="M331" s="44" t="s">
        <v>124</v>
      </c>
    </row>
    <row r="332" spans="1:13">
      <c r="A332" s="86">
        <v>44657</v>
      </c>
      <c r="B332" s="82">
        <f t="shared" si="23"/>
        <v>4</v>
      </c>
      <c r="C332">
        <f t="shared" si="22"/>
        <v>2022</v>
      </c>
      <c r="D332" s="86"/>
      <c r="E332" s="84" t="s">
        <v>150</v>
      </c>
      <c r="G332" s="44">
        <v>1980000</v>
      </c>
      <c r="H332" s="44">
        <f t="shared" si="24"/>
        <v>-1980000</v>
      </c>
      <c r="L332" t="s">
        <v>6</v>
      </c>
      <c r="M332" s="44" t="s">
        <v>124</v>
      </c>
    </row>
    <row r="333" spans="1:13">
      <c r="A333" s="86">
        <v>44658</v>
      </c>
      <c r="B333" s="82">
        <f t="shared" si="23"/>
        <v>4</v>
      </c>
      <c r="C333">
        <f t="shared" ref="C333:C396" si="25">YEAR(A333)</f>
        <v>2022</v>
      </c>
      <c r="D333" s="86"/>
      <c r="E333" s="84" t="s">
        <v>68</v>
      </c>
      <c r="G333" s="44">
        <v>800000</v>
      </c>
      <c r="H333" s="44">
        <f t="shared" si="24"/>
        <v>-800000</v>
      </c>
      <c r="L333" t="s">
        <v>3</v>
      </c>
      <c r="M333" s="44" t="s">
        <v>123</v>
      </c>
    </row>
    <row r="334" spans="1:13">
      <c r="A334" s="86">
        <v>44658</v>
      </c>
      <c r="B334" s="82">
        <f t="shared" si="23"/>
        <v>4</v>
      </c>
      <c r="C334">
        <f t="shared" si="25"/>
        <v>2022</v>
      </c>
      <c r="D334" s="86"/>
      <c r="E334" s="84" t="s">
        <v>68</v>
      </c>
      <c r="G334" s="44">
        <v>945000</v>
      </c>
      <c r="H334" s="44">
        <f t="shared" si="24"/>
        <v>-945000</v>
      </c>
      <c r="L334" t="s">
        <v>4</v>
      </c>
      <c r="M334" s="44" t="s">
        <v>123</v>
      </c>
    </row>
    <row r="335" spans="1:13">
      <c r="A335" s="86">
        <v>44658</v>
      </c>
      <c r="B335" s="82">
        <f t="shared" si="23"/>
        <v>4</v>
      </c>
      <c r="C335">
        <f t="shared" si="25"/>
        <v>2022</v>
      </c>
      <c r="D335" s="86"/>
      <c r="E335" s="84" t="s">
        <v>68</v>
      </c>
      <c r="G335" s="44">
        <v>2375000</v>
      </c>
      <c r="H335" s="44">
        <f t="shared" si="24"/>
        <v>-2375000</v>
      </c>
      <c r="L335" t="s">
        <v>5</v>
      </c>
      <c r="M335" s="44" t="s">
        <v>123</v>
      </c>
    </row>
    <row r="336" spans="1:13">
      <c r="A336" s="86">
        <v>44658</v>
      </c>
      <c r="B336" s="82">
        <f t="shared" si="23"/>
        <v>4</v>
      </c>
      <c r="C336">
        <f t="shared" si="25"/>
        <v>2022</v>
      </c>
      <c r="D336" s="86"/>
      <c r="E336" s="84" t="s">
        <v>68</v>
      </c>
      <c r="G336" s="44">
        <v>2420000</v>
      </c>
      <c r="H336" s="44">
        <f t="shared" si="24"/>
        <v>-2420000</v>
      </c>
      <c r="L336" t="s">
        <v>6</v>
      </c>
      <c r="M336" s="44" t="s">
        <v>124</v>
      </c>
    </row>
    <row r="337" spans="1:13">
      <c r="A337" s="86">
        <v>44658</v>
      </c>
      <c r="B337" s="82">
        <f t="shared" si="23"/>
        <v>4</v>
      </c>
      <c r="C337">
        <f t="shared" si="25"/>
        <v>2022</v>
      </c>
      <c r="D337" s="86"/>
      <c r="E337" s="84" t="s">
        <v>68</v>
      </c>
      <c r="G337" s="44">
        <v>935000</v>
      </c>
      <c r="H337" s="44">
        <f t="shared" si="24"/>
        <v>-935000</v>
      </c>
      <c r="L337" t="s">
        <v>11</v>
      </c>
      <c r="M337" s="44" t="s">
        <v>125</v>
      </c>
    </row>
    <row r="338" spans="1:13">
      <c r="A338" s="86">
        <v>44658</v>
      </c>
      <c r="B338" s="82">
        <f t="shared" si="23"/>
        <v>4</v>
      </c>
      <c r="C338">
        <f t="shared" si="25"/>
        <v>2022</v>
      </c>
      <c r="D338" s="86"/>
      <c r="E338" s="84" t="s">
        <v>68</v>
      </c>
      <c r="G338" s="44">
        <v>2090000</v>
      </c>
      <c r="H338" s="44">
        <f t="shared" si="24"/>
        <v>-2090000</v>
      </c>
      <c r="L338" t="s">
        <v>12</v>
      </c>
      <c r="M338" s="44" t="s">
        <v>125</v>
      </c>
    </row>
    <row r="339" spans="1:13">
      <c r="A339" s="86">
        <v>44658</v>
      </c>
      <c r="B339" s="82">
        <f t="shared" si="23"/>
        <v>4</v>
      </c>
      <c r="C339">
        <f t="shared" si="25"/>
        <v>2022</v>
      </c>
      <c r="D339" s="86"/>
      <c r="E339" s="84" t="s">
        <v>67</v>
      </c>
      <c r="F339" s="44">
        <v>800000</v>
      </c>
      <c r="H339" s="44">
        <f t="shared" si="24"/>
        <v>800000</v>
      </c>
      <c r="L339" t="s">
        <v>3</v>
      </c>
      <c r="M339" s="44" t="s">
        <v>123</v>
      </c>
    </row>
    <row r="340" spans="1:13">
      <c r="A340" s="86">
        <v>44658</v>
      </c>
      <c r="B340" s="82">
        <f t="shared" si="23"/>
        <v>4</v>
      </c>
      <c r="C340">
        <f t="shared" si="25"/>
        <v>2022</v>
      </c>
      <c r="D340" s="86"/>
      <c r="E340" s="84" t="s">
        <v>67</v>
      </c>
      <c r="F340" s="44">
        <v>945000</v>
      </c>
      <c r="H340" s="44">
        <f t="shared" si="24"/>
        <v>945000</v>
      </c>
      <c r="L340" t="s">
        <v>4</v>
      </c>
      <c r="M340" s="44" t="s">
        <v>123</v>
      </c>
    </row>
    <row r="341" spans="1:13">
      <c r="A341" s="86">
        <v>44658</v>
      </c>
      <c r="B341" s="82">
        <f t="shared" si="23"/>
        <v>4</v>
      </c>
      <c r="C341">
        <f t="shared" si="25"/>
        <v>2022</v>
      </c>
      <c r="D341" s="86"/>
      <c r="E341" s="84" t="s">
        <v>67</v>
      </c>
      <c r="F341" s="44">
        <v>2375000</v>
      </c>
      <c r="H341" s="44">
        <f t="shared" si="24"/>
        <v>2375000</v>
      </c>
      <c r="L341" t="s">
        <v>5</v>
      </c>
      <c r="M341" s="44" t="s">
        <v>123</v>
      </c>
    </row>
    <row r="342" spans="1:13">
      <c r="A342" s="86">
        <v>44658</v>
      </c>
      <c r="B342" s="82">
        <f t="shared" si="23"/>
        <v>4</v>
      </c>
      <c r="C342">
        <f t="shared" si="25"/>
        <v>2022</v>
      </c>
      <c r="D342" s="86"/>
      <c r="E342" s="84" t="s">
        <v>67</v>
      </c>
      <c r="F342" s="44">
        <v>2420000</v>
      </c>
      <c r="H342" s="44">
        <f t="shared" si="24"/>
        <v>2420000</v>
      </c>
      <c r="L342" t="s">
        <v>6</v>
      </c>
      <c r="M342" s="44" t="s">
        <v>124</v>
      </c>
    </row>
    <row r="343" spans="1:13">
      <c r="A343" s="86">
        <v>44658</v>
      </c>
      <c r="B343" s="82">
        <f t="shared" ref="B343:B406" si="26">MONTH(A343)</f>
        <v>4</v>
      </c>
      <c r="C343">
        <f t="shared" si="25"/>
        <v>2022</v>
      </c>
      <c r="D343" s="86"/>
      <c r="E343" s="84" t="s">
        <v>67</v>
      </c>
      <c r="F343" s="44">
        <v>935000</v>
      </c>
      <c r="H343" s="44">
        <f t="shared" ref="H343:H406" si="27">F343-G343</f>
        <v>935000</v>
      </c>
      <c r="L343" t="s">
        <v>11</v>
      </c>
      <c r="M343" s="44" t="s">
        <v>125</v>
      </c>
    </row>
    <row r="344" spans="1:13">
      <c r="A344" s="86">
        <v>44658</v>
      </c>
      <c r="B344" s="82">
        <f t="shared" si="26"/>
        <v>4</v>
      </c>
      <c r="C344">
        <f t="shared" si="25"/>
        <v>2022</v>
      </c>
      <c r="D344" s="86"/>
      <c r="E344" s="84" t="s">
        <v>67</v>
      </c>
      <c r="F344" s="44">
        <v>2090000</v>
      </c>
      <c r="H344" s="44">
        <f t="shared" si="27"/>
        <v>2090000</v>
      </c>
      <c r="L344" t="s">
        <v>12</v>
      </c>
      <c r="M344" s="44" t="s">
        <v>125</v>
      </c>
    </row>
    <row r="345" spans="1:13">
      <c r="A345" s="86">
        <v>44659</v>
      </c>
      <c r="B345" s="82">
        <f t="shared" si="26"/>
        <v>4</v>
      </c>
      <c r="C345">
        <f t="shared" si="25"/>
        <v>2022</v>
      </c>
      <c r="D345" s="86"/>
      <c r="E345" s="84" t="s">
        <v>68</v>
      </c>
      <c r="F345" s="44">
        <v>720000</v>
      </c>
      <c r="H345" s="44">
        <f t="shared" si="27"/>
        <v>720000</v>
      </c>
      <c r="J345" s="49"/>
      <c r="L345" t="s">
        <v>11</v>
      </c>
      <c r="M345" s="44" t="s">
        <v>125</v>
      </c>
    </row>
    <row r="346" spans="1:13">
      <c r="A346" s="86">
        <v>44659</v>
      </c>
      <c r="B346" s="82">
        <f t="shared" si="26"/>
        <v>4</v>
      </c>
      <c r="C346">
        <f t="shared" si="25"/>
        <v>2022</v>
      </c>
      <c r="D346" s="86"/>
      <c r="E346" s="84" t="s">
        <v>150</v>
      </c>
      <c r="G346" s="44">
        <v>720000</v>
      </c>
      <c r="H346" s="44">
        <f t="shared" si="27"/>
        <v>-720000</v>
      </c>
      <c r="L346" t="s">
        <v>11</v>
      </c>
      <c r="M346" s="44" t="s">
        <v>125</v>
      </c>
    </row>
    <row r="347" spans="1:13">
      <c r="A347" s="86">
        <v>44662</v>
      </c>
      <c r="B347" s="82">
        <f t="shared" si="26"/>
        <v>4</v>
      </c>
      <c r="C347">
        <f t="shared" si="25"/>
        <v>2022</v>
      </c>
      <c r="D347" s="86"/>
      <c r="E347" s="84" t="s">
        <v>97</v>
      </c>
      <c r="G347" s="44">
        <v>1115827</v>
      </c>
      <c r="H347" s="44">
        <f t="shared" si="27"/>
        <v>-1115827</v>
      </c>
      <c r="L347" s="29" t="s">
        <v>2</v>
      </c>
      <c r="M347" s="29" t="s">
        <v>32</v>
      </c>
    </row>
    <row r="348" spans="1:13">
      <c r="A348" s="86">
        <v>44662</v>
      </c>
      <c r="B348" s="82">
        <f t="shared" si="26"/>
        <v>4</v>
      </c>
      <c r="C348">
        <f t="shared" si="25"/>
        <v>2022</v>
      </c>
      <c r="D348" s="86"/>
      <c r="E348" s="84" t="s">
        <v>97</v>
      </c>
      <c r="G348" s="44">
        <v>1827738</v>
      </c>
      <c r="H348" s="44">
        <f t="shared" si="27"/>
        <v>-1827738</v>
      </c>
      <c r="L348" s="29" t="s">
        <v>2</v>
      </c>
      <c r="M348" s="29" t="s">
        <v>32</v>
      </c>
    </row>
    <row r="349" spans="1:13">
      <c r="A349" s="86">
        <v>44662</v>
      </c>
      <c r="B349" s="82">
        <f t="shared" si="26"/>
        <v>4</v>
      </c>
      <c r="C349">
        <f t="shared" si="25"/>
        <v>2022</v>
      </c>
      <c r="E349" s="84" t="s">
        <v>150</v>
      </c>
      <c r="F349" s="44">
        <v>1115827</v>
      </c>
      <c r="H349" s="44">
        <f t="shared" si="27"/>
        <v>1115827</v>
      </c>
      <c r="L349" s="29" t="s">
        <v>2</v>
      </c>
      <c r="M349" s="29" t="s">
        <v>32</v>
      </c>
    </row>
    <row r="350" spans="1:13">
      <c r="A350" s="86">
        <v>44662</v>
      </c>
      <c r="B350" s="82">
        <f t="shared" si="26"/>
        <v>4</v>
      </c>
      <c r="C350">
        <f t="shared" si="25"/>
        <v>2022</v>
      </c>
      <c r="E350" s="84" t="s">
        <v>150</v>
      </c>
      <c r="F350" s="44">
        <v>1827738</v>
      </c>
      <c r="H350" s="44">
        <f t="shared" si="27"/>
        <v>1827738</v>
      </c>
      <c r="L350" s="29" t="s">
        <v>2</v>
      </c>
      <c r="M350" s="29" t="s">
        <v>32</v>
      </c>
    </row>
    <row r="351" spans="1:13">
      <c r="A351" s="86">
        <v>44663</v>
      </c>
      <c r="B351" s="82">
        <f t="shared" si="26"/>
        <v>4</v>
      </c>
      <c r="C351">
        <f t="shared" si="25"/>
        <v>2022</v>
      </c>
      <c r="D351" s="86"/>
      <c r="E351" s="84" t="s">
        <v>68</v>
      </c>
      <c r="F351" s="44">
        <v>1900000</v>
      </c>
      <c r="H351" s="44">
        <f t="shared" si="27"/>
        <v>1900000</v>
      </c>
      <c r="J351" s="49"/>
      <c r="L351" t="s">
        <v>5</v>
      </c>
      <c r="M351" s="44" t="s">
        <v>123</v>
      </c>
    </row>
    <row r="352" spans="1:13">
      <c r="A352" s="86">
        <v>44663</v>
      </c>
      <c r="B352" s="82">
        <f t="shared" si="26"/>
        <v>4</v>
      </c>
      <c r="C352">
        <f t="shared" si="25"/>
        <v>2022</v>
      </c>
      <c r="D352" s="86"/>
      <c r="E352" s="84" t="s">
        <v>150</v>
      </c>
      <c r="G352" s="44">
        <v>1900000</v>
      </c>
      <c r="H352" s="44">
        <f t="shared" si="27"/>
        <v>-1900000</v>
      </c>
      <c r="L352" t="s">
        <v>5</v>
      </c>
      <c r="M352" s="44" t="s">
        <v>123</v>
      </c>
    </row>
    <row r="353" spans="1:15">
      <c r="A353" s="86">
        <v>44664</v>
      </c>
      <c r="B353" s="82">
        <f t="shared" si="26"/>
        <v>4</v>
      </c>
      <c r="C353">
        <f t="shared" si="25"/>
        <v>2022</v>
      </c>
      <c r="D353" s="86"/>
      <c r="E353" s="84" t="s">
        <v>97</v>
      </c>
      <c r="G353" s="44">
        <v>1839104</v>
      </c>
      <c r="H353" s="44">
        <f t="shared" si="27"/>
        <v>-1839104</v>
      </c>
      <c r="L353" s="29" t="s">
        <v>2</v>
      </c>
      <c r="M353" s="29" t="s">
        <v>34</v>
      </c>
    </row>
    <row r="354" spans="1:15">
      <c r="A354" s="86">
        <v>44664</v>
      </c>
      <c r="B354" s="82">
        <f t="shared" si="26"/>
        <v>4</v>
      </c>
      <c r="C354">
        <f t="shared" si="25"/>
        <v>2022</v>
      </c>
      <c r="E354" s="84" t="s">
        <v>150</v>
      </c>
      <c r="F354" s="44">
        <v>1839104</v>
      </c>
      <c r="H354" s="44">
        <f t="shared" si="27"/>
        <v>1839104</v>
      </c>
      <c r="L354" s="29" t="s">
        <v>2</v>
      </c>
      <c r="M354" s="29" t="s">
        <v>34</v>
      </c>
    </row>
    <row r="355" spans="1:15">
      <c r="A355" s="86">
        <v>44665</v>
      </c>
      <c r="B355" s="82">
        <f t="shared" si="26"/>
        <v>4</v>
      </c>
      <c r="C355">
        <f t="shared" si="25"/>
        <v>2022</v>
      </c>
      <c r="E355" s="84" t="s">
        <v>81</v>
      </c>
      <c r="F355" s="44">
        <v>758612.40000000014</v>
      </c>
      <c r="H355" s="44">
        <f t="shared" si="27"/>
        <v>758612.40000000014</v>
      </c>
      <c r="L355" t="str">
        <f>VLOOKUP(M355,Reference!$A$16:$B$21,2,0)</f>
        <v>Supplier A</v>
      </c>
      <c r="M355" t="s">
        <v>3</v>
      </c>
      <c r="N355" t="str">
        <f t="shared" ref="N355:N360" si="28">L355</f>
        <v>Supplier A</v>
      </c>
      <c r="O355" t="str">
        <f t="shared" ref="O355:O360" si="29">M355</f>
        <v>Component 1</v>
      </c>
    </row>
    <row r="356" spans="1:15">
      <c r="A356" s="86">
        <v>44665</v>
      </c>
      <c r="B356" s="82">
        <f t="shared" si="26"/>
        <v>4</v>
      </c>
      <c r="C356">
        <f t="shared" si="25"/>
        <v>2022</v>
      </c>
      <c r="E356" s="84" t="s">
        <v>81</v>
      </c>
      <c r="F356" s="44">
        <v>989612.88</v>
      </c>
      <c r="H356" s="44">
        <f t="shared" si="27"/>
        <v>989612.88</v>
      </c>
      <c r="L356" t="str">
        <f>VLOOKUP(M356,Reference!$A$16:$B$21,2,0)</f>
        <v>Supplier A</v>
      </c>
      <c r="M356" t="s">
        <v>4</v>
      </c>
      <c r="N356" t="str">
        <f t="shared" si="28"/>
        <v>Supplier A</v>
      </c>
      <c r="O356" t="str">
        <f t="shared" si="29"/>
        <v>Component 2</v>
      </c>
    </row>
    <row r="357" spans="1:15">
      <c r="A357" s="86">
        <v>44665</v>
      </c>
      <c r="B357" s="82">
        <f t="shared" si="26"/>
        <v>4</v>
      </c>
      <c r="C357">
        <f t="shared" si="25"/>
        <v>2022</v>
      </c>
      <c r="E357" s="84" t="s">
        <v>81</v>
      </c>
      <c r="F357" s="44">
        <v>2277808.23</v>
      </c>
      <c r="H357" s="44">
        <f t="shared" si="27"/>
        <v>2277808.23</v>
      </c>
      <c r="L357" t="str">
        <f>VLOOKUP(M357,Reference!$A$16:$B$21,2,0)</f>
        <v>Supplier A</v>
      </c>
      <c r="M357" t="s">
        <v>5</v>
      </c>
      <c r="N357" t="str">
        <f t="shared" si="28"/>
        <v>Supplier A</v>
      </c>
      <c r="O357" t="str">
        <f t="shared" si="29"/>
        <v>Component 3</v>
      </c>
    </row>
    <row r="358" spans="1:15">
      <c r="A358" s="86">
        <v>44665</v>
      </c>
      <c r="B358" s="82">
        <f t="shared" si="26"/>
        <v>4</v>
      </c>
      <c r="C358">
        <f t="shared" si="25"/>
        <v>2022</v>
      </c>
      <c r="E358" s="84" t="s">
        <v>81</v>
      </c>
      <c r="F358" s="44">
        <v>1879658</v>
      </c>
      <c r="H358" s="44">
        <f t="shared" si="27"/>
        <v>1879658</v>
      </c>
      <c r="L358" t="str">
        <f>VLOOKUP(M358,Reference!$A$16:$B$21,2,0)</f>
        <v>Supplier B</v>
      </c>
      <c r="M358" t="s">
        <v>6</v>
      </c>
      <c r="N358" t="str">
        <f t="shared" si="28"/>
        <v>Supplier B</v>
      </c>
      <c r="O358" t="str">
        <f t="shared" si="29"/>
        <v>Component 4</v>
      </c>
    </row>
    <row r="359" spans="1:15">
      <c r="A359" s="86">
        <v>44665</v>
      </c>
      <c r="B359" s="82">
        <f t="shared" si="26"/>
        <v>4</v>
      </c>
      <c r="C359">
        <f t="shared" si="25"/>
        <v>2022</v>
      </c>
      <c r="E359" s="84" t="s">
        <v>81</v>
      </c>
      <c r="F359" s="44">
        <v>940346.5</v>
      </c>
      <c r="H359" s="44">
        <f t="shared" si="27"/>
        <v>940346.5</v>
      </c>
      <c r="L359" t="str">
        <f>VLOOKUP(M359,Reference!$A$16:$B$21,2,0)</f>
        <v>Supplier D</v>
      </c>
      <c r="M359" t="s">
        <v>11</v>
      </c>
      <c r="N359" t="str">
        <f t="shared" si="28"/>
        <v>Supplier D</v>
      </c>
      <c r="O359" t="str">
        <f t="shared" si="29"/>
        <v>Component 5</v>
      </c>
    </row>
    <row r="360" spans="1:15">
      <c r="A360" s="86">
        <v>44665</v>
      </c>
      <c r="B360" s="82">
        <f t="shared" si="26"/>
        <v>4</v>
      </c>
      <c r="C360">
        <f t="shared" si="25"/>
        <v>2022</v>
      </c>
      <c r="E360" s="84" t="s">
        <v>81</v>
      </c>
      <c r="F360" s="44">
        <v>2479972</v>
      </c>
      <c r="H360" s="44">
        <f t="shared" si="27"/>
        <v>2479972</v>
      </c>
      <c r="L360" t="str">
        <f>VLOOKUP(M360,Reference!$A$16:$B$21,2,0)</f>
        <v>Supplier D</v>
      </c>
      <c r="M360" t="s">
        <v>12</v>
      </c>
      <c r="N360" t="str">
        <f t="shared" si="28"/>
        <v>Supplier D</v>
      </c>
      <c r="O360" t="str">
        <f t="shared" si="29"/>
        <v>Component 6</v>
      </c>
    </row>
    <row r="361" spans="1:15">
      <c r="A361" s="86">
        <v>44665</v>
      </c>
      <c r="B361" s="82">
        <f t="shared" si="26"/>
        <v>4</v>
      </c>
      <c r="C361">
        <f t="shared" si="25"/>
        <v>2022</v>
      </c>
      <c r="E361" s="84" t="s">
        <v>143</v>
      </c>
      <c r="G361" s="44">
        <v>758612.40000000014</v>
      </c>
      <c r="H361" s="44">
        <f t="shared" si="27"/>
        <v>-758612.40000000014</v>
      </c>
      <c r="J361"/>
      <c r="M361" t="s">
        <v>3</v>
      </c>
    </row>
    <row r="362" spans="1:15">
      <c r="A362" s="86">
        <v>44665</v>
      </c>
      <c r="B362" s="82">
        <f t="shared" si="26"/>
        <v>4</v>
      </c>
      <c r="C362">
        <f t="shared" si="25"/>
        <v>2022</v>
      </c>
      <c r="E362" s="84" t="s">
        <v>143</v>
      </c>
      <c r="G362" s="44">
        <v>989612.88</v>
      </c>
      <c r="H362" s="44">
        <f t="shared" si="27"/>
        <v>-989612.88</v>
      </c>
      <c r="J362"/>
      <c r="M362" t="s">
        <v>4</v>
      </c>
    </row>
    <row r="363" spans="1:15">
      <c r="A363" s="86">
        <v>44665</v>
      </c>
      <c r="B363" s="82">
        <f t="shared" si="26"/>
        <v>4</v>
      </c>
      <c r="C363">
        <f t="shared" si="25"/>
        <v>2022</v>
      </c>
      <c r="E363" s="84" t="s">
        <v>143</v>
      </c>
      <c r="G363" s="44">
        <v>2277808.23</v>
      </c>
      <c r="H363" s="44">
        <f t="shared" si="27"/>
        <v>-2277808.23</v>
      </c>
      <c r="J363"/>
      <c r="M363" t="s">
        <v>5</v>
      </c>
    </row>
    <row r="364" spans="1:15">
      <c r="A364" s="86">
        <v>44665</v>
      </c>
      <c r="B364" s="82">
        <f t="shared" si="26"/>
        <v>4</v>
      </c>
      <c r="C364">
        <f t="shared" si="25"/>
        <v>2022</v>
      </c>
      <c r="E364" s="84" t="s">
        <v>143</v>
      </c>
      <c r="G364" s="44">
        <v>1879658</v>
      </c>
      <c r="H364" s="44">
        <f t="shared" si="27"/>
        <v>-1879658</v>
      </c>
      <c r="J364"/>
      <c r="M364" t="s">
        <v>6</v>
      </c>
    </row>
    <row r="365" spans="1:15">
      <c r="A365" s="86">
        <v>44665</v>
      </c>
      <c r="B365" s="82">
        <f t="shared" si="26"/>
        <v>4</v>
      </c>
      <c r="C365">
        <f t="shared" si="25"/>
        <v>2022</v>
      </c>
      <c r="E365" s="84" t="s">
        <v>143</v>
      </c>
      <c r="G365" s="44">
        <v>940346.5</v>
      </c>
      <c r="H365" s="44">
        <f t="shared" si="27"/>
        <v>-940346.5</v>
      </c>
      <c r="J365"/>
      <c r="M365" t="s">
        <v>11</v>
      </c>
    </row>
    <row r="366" spans="1:15">
      <c r="A366" s="86">
        <v>44665</v>
      </c>
      <c r="B366" s="82">
        <f t="shared" si="26"/>
        <v>4</v>
      </c>
      <c r="C366">
        <f t="shared" si="25"/>
        <v>2022</v>
      </c>
      <c r="E366" s="84" t="s">
        <v>143</v>
      </c>
      <c r="G366" s="44">
        <v>2479972</v>
      </c>
      <c r="H366" s="44">
        <f t="shared" si="27"/>
        <v>-2479972</v>
      </c>
      <c r="J366"/>
      <c r="M366" t="s">
        <v>12</v>
      </c>
    </row>
    <row r="367" spans="1:15">
      <c r="A367" s="86">
        <v>44665</v>
      </c>
      <c r="B367" s="82">
        <f t="shared" si="26"/>
        <v>4</v>
      </c>
      <c r="C367">
        <f t="shared" si="25"/>
        <v>2022</v>
      </c>
      <c r="E367" s="84" t="s">
        <v>67</v>
      </c>
      <c r="G367" s="44">
        <v>758612.40000000014</v>
      </c>
      <c r="H367" s="44">
        <f t="shared" si="27"/>
        <v>-758612.40000000014</v>
      </c>
      <c r="L367" t="s">
        <v>3</v>
      </c>
      <c r="M367" s="44" t="s">
        <v>123</v>
      </c>
    </row>
    <row r="368" spans="1:15">
      <c r="A368" s="86">
        <v>44665</v>
      </c>
      <c r="B368" s="82">
        <f t="shared" si="26"/>
        <v>4</v>
      </c>
      <c r="C368">
        <f t="shared" si="25"/>
        <v>2022</v>
      </c>
      <c r="E368" s="84" t="s">
        <v>67</v>
      </c>
      <c r="G368" s="44">
        <v>989612.88</v>
      </c>
      <c r="H368" s="44">
        <f t="shared" si="27"/>
        <v>-989612.88</v>
      </c>
      <c r="L368" t="s">
        <v>4</v>
      </c>
      <c r="M368" s="44" t="s">
        <v>123</v>
      </c>
    </row>
    <row r="369" spans="1:13">
      <c r="A369" s="86">
        <v>44665</v>
      </c>
      <c r="B369" s="82">
        <f t="shared" si="26"/>
        <v>4</v>
      </c>
      <c r="C369">
        <f t="shared" si="25"/>
        <v>2022</v>
      </c>
      <c r="E369" s="84" t="s">
        <v>67</v>
      </c>
      <c r="G369" s="44">
        <v>2277808.23</v>
      </c>
      <c r="H369" s="44">
        <f t="shared" si="27"/>
        <v>-2277808.23</v>
      </c>
      <c r="L369" t="s">
        <v>5</v>
      </c>
      <c r="M369" s="44" t="s">
        <v>123</v>
      </c>
    </row>
    <row r="370" spans="1:13">
      <c r="A370" s="86">
        <v>44665</v>
      </c>
      <c r="B370" s="82">
        <f t="shared" si="26"/>
        <v>4</v>
      </c>
      <c r="C370">
        <f t="shared" si="25"/>
        <v>2022</v>
      </c>
      <c r="E370" s="84" t="s">
        <v>67</v>
      </c>
      <c r="G370" s="44">
        <v>1879658</v>
      </c>
      <c r="H370" s="44">
        <f t="shared" si="27"/>
        <v>-1879658</v>
      </c>
      <c r="L370" t="s">
        <v>6</v>
      </c>
      <c r="M370" s="44" t="s">
        <v>124</v>
      </c>
    </row>
    <row r="371" spans="1:13">
      <c r="A371" s="86">
        <v>44665</v>
      </c>
      <c r="B371" s="82">
        <f t="shared" si="26"/>
        <v>4</v>
      </c>
      <c r="C371">
        <f t="shared" si="25"/>
        <v>2022</v>
      </c>
      <c r="E371" s="84" t="s">
        <v>67</v>
      </c>
      <c r="G371" s="44">
        <v>940346.5</v>
      </c>
      <c r="H371" s="44">
        <f t="shared" si="27"/>
        <v>-940346.5</v>
      </c>
      <c r="L371" t="s">
        <v>11</v>
      </c>
      <c r="M371" s="44" t="s">
        <v>125</v>
      </c>
    </row>
    <row r="372" spans="1:13">
      <c r="A372" s="86">
        <v>44665</v>
      </c>
      <c r="B372" s="82">
        <f t="shared" si="26"/>
        <v>4</v>
      </c>
      <c r="C372">
        <f t="shared" si="25"/>
        <v>2022</v>
      </c>
      <c r="E372" s="84" t="s">
        <v>67</v>
      </c>
      <c r="G372" s="44">
        <v>2479972</v>
      </c>
      <c r="H372" s="44">
        <f t="shared" si="27"/>
        <v>-2479972</v>
      </c>
      <c r="L372" t="s">
        <v>12</v>
      </c>
      <c r="M372" s="44" t="s">
        <v>125</v>
      </c>
    </row>
    <row r="373" spans="1:13">
      <c r="A373" s="86">
        <v>44666</v>
      </c>
      <c r="B373" s="82">
        <f t="shared" si="26"/>
        <v>4</v>
      </c>
      <c r="C373">
        <f t="shared" si="25"/>
        <v>2022</v>
      </c>
      <c r="E373" s="84" t="s">
        <v>89</v>
      </c>
      <c r="F373" s="44">
        <v>4050926.2059999993</v>
      </c>
      <c r="H373" s="44">
        <f t="shared" si="27"/>
        <v>4050926.2059999993</v>
      </c>
      <c r="I373"/>
      <c r="J373"/>
      <c r="M373"/>
    </row>
    <row r="374" spans="1:13">
      <c r="A374" s="86">
        <v>44666</v>
      </c>
      <c r="B374" s="82">
        <f t="shared" si="26"/>
        <v>4</v>
      </c>
      <c r="C374">
        <f t="shared" si="25"/>
        <v>2022</v>
      </c>
      <c r="E374" s="84" t="s">
        <v>90</v>
      </c>
      <c r="F374" s="44">
        <v>1586229.04</v>
      </c>
      <c r="H374" s="44">
        <f t="shared" si="27"/>
        <v>1586229.04</v>
      </c>
      <c r="I374"/>
      <c r="J374"/>
      <c r="M374"/>
    </row>
    <row r="375" spans="1:13">
      <c r="A375" s="86">
        <v>44666</v>
      </c>
      <c r="B375" s="82">
        <f t="shared" si="26"/>
        <v>4</v>
      </c>
      <c r="C375">
        <f t="shared" si="25"/>
        <v>2022</v>
      </c>
      <c r="E375" s="84" t="s">
        <v>91</v>
      </c>
      <c r="F375" s="44">
        <v>3945437.0400000005</v>
      </c>
      <c r="H375" s="44">
        <f t="shared" si="27"/>
        <v>3945437.0400000005</v>
      </c>
      <c r="I375"/>
      <c r="J375"/>
      <c r="M375"/>
    </row>
    <row r="376" spans="1:13">
      <c r="A376" s="86">
        <v>44666</v>
      </c>
      <c r="B376" s="82">
        <f t="shared" si="26"/>
        <v>4</v>
      </c>
      <c r="C376">
        <f t="shared" si="25"/>
        <v>2022</v>
      </c>
      <c r="E376" s="84" t="s">
        <v>146</v>
      </c>
      <c r="G376" s="44">
        <v>256582.27599999998</v>
      </c>
      <c r="H376" s="44">
        <f t="shared" si="27"/>
        <v>-256582.27599999998</v>
      </c>
      <c r="I376"/>
      <c r="J376"/>
      <c r="M376"/>
    </row>
    <row r="377" spans="1:13">
      <c r="A377" s="86">
        <v>44667</v>
      </c>
      <c r="B377" s="82">
        <f t="shared" si="26"/>
        <v>4</v>
      </c>
      <c r="C377">
        <f t="shared" si="25"/>
        <v>2022</v>
      </c>
      <c r="E377" s="84" t="s">
        <v>97</v>
      </c>
      <c r="F377" s="44">
        <v>1658016</v>
      </c>
      <c r="H377" s="44">
        <f t="shared" si="27"/>
        <v>1658016</v>
      </c>
      <c r="L377" s="29" t="s">
        <v>2</v>
      </c>
      <c r="M377" s="29" t="s">
        <v>34</v>
      </c>
    </row>
    <row r="378" spans="1:13">
      <c r="A378" s="86">
        <v>44667</v>
      </c>
      <c r="B378" s="82">
        <f t="shared" si="26"/>
        <v>4</v>
      </c>
      <c r="C378">
        <f t="shared" si="25"/>
        <v>2022</v>
      </c>
      <c r="D378" s="86"/>
      <c r="E378" s="84" t="s">
        <v>97</v>
      </c>
      <c r="G378" s="44">
        <v>4248900</v>
      </c>
      <c r="H378" s="44">
        <f t="shared" si="27"/>
        <v>-4248900</v>
      </c>
      <c r="L378" s="29" t="s">
        <v>14</v>
      </c>
      <c r="M378" s="29" t="s">
        <v>39</v>
      </c>
    </row>
    <row r="379" spans="1:13">
      <c r="A379" s="86">
        <v>44667</v>
      </c>
      <c r="B379" s="82">
        <f t="shared" si="26"/>
        <v>4</v>
      </c>
      <c r="C379">
        <f t="shared" si="25"/>
        <v>2022</v>
      </c>
      <c r="E379" s="84" t="s">
        <v>150</v>
      </c>
      <c r="F379" s="44">
        <v>4248900</v>
      </c>
      <c r="H379" s="44">
        <f t="shared" si="27"/>
        <v>4248900</v>
      </c>
      <c r="L379" s="29" t="s">
        <v>14</v>
      </c>
      <c r="M379" s="29" t="s">
        <v>39</v>
      </c>
    </row>
    <row r="380" spans="1:13">
      <c r="A380" s="86">
        <v>44667</v>
      </c>
      <c r="B380" s="82">
        <f t="shared" si="26"/>
        <v>4</v>
      </c>
      <c r="C380">
        <f t="shared" si="25"/>
        <v>2022</v>
      </c>
      <c r="E380" s="84" t="s">
        <v>143</v>
      </c>
      <c r="F380" s="44">
        <v>1292684.6640000001</v>
      </c>
      <c r="H380" s="44">
        <f t="shared" si="27"/>
        <v>1292684.6640000001</v>
      </c>
      <c r="I380"/>
      <c r="M380" t="s">
        <v>14</v>
      </c>
    </row>
    <row r="381" spans="1:13">
      <c r="A381" s="86">
        <v>44667</v>
      </c>
      <c r="B381" s="82">
        <f t="shared" si="26"/>
        <v>4</v>
      </c>
      <c r="C381">
        <f t="shared" si="25"/>
        <v>2022</v>
      </c>
      <c r="E381" s="84" t="s">
        <v>143</v>
      </c>
      <c r="F381" s="44">
        <v>932609.05266666657</v>
      </c>
      <c r="H381" s="44">
        <f t="shared" si="27"/>
        <v>932609.05266666657</v>
      </c>
      <c r="I381"/>
      <c r="M381" t="s">
        <v>2</v>
      </c>
    </row>
    <row r="382" spans="1:13">
      <c r="A382" s="86">
        <v>44667</v>
      </c>
      <c r="B382" s="82">
        <f t="shared" si="26"/>
        <v>4</v>
      </c>
      <c r="C382">
        <f t="shared" si="25"/>
        <v>2022</v>
      </c>
      <c r="E382" s="84" t="s">
        <v>89</v>
      </c>
      <c r="G382" s="44">
        <v>932609.05266666657</v>
      </c>
      <c r="H382" s="44">
        <f t="shared" si="27"/>
        <v>-932609.05266666657</v>
      </c>
      <c r="I382"/>
      <c r="M382" t="s">
        <v>2</v>
      </c>
    </row>
    <row r="383" spans="1:13">
      <c r="A383" s="86">
        <v>44667</v>
      </c>
      <c r="B383" s="82">
        <f t="shared" si="26"/>
        <v>4</v>
      </c>
      <c r="C383">
        <f t="shared" si="25"/>
        <v>2022</v>
      </c>
      <c r="E383" s="84" t="s">
        <v>91</v>
      </c>
      <c r="G383" s="44">
        <v>1292684.6640000001</v>
      </c>
      <c r="H383" s="44">
        <f t="shared" si="27"/>
        <v>-1292684.6640000001</v>
      </c>
      <c r="I383"/>
      <c r="M383" t="s">
        <v>14</v>
      </c>
    </row>
    <row r="384" spans="1:13">
      <c r="A384" s="86">
        <v>44667</v>
      </c>
      <c r="B384" s="82">
        <f t="shared" si="26"/>
        <v>4</v>
      </c>
      <c r="C384">
        <f t="shared" si="25"/>
        <v>2022</v>
      </c>
      <c r="E384" s="84" t="s">
        <v>98</v>
      </c>
      <c r="G384" s="44">
        <v>1466607</v>
      </c>
      <c r="H384" s="44">
        <f t="shared" si="27"/>
        <v>-1466607</v>
      </c>
      <c r="L384" s="29" t="s">
        <v>14</v>
      </c>
      <c r="M384" s="93" t="s">
        <v>40</v>
      </c>
    </row>
    <row r="385" spans="1:13">
      <c r="A385" s="86">
        <v>44667</v>
      </c>
      <c r="B385" s="82">
        <f t="shared" si="26"/>
        <v>4</v>
      </c>
      <c r="C385">
        <f t="shared" si="25"/>
        <v>2022</v>
      </c>
      <c r="E385" s="84" t="s">
        <v>98</v>
      </c>
      <c r="G385" s="44">
        <v>1658016</v>
      </c>
      <c r="H385" s="44">
        <f t="shared" si="27"/>
        <v>-1658016</v>
      </c>
      <c r="L385" s="29" t="s">
        <v>2</v>
      </c>
      <c r="M385" s="93" t="s">
        <v>34</v>
      </c>
    </row>
    <row r="386" spans="1:13">
      <c r="A386" s="86">
        <v>44668</v>
      </c>
      <c r="B386" s="82">
        <f t="shared" si="26"/>
        <v>4</v>
      </c>
      <c r="C386">
        <f t="shared" si="25"/>
        <v>2022</v>
      </c>
      <c r="E386" s="84" t="s">
        <v>97</v>
      </c>
      <c r="F386" s="44">
        <v>1073682</v>
      </c>
      <c r="H386" s="44">
        <f t="shared" si="27"/>
        <v>1073682</v>
      </c>
      <c r="L386" s="29" t="s">
        <v>10</v>
      </c>
      <c r="M386" s="29" t="s">
        <v>36</v>
      </c>
    </row>
    <row r="387" spans="1:13">
      <c r="A387" s="86">
        <v>44668</v>
      </c>
      <c r="B387" s="82">
        <f t="shared" si="26"/>
        <v>4</v>
      </c>
      <c r="C387">
        <f t="shared" si="25"/>
        <v>2022</v>
      </c>
      <c r="D387" s="86"/>
      <c r="E387" s="84" t="s">
        <v>97</v>
      </c>
      <c r="G387" s="44">
        <v>2424273</v>
      </c>
      <c r="H387" s="44">
        <f t="shared" si="27"/>
        <v>-2424273</v>
      </c>
      <c r="L387" s="29" t="s">
        <v>14</v>
      </c>
      <c r="M387" s="29" t="s">
        <v>39</v>
      </c>
    </row>
    <row r="388" spans="1:13">
      <c r="A388" s="86">
        <v>44668</v>
      </c>
      <c r="B388" s="82">
        <f t="shared" si="26"/>
        <v>4</v>
      </c>
      <c r="C388">
        <f t="shared" si="25"/>
        <v>2022</v>
      </c>
      <c r="D388" s="86"/>
      <c r="E388" s="84" t="s">
        <v>97</v>
      </c>
      <c r="G388" s="44">
        <v>1282260</v>
      </c>
      <c r="H388" s="44">
        <f t="shared" si="27"/>
        <v>-1282260</v>
      </c>
      <c r="L388" s="29" t="s">
        <v>2</v>
      </c>
      <c r="M388" s="29" t="s">
        <v>33</v>
      </c>
    </row>
    <row r="389" spans="1:13">
      <c r="A389" s="86">
        <v>44668</v>
      </c>
      <c r="B389" s="82">
        <f t="shared" si="26"/>
        <v>4</v>
      </c>
      <c r="C389">
        <f t="shared" si="25"/>
        <v>2022</v>
      </c>
      <c r="E389" s="84" t="s">
        <v>150</v>
      </c>
      <c r="F389" s="44">
        <v>2424273</v>
      </c>
      <c r="H389" s="44">
        <f t="shared" si="27"/>
        <v>2424273</v>
      </c>
      <c r="L389" s="29" t="s">
        <v>14</v>
      </c>
      <c r="M389" s="29" t="s">
        <v>39</v>
      </c>
    </row>
    <row r="390" spans="1:13">
      <c r="A390" s="86">
        <v>44668</v>
      </c>
      <c r="B390" s="82">
        <f t="shared" si="26"/>
        <v>4</v>
      </c>
      <c r="C390">
        <f t="shared" si="25"/>
        <v>2022</v>
      </c>
      <c r="E390" s="84" t="s">
        <v>150</v>
      </c>
      <c r="F390" s="44">
        <v>1282260</v>
      </c>
      <c r="H390" s="44">
        <f t="shared" si="27"/>
        <v>1282260</v>
      </c>
      <c r="L390" s="29" t="s">
        <v>2</v>
      </c>
      <c r="M390" s="29" t="s">
        <v>33</v>
      </c>
    </row>
    <row r="391" spans="1:13">
      <c r="A391" s="86">
        <v>44668</v>
      </c>
      <c r="B391" s="82">
        <f t="shared" si="26"/>
        <v>4</v>
      </c>
      <c r="C391">
        <f t="shared" si="25"/>
        <v>2022</v>
      </c>
      <c r="E391" s="84" t="s">
        <v>143</v>
      </c>
      <c r="F391" s="44">
        <v>729958.17599999998</v>
      </c>
      <c r="H391" s="44">
        <f t="shared" si="27"/>
        <v>729958.17599999998</v>
      </c>
      <c r="I391"/>
      <c r="M391" t="s">
        <v>10</v>
      </c>
    </row>
    <row r="392" spans="1:13">
      <c r="A392" s="86">
        <v>44668</v>
      </c>
      <c r="B392" s="82">
        <f t="shared" si="26"/>
        <v>4</v>
      </c>
      <c r="C392">
        <f t="shared" si="25"/>
        <v>2022</v>
      </c>
      <c r="E392" s="84" t="s">
        <v>90</v>
      </c>
      <c r="G392" s="44">
        <v>729958.17599999998</v>
      </c>
      <c r="H392" s="44">
        <f t="shared" si="27"/>
        <v>-729958.17599999998</v>
      </c>
      <c r="I392"/>
      <c r="M392" t="s">
        <v>10</v>
      </c>
    </row>
    <row r="393" spans="1:13">
      <c r="A393" s="86">
        <v>44668</v>
      </c>
      <c r="B393" s="82">
        <f t="shared" si="26"/>
        <v>4</v>
      </c>
      <c r="C393">
        <f t="shared" si="25"/>
        <v>2022</v>
      </c>
      <c r="E393" s="84" t="s">
        <v>98</v>
      </c>
      <c r="G393" s="44">
        <v>1073682</v>
      </c>
      <c r="H393" s="44">
        <f t="shared" si="27"/>
        <v>-1073682</v>
      </c>
      <c r="L393" s="29" t="s">
        <v>10</v>
      </c>
      <c r="M393" s="93" t="s">
        <v>36</v>
      </c>
    </row>
    <row r="394" spans="1:13">
      <c r="A394" s="86">
        <v>44669</v>
      </c>
      <c r="B394" s="82">
        <f t="shared" si="26"/>
        <v>4</v>
      </c>
      <c r="C394">
        <f t="shared" si="25"/>
        <v>2022</v>
      </c>
      <c r="E394" s="84" t="s">
        <v>97</v>
      </c>
      <c r="F394" s="44">
        <v>558195</v>
      </c>
      <c r="H394" s="44">
        <f t="shared" si="27"/>
        <v>558195</v>
      </c>
      <c r="L394" s="29" t="s">
        <v>10</v>
      </c>
      <c r="M394" s="29" t="s">
        <v>37</v>
      </c>
    </row>
    <row r="395" spans="1:13">
      <c r="A395" s="86">
        <v>44669</v>
      </c>
      <c r="B395" s="82">
        <f t="shared" si="26"/>
        <v>4</v>
      </c>
      <c r="C395">
        <f t="shared" si="25"/>
        <v>2022</v>
      </c>
      <c r="E395" s="84" t="s">
        <v>143</v>
      </c>
      <c r="F395" s="44">
        <v>407096.68800000002</v>
      </c>
      <c r="H395" s="44">
        <f t="shared" si="27"/>
        <v>407096.68800000002</v>
      </c>
      <c r="I395"/>
      <c r="M395" t="s">
        <v>10</v>
      </c>
    </row>
    <row r="396" spans="1:13">
      <c r="A396" s="86">
        <v>44669</v>
      </c>
      <c r="B396" s="82">
        <f t="shared" si="26"/>
        <v>4</v>
      </c>
      <c r="C396">
        <f t="shared" si="25"/>
        <v>2022</v>
      </c>
      <c r="E396" s="84" t="s">
        <v>90</v>
      </c>
      <c r="G396" s="44">
        <v>407096.68800000002</v>
      </c>
      <c r="H396" s="44">
        <f t="shared" si="27"/>
        <v>-407096.68800000002</v>
      </c>
      <c r="I396"/>
      <c r="M396" t="s">
        <v>10</v>
      </c>
    </row>
    <row r="397" spans="1:13">
      <c r="A397" s="86">
        <v>44669</v>
      </c>
      <c r="B397" s="82">
        <f t="shared" si="26"/>
        <v>4</v>
      </c>
      <c r="C397">
        <f t="shared" ref="C397:C460" si="30">YEAR(A397)</f>
        <v>2022</v>
      </c>
      <c r="E397" s="84" t="s">
        <v>98</v>
      </c>
      <c r="G397" s="44">
        <v>558195</v>
      </c>
      <c r="H397" s="44">
        <f t="shared" si="27"/>
        <v>-558195</v>
      </c>
      <c r="L397" s="29" t="s">
        <v>10</v>
      </c>
      <c r="M397" s="93" t="s">
        <v>37</v>
      </c>
    </row>
    <row r="398" spans="1:13">
      <c r="A398" s="86">
        <v>44670</v>
      </c>
      <c r="B398" s="82">
        <f t="shared" si="26"/>
        <v>4</v>
      </c>
      <c r="C398">
        <f t="shared" si="30"/>
        <v>2022</v>
      </c>
      <c r="E398" s="84" t="s">
        <v>97</v>
      </c>
      <c r="F398" s="44">
        <v>440505</v>
      </c>
      <c r="H398" s="44">
        <f t="shared" si="27"/>
        <v>440505</v>
      </c>
      <c r="L398" s="29" t="s">
        <v>2</v>
      </c>
      <c r="M398" s="29" t="s">
        <v>33</v>
      </c>
    </row>
    <row r="399" spans="1:13">
      <c r="A399" s="86">
        <v>44670</v>
      </c>
      <c r="B399" s="82">
        <f t="shared" si="26"/>
        <v>4</v>
      </c>
      <c r="C399">
        <f t="shared" si="30"/>
        <v>2022</v>
      </c>
      <c r="E399" s="84" t="s">
        <v>143</v>
      </c>
      <c r="F399" s="44">
        <v>345962.48466666648</v>
      </c>
      <c r="H399" s="44">
        <f t="shared" si="27"/>
        <v>345962.48466666648</v>
      </c>
      <c r="I399"/>
      <c r="M399" t="s">
        <v>2</v>
      </c>
    </row>
    <row r="400" spans="1:13">
      <c r="A400" s="86">
        <v>44670</v>
      </c>
      <c r="B400" s="82">
        <f t="shared" si="26"/>
        <v>4</v>
      </c>
      <c r="C400">
        <f t="shared" si="30"/>
        <v>2022</v>
      </c>
      <c r="E400" s="84" t="s">
        <v>89</v>
      </c>
      <c r="G400" s="44">
        <v>345962.48466666648</v>
      </c>
      <c r="H400" s="44">
        <f t="shared" si="27"/>
        <v>-345962.48466666648</v>
      </c>
      <c r="I400"/>
      <c r="M400" t="s">
        <v>2</v>
      </c>
    </row>
    <row r="401" spans="1:13">
      <c r="A401" s="86">
        <v>44670</v>
      </c>
      <c r="B401" s="82">
        <f t="shared" si="26"/>
        <v>4</v>
      </c>
      <c r="C401">
        <f t="shared" si="30"/>
        <v>2022</v>
      </c>
      <c r="E401" s="84" t="s">
        <v>98</v>
      </c>
      <c r="G401" s="44">
        <v>440505</v>
      </c>
      <c r="H401" s="44">
        <f t="shared" si="27"/>
        <v>-440505</v>
      </c>
      <c r="L401" s="29" t="s">
        <v>2</v>
      </c>
      <c r="M401" s="93" t="s">
        <v>33</v>
      </c>
    </row>
    <row r="402" spans="1:13">
      <c r="A402" s="86">
        <v>44673</v>
      </c>
      <c r="B402" s="82">
        <f t="shared" si="26"/>
        <v>4</v>
      </c>
      <c r="C402">
        <f t="shared" si="30"/>
        <v>2022</v>
      </c>
      <c r="E402" s="84" t="s">
        <v>97</v>
      </c>
      <c r="F402" s="44">
        <v>671880</v>
      </c>
      <c r="H402" s="44">
        <f t="shared" si="27"/>
        <v>671880</v>
      </c>
      <c r="L402" s="29" t="s">
        <v>10</v>
      </c>
      <c r="M402" s="29" t="s">
        <v>38</v>
      </c>
    </row>
    <row r="403" spans="1:13">
      <c r="A403" s="86">
        <v>44673</v>
      </c>
      <c r="B403" s="82">
        <f t="shared" si="26"/>
        <v>4</v>
      </c>
      <c r="C403">
        <f t="shared" si="30"/>
        <v>2022</v>
      </c>
      <c r="E403" s="84" t="s">
        <v>143</v>
      </c>
      <c r="F403" s="44">
        <v>449174.17600000004</v>
      </c>
      <c r="H403" s="44">
        <f t="shared" si="27"/>
        <v>449174.17600000004</v>
      </c>
      <c r="I403"/>
      <c r="M403" t="s">
        <v>10</v>
      </c>
    </row>
    <row r="404" spans="1:13">
      <c r="A404" s="86">
        <v>44673</v>
      </c>
      <c r="B404" s="82">
        <f t="shared" si="26"/>
        <v>4</v>
      </c>
      <c r="C404">
        <f t="shared" si="30"/>
        <v>2022</v>
      </c>
      <c r="E404" s="84" t="s">
        <v>90</v>
      </c>
      <c r="G404" s="44">
        <v>449174.17600000004</v>
      </c>
      <c r="H404" s="44">
        <f t="shared" si="27"/>
        <v>-449174.17600000004</v>
      </c>
      <c r="I404"/>
      <c r="M404" t="s">
        <v>10</v>
      </c>
    </row>
    <row r="405" spans="1:13">
      <c r="A405" s="86">
        <v>44673</v>
      </c>
      <c r="B405" s="82">
        <f t="shared" si="26"/>
        <v>4</v>
      </c>
      <c r="C405">
        <f t="shared" si="30"/>
        <v>2022</v>
      </c>
      <c r="E405" s="84" t="s">
        <v>98</v>
      </c>
      <c r="G405" s="44">
        <v>671880</v>
      </c>
      <c r="H405" s="44">
        <f t="shared" si="27"/>
        <v>-671880</v>
      </c>
      <c r="L405" s="29" t="s">
        <v>10</v>
      </c>
      <c r="M405" s="93" t="s">
        <v>38</v>
      </c>
    </row>
    <row r="406" spans="1:13">
      <c r="A406" s="86">
        <v>44674</v>
      </c>
      <c r="B406" s="82">
        <f t="shared" si="26"/>
        <v>4</v>
      </c>
      <c r="C406">
        <f t="shared" si="30"/>
        <v>2022</v>
      </c>
      <c r="D406" s="86"/>
      <c r="E406" s="84" t="s">
        <v>68</v>
      </c>
      <c r="F406" s="44">
        <v>855000</v>
      </c>
      <c r="H406" s="44">
        <f t="shared" si="27"/>
        <v>855000</v>
      </c>
      <c r="L406" t="s">
        <v>4</v>
      </c>
      <c r="M406" s="44" t="s">
        <v>123</v>
      </c>
    </row>
    <row r="407" spans="1:13">
      <c r="A407" s="86">
        <v>44674</v>
      </c>
      <c r="B407" s="82">
        <f t="shared" ref="B407:B470" si="31">MONTH(A407)</f>
        <v>4</v>
      </c>
      <c r="C407">
        <f t="shared" si="30"/>
        <v>2022</v>
      </c>
      <c r="E407" s="84" t="s">
        <v>97</v>
      </c>
      <c r="F407" s="44">
        <v>1250755</v>
      </c>
      <c r="H407" s="44">
        <f t="shared" ref="H407:H470" si="32">F407-G407</f>
        <v>1250755</v>
      </c>
      <c r="L407" s="29" t="s">
        <v>2</v>
      </c>
      <c r="M407" s="29" t="s">
        <v>32</v>
      </c>
    </row>
    <row r="408" spans="1:13">
      <c r="A408" s="86">
        <v>44674</v>
      </c>
      <c r="B408" s="82">
        <f t="shared" si="31"/>
        <v>4</v>
      </c>
      <c r="C408">
        <f t="shared" si="30"/>
        <v>2022</v>
      </c>
      <c r="D408" s="86"/>
      <c r="E408" s="84" t="s">
        <v>150</v>
      </c>
      <c r="G408" s="44">
        <v>855000</v>
      </c>
      <c r="H408" s="44">
        <f t="shared" si="32"/>
        <v>-855000</v>
      </c>
      <c r="L408" t="s">
        <v>4</v>
      </c>
      <c r="M408" s="44" t="s">
        <v>123</v>
      </c>
    </row>
    <row r="409" spans="1:13">
      <c r="A409" s="86">
        <v>44674</v>
      </c>
      <c r="B409" s="82">
        <f t="shared" si="31"/>
        <v>4</v>
      </c>
      <c r="C409">
        <f t="shared" si="30"/>
        <v>2022</v>
      </c>
      <c r="E409" s="84" t="s">
        <v>143</v>
      </c>
      <c r="F409" s="44">
        <v>1007699.1920000002</v>
      </c>
      <c r="H409" s="44">
        <f t="shared" si="32"/>
        <v>1007699.1920000002</v>
      </c>
      <c r="I409"/>
      <c r="M409" t="s">
        <v>2</v>
      </c>
    </row>
    <row r="410" spans="1:13">
      <c r="A410" s="86">
        <v>44674</v>
      </c>
      <c r="B410" s="82">
        <f t="shared" si="31"/>
        <v>4</v>
      </c>
      <c r="C410">
        <f t="shared" si="30"/>
        <v>2022</v>
      </c>
      <c r="E410" s="84" t="s">
        <v>89</v>
      </c>
      <c r="G410" s="44">
        <v>1007699.1920000002</v>
      </c>
      <c r="H410" s="44">
        <f t="shared" si="32"/>
        <v>-1007699.1920000002</v>
      </c>
      <c r="I410"/>
      <c r="M410" t="s">
        <v>2</v>
      </c>
    </row>
    <row r="411" spans="1:13">
      <c r="A411" s="86">
        <v>44674</v>
      </c>
      <c r="B411" s="82">
        <f t="shared" si="31"/>
        <v>4</v>
      </c>
      <c r="C411">
        <f t="shared" si="30"/>
        <v>2022</v>
      </c>
      <c r="E411" s="84" t="s">
        <v>98</v>
      </c>
      <c r="G411" s="44">
        <v>1250755</v>
      </c>
      <c r="H411" s="44">
        <f t="shared" si="32"/>
        <v>-1250755</v>
      </c>
      <c r="L411" s="29" t="s">
        <v>2</v>
      </c>
      <c r="M411" s="93" t="s">
        <v>32</v>
      </c>
    </row>
    <row r="412" spans="1:13">
      <c r="A412" s="86">
        <v>44675</v>
      </c>
      <c r="B412" s="82">
        <f t="shared" si="31"/>
        <v>4</v>
      </c>
      <c r="C412">
        <f t="shared" si="30"/>
        <v>2022</v>
      </c>
      <c r="D412" s="86"/>
      <c r="E412" s="84" t="s">
        <v>97</v>
      </c>
      <c r="G412" s="44">
        <v>543344</v>
      </c>
      <c r="H412" s="44">
        <f t="shared" si="32"/>
        <v>-543344</v>
      </c>
      <c r="L412" s="29" t="s">
        <v>10</v>
      </c>
      <c r="M412" s="29" t="s">
        <v>38</v>
      </c>
    </row>
    <row r="413" spans="1:13">
      <c r="A413" s="86">
        <v>44675</v>
      </c>
      <c r="B413" s="82">
        <f t="shared" si="31"/>
        <v>4</v>
      </c>
      <c r="C413">
        <f t="shared" si="30"/>
        <v>2022</v>
      </c>
      <c r="D413" s="86"/>
      <c r="E413" s="84" t="s">
        <v>97</v>
      </c>
      <c r="G413" s="44">
        <v>446978</v>
      </c>
      <c r="H413" s="44">
        <f t="shared" si="32"/>
        <v>-446978</v>
      </c>
      <c r="L413" s="29" t="s">
        <v>2</v>
      </c>
      <c r="M413" s="29" t="s">
        <v>33</v>
      </c>
    </row>
    <row r="414" spans="1:13">
      <c r="A414" s="86">
        <v>44675</v>
      </c>
      <c r="B414" s="82">
        <f t="shared" si="31"/>
        <v>4</v>
      </c>
      <c r="C414">
        <f t="shared" si="30"/>
        <v>2022</v>
      </c>
      <c r="E414" s="84" t="s">
        <v>150</v>
      </c>
      <c r="F414" s="44">
        <v>543344</v>
      </c>
      <c r="H414" s="44">
        <f t="shared" si="32"/>
        <v>543344</v>
      </c>
      <c r="L414" s="29" t="s">
        <v>10</v>
      </c>
      <c r="M414" s="29" t="s">
        <v>38</v>
      </c>
    </row>
    <row r="415" spans="1:13">
      <c r="A415" s="86">
        <v>44675</v>
      </c>
      <c r="B415" s="82">
        <f t="shared" si="31"/>
        <v>4</v>
      </c>
      <c r="C415">
        <f t="shared" si="30"/>
        <v>2022</v>
      </c>
      <c r="E415" s="84" t="s">
        <v>150</v>
      </c>
      <c r="F415" s="44">
        <v>446978</v>
      </c>
      <c r="H415" s="44">
        <f t="shared" si="32"/>
        <v>446978</v>
      </c>
      <c r="L415" s="29" t="s">
        <v>2</v>
      </c>
      <c r="M415" s="29" t="s">
        <v>33</v>
      </c>
    </row>
    <row r="416" spans="1:13">
      <c r="A416" s="86">
        <v>44676</v>
      </c>
      <c r="B416" s="82">
        <f t="shared" si="31"/>
        <v>4</v>
      </c>
      <c r="C416">
        <f t="shared" si="30"/>
        <v>2022</v>
      </c>
      <c r="D416" s="86"/>
      <c r="E416" s="84" t="s">
        <v>68</v>
      </c>
      <c r="F416" s="44">
        <v>1800000</v>
      </c>
      <c r="H416" s="44">
        <f t="shared" si="32"/>
        <v>1800000</v>
      </c>
      <c r="L416" t="s">
        <v>5</v>
      </c>
      <c r="M416" s="44" t="s">
        <v>123</v>
      </c>
    </row>
    <row r="417" spans="1:13">
      <c r="A417" s="86">
        <v>44676</v>
      </c>
      <c r="B417" s="82">
        <f t="shared" si="31"/>
        <v>4</v>
      </c>
      <c r="C417">
        <f t="shared" si="30"/>
        <v>2022</v>
      </c>
      <c r="D417" s="86"/>
      <c r="E417" s="84" t="s">
        <v>150</v>
      </c>
      <c r="G417" s="44">
        <v>1800000</v>
      </c>
      <c r="H417" s="44">
        <f t="shared" si="32"/>
        <v>-1800000</v>
      </c>
      <c r="L417" t="s">
        <v>5</v>
      </c>
      <c r="M417" s="44" t="s">
        <v>123</v>
      </c>
    </row>
    <row r="418" spans="1:13">
      <c r="A418" s="86">
        <v>44679</v>
      </c>
      <c r="B418" s="82">
        <f t="shared" si="31"/>
        <v>4</v>
      </c>
      <c r="C418">
        <f t="shared" si="30"/>
        <v>2022</v>
      </c>
      <c r="E418" s="84" t="s">
        <v>97</v>
      </c>
      <c r="F418" s="44">
        <v>2832624</v>
      </c>
      <c r="H418" s="44">
        <f t="shared" si="32"/>
        <v>2832624</v>
      </c>
      <c r="L418" s="29" t="s">
        <v>14</v>
      </c>
      <c r="M418" s="29" t="s">
        <v>39</v>
      </c>
    </row>
    <row r="419" spans="1:13">
      <c r="A419" s="86">
        <v>44679</v>
      </c>
      <c r="B419" s="82">
        <f t="shared" si="31"/>
        <v>4</v>
      </c>
      <c r="C419">
        <f t="shared" si="30"/>
        <v>2022</v>
      </c>
      <c r="D419" s="86"/>
      <c r="E419" s="84" t="s">
        <v>97</v>
      </c>
      <c r="G419" s="44">
        <v>1756304</v>
      </c>
      <c r="H419" s="44">
        <f t="shared" si="32"/>
        <v>-1756304</v>
      </c>
      <c r="L419" s="29" t="s">
        <v>2</v>
      </c>
      <c r="M419" s="29" t="s">
        <v>33</v>
      </c>
    </row>
    <row r="420" spans="1:13">
      <c r="A420" s="86">
        <v>44679</v>
      </c>
      <c r="B420" s="82">
        <f t="shared" si="31"/>
        <v>4</v>
      </c>
      <c r="C420">
        <f t="shared" si="30"/>
        <v>2022</v>
      </c>
      <c r="D420" s="86"/>
      <c r="E420" s="84" t="s">
        <v>97</v>
      </c>
      <c r="G420" s="44">
        <v>872984</v>
      </c>
      <c r="H420" s="44">
        <f t="shared" si="32"/>
        <v>-872984</v>
      </c>
      <c r="L420" s="29" t="s">
        <v>2</v>
      </c>
      <c r="M420" s="29" t="s">
        <v>31</v>
      </c>
    </row>
    <row r="421" spans="1:13">
      <c r="A421" s="86">
        <v>44679</v>
      </c>
      <c r="B421" s="82">
        <f t="shared" si="31"/>
        <v>4</v>
      </c>
      <c r="C421">
        <f t="shared" si="30"/>
        <v>2022</v>
      </c>
      <c r="D421" s="86"/>
      <c r="E421" s="84" t="s">
        <v>97</v>
      </c>
      <c r="G421" s="44">
        <v>1348382</v>
      </c>
      <c r="H421" s="44">
        <f t="shared" si="32"/>
        <v>-1348382</v>
      </c>
      <c r="L421" s="29" t="s">
        <v>10</v>
      </c>
      <c r="M421" s="29" t="s">
        <v>36</v>
      </c>
    </row>
    <row r="422" spans="1:13">
      <c r="A422" s="86">
        <v>44679</v>
      </c>
      <c r="B422" s="82">
        <f t="shared" si="31"/>
        <v>4</v>
      </c>
      <c r="C422">
        <f t="shared" si="30"/>
        <v>2022</v>
      </c>
      <c r="E422" s="84" t="s">
        <v>150</v>
      </c>
      <c r="F422" s="44">
        <v>1756304</v>
      </c>
      <c r="H422" s="44">
        <f t="shared" si="32"/>
        <v>1756304</v>
      </c>
      <c r="L422" s="29" t="s">
        <v>2</v>
      </c>
      <c r="M422" s="29" t="s">
        <v>33</v>
      </c>
    </row>
    <row r="423" spans="1:13">
      <c r="A423" s="86">
        <v>44679</v>
      </c>
      <c r="B423" s="82">
        <f t="shared" si="31"/>
        <v>4</v>
      </c>
      <c r="C423">
        <f t="shared" si="30"/>
        <v>2022</v>
      </c>
      <c r="E423" s="84" t="s">
        <v>150</v>
      </c>
      <c r="F423" s="44">
        <v>872984</v>
      </c>
      <c r="H423" s="44">
        <f t="shared" si="32"/>
        <v>872984</v>
      </c>
      <c r="L423" s="29" t="s">
        <v>2</v>
      </c>
      <c r="M423" s="29" t="s">
        <v>31</v>
      </c>
    </row>
    <row r="424" spans="1:13">
      <c r="A424" s="86">
        <v>44679</v>
      </c>
      <c r="B424" s="82">
        <f t="shared" si="31"/>
        <v>4</v>
      </c>
      <c r="C424">
        <f t="shared" si="30"/>
        <v>2022</v>
      </c>
      <c r="E424" s="84" t="s">
        <v>150</v>
      </c>
      <c r="F424" s="44">
        <v>1348382</v>
      </c>
      <c r="H424" s="44">
        <f t="shared" si="32"/>
        <v>1348382</v>
      </c>
      <c r="L424" s="29" t="s">
        <v>10</v>
      </c>
      <c r="M424" s="29" t="s">
        <v>36</v>
      </c>
    </row>
    <row r="425" spans="1:13">
      <c r="A425" s="86">
        <v>44679</v>
      </c>
      <c r="B425" s="82">
        <f t="shared" si="31"/>
        <v>4</v>
      </c>
      <c r="C425">
        <f t="shared" si="30"/>
        <v>2022</v>
      </c>
      <c r="E425" s="84" t="s">
        <v>143</v>
      </c>
      <c r="F425" s="44">
        <v>2652752.3760000002</v>
      </c>
      <c r="H425" s="44">
        <f t="shared" si="32"/>
        <v>2652752.3760000002</v>
      </c>
      <c r="I425"/>
      <c r="M425" t="s">
        <v>14</v>
      </c>
    </row>
    <row r="426" spans="1:13">
      <c r="A426" s="86">
        <v>44679</v>
      </c>
      <c r="B426" s="82">
        <f t="shared" si="31"/>
        <v>4</v>
      </c>
      <c r="C426">
        <f t="shared" si="30"/>
        <v>2022</v>
      </c>
      <c r="E426" s="84" t="s">
        <v>91</v>
      </c>
      <c r="G426" s="44">
        <v>2652752.3760000002</v>
      </c>
      <c r="H426" s="44">
        <f t="shared" si="32"/>
        <v>-2652752.3760000002</v>
      </c>
      <c r="I426"/>
      <c r="M426" t="s">
        <v>14</v>
      </c>
    </row>
    <row r="427" spans="1:13">
      <c r="A427" s="86">
        <v>44679</v>
      </c>
      <c r="B427" s="82">
        <f t="shared" si="31"/>
        <v>4</v>
      </c>
      <c r="C427">
        <f t="shared" si="30"/>
        <v>2022</v>
      </c>
      <c r="E427" s="84" t="s">
        <v>98</v>
      </c>
      <c r="G427" s="44">
        <v>2832624</v>
      </c>
      <c r="H427" s="44">
        <f t="shared" si="32"/>
        <v>-2832624</v>
      </c>
      <c r="L427" s="29" t="s">
        <v>14</v>
      </c>
      <c r="M427" s="29" t="s">
        <v>39</v>
      </c>
    </row>
    <row r="428" spans="1:13">
      <c r="A428" s="86">
        <v>44680</v>
      </c>
      <c r="B428" s="82">
        <f t="shared" si="31"/>
        <v>4</v>
      </c>
      <c r="C428">
        <f t="shared" si="30"/>
        <v>2022</v>
      </c>
      <c r="E428" s="84" t="s">
        <v>97</v>
      </c>
      <c r="F428" s="44">
        <v>1429818</v>
      </c>
      <c r="H428" s="44">
        <f t="shared" si="32"/>
        <v>1429818</v>
      </c>
      <c r="L428" s="29" t="s">
        <v>2</v>
      </c>
      <c r="M428" s="29" t="s">
        <v>31</v>
      </c>
    </row>
    <row r="429" spans="1:13">
      <c r="A429" s="86">
        <v>44680</v>
      </c>
      <c r="B429" s="82">
        <f t="shared" si="31"/>
        <v>4</v>
      </c>
      <c r="C429">
        <f t="shared" si="30"/>
        <v>2022</v>
      </c>
      <c r="E429" s="84" t="s">
        <v>97</v>
      </c>
      <c r="F429" s="44">
        <v>1096316</v>
      </c>
      <c r="H429" s="44">
        <f t="shared" si="32"/>
        <v>1096316</v>
      </c>
      <c r="L429" s="29" t="s">
        <v>2</v>
      </c>
      <c r="M429" s="29" t="s">
        <v>35</v>
      </c>
    </row>
    <row r="430" spans="1:13">
      <c r="A430" s="86">
        <v>44680</v>
      </c>
      <c r="B430" s="82">
        <f t="shared" si="31"/>
        <v>4</v>
      </c>
      <c r="C430">
        <f t="shared" si="30"/>
        <v>2022</v>
      </c>
      <c r="E430" s="84" t="s">
        <v>143</v>
      </c>
      <c r="F430" s="44">
        <v>918233.26400000008</v>
      </c>
      <c r="H430" s="44">
        <f t="shared" si="32"/>
        <v>918233.26400000008</v>
      </c>
      <c r="I430"/>
      <c r="M430" t="s">
        <v>2</v>
      </c>
    </row>
    <row r="431" spans="1:13">
      <c r="A431" s="86">
        <v>44680</v>
      </c>
      <c r="B431" s="82">
        <f t="shared" si="31"/>
        <v>4</v>
      </c>
      <c r="C431">
        <f t="shared" si="30"/>
        <v>2022</v>
      </c>
      <c r="E431" s="84" t="s">
        <v>143</v>
      </c>
      <c r="F431" s="44">
        <v>846422.21266666648</v>
      </c>
      <c r="H431" s="44">
        <f t="shared" si="32"/>
        <v>846422.21266666648</v>
      </c>
      <c r="I431"/>
      <c r="M431" t="s">
        <v>2</v>
      </c>
    </row>
    <row r="432" spans="1:13">
      <c r="A432" s="86">
        <v>44680</v>
      </c>
      <c r="B432" s="82">
        <f t="shared" si="31"/>
        <v>4</v>
      </c>
      <c r="C432">
        <f t="shared" si="30"/>
        <v>2022</v>
      </c>
      <c r="E432" s="84" t="s">
        <v>89</v>
      </c>
      <c r="G432" s="44">
        <v>918233.26400000008</v>
      </c>
      <c r="H432" s="44">
        <f t="shared" si="32"/>
        <v>-918233.26400000008</v>
      </c>
      <c r="I432"/>
      <c r="M432" t="s">
        <v>2</v>
      </c>
    </row>
    <row r="433" spans="1:13">
      <c r="A433" s="86">
        <v>44680</v>
      </c>
      <c r="B433" s="82">
        <f t="shared" si="31"/>
        <v>4</v>
      </c>
      <c r="C433">
        <f t="shared" si="30"/>
        <v>2022</v>
      </c>
      <c r="E433" s="84" t="s">
        <v>89</v>
      </c>
      <c r="G433" s="44">
        <v>846422.21266666648</v>
      </c>
      <c r="H433" s="44">
        <f t="shared" si="32"/>
        <v>-846422.21266666648</v>
      </c>
      <c r="I433"/>
      <c r="M433" t="s">
        <v>2</v>
      </c>
    </row>
    <row r="434" spans="1:13">
      <c r="A434" s="86">
        <v>44680</v>
      </c>
      <c r="B434" s="82">
        <f t="shared" si="31"/>
        <v>4</v>
      </c>
      <c r="C434">
        <f t="shared" si="30"/>
        <v>2022</v>
      </c>
      <c r="E434" s="84" t="s">
        <v>98</v>
      </c>
      <c r="G434" s="44">
        <v>1429818</v>
      </c>
      <c r="H434" s="44">
        <f t="shared" si="32"/>
        <v>-1429818</v>
      </c>
      <c r="L434" s="29" t="s">
        <v>2</v>
      </c>
      <c r="M434" s="93" t="s">
        <v>31</v>
      </c>
    </row>
    <row r="435" spans="1:13">
      <c r="A435" s="86">
        <v>44680</v>
      </c>
      <c r="B435" s="82">
        <f t="shared" si="31"/>
        <v>4</v>
      </c>
      <c r="C435">
        <f t="shared" si="30"/>
        <v>2022</v>
      </c>
      <c r="E435" s="84" t="s">
        <v>98</v>
      </c>
      <c r="G435" s="44">
        <v>1096316</v>
      </c>
      <c r="H435" s="44">
        <f t="shared" si="32"/>
        <v>-1096316</v>
      </c>
      <c r="L435" s="29" t="s">
        <v>2</v>
      </c>
      <c r="M435" s="93" t="s">
        <v>35</v>
      </c>
    </row>
    <row r="436" spans="1:13">
      <c r="A436" s="86">
        <v>44681</v>
      </c>
      <c r="B436" s="82">
        <f t="shared" si="31"/>
        <v>4</v>
      </c>
      <c r="C436">
        <f t="shared" si="30"/>
        <v>2022</v>
      </c>
      <c r="D436" s="86"/>
      <c r="E436" s="84" t="s">
        <v>68</v>
      </c>
      <c r="F436" s="44">
        <v>1020000</v>
      </c>
      <c r="H436" s="44">
        <f t="shared" si="32"/>
        <v>1020000</v>
      </c>
      <c r="L436" t="s">
        <v>11</v>
      </c>
      <c r="M436" s="44" t="s">
        <v>125</v>
      </c>
    </row>
    <row r="437" spans="1:13">
      <c r="A437" s="86">
        <v>44681</v>
      </c>
      <c r="B437" s="82">
        <f t="shared" si="31"/>
        <v>4</v>
      </c>
      <c r="C437">
        <f t="shared" si="30"/>
        <v>2022</v>
      </c>
      <c r="E437" s="84" t="s">
        <v>155</v>
      </c>
      <c r="F437" s="44">
        <v>794483</v>
      </c>
      <c r="H437" s="44">
        <f t="shared" si="32"/>
        <v>794483</v>
      </c>
      <c r="M437"/>
    </row>
    <row r="438" spans="1:13">
      <c r="A438" s="86">
        <v>44681</v>
      </c>
      <c r="B438" s="82">
        <f t="shared" si="31"/>
        <v>4</v>
      </c>
      <c r="C438">
        <f t="shared" si="30"/>
        <v>2022</v>
      </c>
      <c r="D438" s="86"/>
      <c r="E438" s="84" t="s">
        <v>150</v>
      </c>
      <c r="G438" s="44">
        <v>1020000</v>
      </c>
      <c r="H438" s="44">
        <f t="shared" si="32"/>
        <v>-1020000</v>
      </c>
      <c r="L438" t="s">
        <v>11</v>
      </c>
      <c r="M438" s="44" t="s">
        <v>125</v>
      </c>
    </row>
    <row r="439" spans="1:13">
      <c r="A439" s="86">
        <v>44681</v>
      </c>
      <c r="B439" s="82">
        <f t="shared" si="31"/>
        <v>4</v>
      </c>
      <c r="C439">
        <f t="shared" si="30"/>
        <v>2022</v>
      </c>
      <c r="D439" s="86"/>
      <c r="E439" s="84" t="s">
        <v>150</v>
      </c>
      <c r="G439" s="44">
        <v>256582.27599999998</v>
      </c>
      <c r="H439" s="44">
        <f t="shared" si="32"/>
        <v>-256582.27599999998</v>
      </c>
      <c r="M439"/>
    </row>
    <row r="440" spans="1:13">
      <c r="A440" s="86">
        <v>44681</v>
      </c>
      <c r="B440" s="82">
        <f t="shared" si="31"/>
        <v>4</v>
      </c>
      <c r="C440">
        <f t="shared" si="30"/>
        <v>2022</v>
      </c>
      <c r="E440" s="84" t="s">
        <v>150</v>
      </c>
      <c r="G440" s="44">
        <v>1048028</v>
      </c>
      <c r="H440" s="44">
        <f t="shared" si="32"/>
        <v>-1048028</v>
      </c>
      <c r="M440"/>
    </row>
    <row r="441" spans="1:13">
      <c r="A441" s="86">
        <v>44681</v>
      </c>
      <c r="B441" s="82">
        <f t="shared" si="31"/>
        <v>4</v>
      </c>
      <c r="C441">
        <f t="shared" si="30"/>
        <v>2022</v>
      </c>
      <c r="E441" s="84" t="s">
        <v>150</v>
      </c>
      <c r="G441" s="44">
        <v>797542</v>
      </c>
      <c r="H441" s="44">
        <f t="shared" si="32"/>
        <v>-797542</v>
      </c>
      <c r="M441"/>
    </row>
    <row r="442" spans="1:13">
      <c r="A442" s="86">
        <v>44681</v>
      </c>
      <c r="B442" s="82">
        <f t="shared" si="31"/>
        <v>4</v>
      </c>
      <c r="C442">
        <f t="shared" si="30"/>
        <v>2022</v>
      </c>
      <c r="E442" s="84" t="s">
        <v>150</v>
      </c>
      <c r="G442" s="44">
        <v>794483</v>
      </c>
      <c r="H442" s="44">
        <f t="shared" si="32"/>
        <v>-794483</v>
      </c>
      <c r="M442"/>
    </row>
    <row r="443" spans="1:13">
      <c r="A443" s="86">
        <v>44681</v>
      </c>
      <c r="B443" s="82">
        <f t="shared" si="31"/>
        <v>4</v>
      </c>
      <c r="C443">
        <f t="shared" si="30"/>
        <v>2022</v>
      </c>
      <c r="E443" s="84" t="s">
        <v>150</v>
      </c>
      <c r="F443" s="44">
        <v>1214453</v>
      </c>
      <c r="H443" s="44">
        <f t="shared" si="32"/>
        <v>1214453</v>
      </c>
      <c r="M443"/>
    </row>
    <row r="444" spans="1:13">
      <c r="A444" s="86">
        <v>44681</v>
      </c>
      <c r="B444" s="82">
        <f t="shared" si="31"/>
        <v>4</v>
      </c>
      <c r="C444">
        <f t="shared" si="30"/>
        <v>2022</v>
      </c>
      <c r="E444" s="84" t="s">
        <v>150</v>
      </c>
      <c r="G444" s="44">
        <v>1204994</v>
      </c>
      <c r="H444" s="44">
        <f t="shared" si="32"/>
        <v>-1204994</v>
      </c>
      <c r="M444"/>
    </row>
    <row r="445" spans="1:13">
      <c r="A445" s="86">
        <v>44681</v>
      </c>
      <c r="B445" s="82">
        <f t="shared" si="31"/>
        <v>4</v>
      </c>
      <c r="C445">
        <f t="shared" si="30"/>
        <v>2022</v>
      </c>
      <c r="E445" s="84" t="s">
        <v>154</v>
      </c>
      <c r="F445" s="44">
        <v>797542</v>
      </c>
      <c r="H445" s="44">
        <f t="shared" si="32"/>
        <v>797542</v>
      </c>
      <c r="M445"/>
    </row>
    <row r="446" spans="1:13">
      <c r="A446" s="86">
        <v>44681</v>
      </c>
      <c r="B446" s="82">
        <f t="shared" si="31"/>
        <v>4</v>
      </c>
      <c r="C446">
        <f t="shared" si="30"/>
        <v>2022</v>
      </c>
      <c r="E446" s="84" t="s">
        <v>159</v>
      </c>
      <c r="F446" s="44">
        <v>1204994</v>
      </c>
      <c r="H446" s="44">
        <f t="shared" si="32"/>
        <v>1204994</v>
      </c>
      <c r="M446"/>
    </row>
    <row r="447" spans="1:13">
      <c r="A447" s="86">
        <v>44681</v>
      </c>
      <c r="B447" s="82">
        <f t="shared" si="31"/>
        <v>4</v>
      </c>
      <c r="C447">
        <f t="shared" si="30"/>
        <v>2022</v>
      </c>
      <c r="E447" s="84" t="s">
        <v>158</v>
      </c>
      <c r="G447" s="44">
        <v>1214453</v>
      </c>
      <c r="H447" s="44">
        <f t="shared" si="32"/>
        <v>-1214453</v>
      </c>
      <c r="M447"/>
    </row>
    <row r="448" spans="1:13">
      <c r="A448" s="86">
        <v>44681</v>
      </c>
      <c r="B448" s="82">
        <f t="shared" si="31"/>
        <v>4</v>
      </c>
      <c r="C448">
        <f t="shared" si="30"/>
        <v>2022</v>
      </c>
      <c r="E448" s="84" t="s">
        <v>157</v>
      </c>
      <c r="F448" s="44">
        <v>1048028</v>
      </c>
      <c r="H448" s="44">
        <f t="shared" si="32"/>
        <v>1048028</v>
      </c>
      <c r="M448"/>
    </row>
    <row r="449" spans="1:13">
      <c r="A449" s="86">
        <v>44681</v>
      </c>
      <c r="B449" s="82">
        <f t="shared" si="31"/>
        <v>4</v>
      </c>
      <c r="C449">
        <f t="shared" si="30"/>
        <v>2022</v>
      </c>
      <c r="D449" s="86"/>
      <c r="E449" s="84" t="s">
        <v>146</v>
      </c>
      <c r="F449" s="44">
        <v>256582.27599999998</v>
      </c>
      <c r="H449" s="44">
        <f t="shared" si="32"/>
        <v>256582.27599999998</v>
      </c>
      <c r="M449"/>
    </row>
    <row r="450" spans="1:13">
      <c r="A450" s="86">
        <v>44682</v>
      </c>
      <c r="B450" s="82">
        <f t="shared" si="31"/>
        <v>5</v>
      </c>
      <c r="C450">
        <f t="shared" si="30"/>
        <v>2022</v>
      </c>
      <c r="D450" s="86"/>
      <c r="E450" s="84" t="s">
        <v>68</v>
      </c>
      <c r="G450" s="44">
        <v>720000</v>
      </c>
      <c r="H450" s="44">
        <f t="shared" si="32"/>
        <v>-720000</v>
      </c>
      <c r="L450" t="s">
        <v>3</v>
      </c>
      <c r="M450" s="44" t="s">
        <v>123</v>
      </c>
    </row>
    <row r="451" spans="1:13">
      <c r="A451" s="86">
        <v>44682</v>
      </c>
      <c r="B451" s="82">
        <f t="shared" si="31"/>
        <v>5</v>
      </c>
      <c r="C451">
        <f t="shared" si="30"/>
        <v>2022</v>
      </c>
      <c r="D451" s="86"/>
      <c r="E451" s="84" t="s">
        <v>68</v>
      </c>
      <c r="G451" s="44">
        <v>945000</v>
      </c>
      <c r="H451" s="44">
        <f t="shared" si="32"/>
        <v>-945000</v>
      </c>
      <c r="L451" t="s">
        <v>4</v>
      </c>
      <c r="M451" s="44" t="s">
        <v>123</v>
      </c>
    </row>
    <row r="452" spans="1:13">
      <c r="A452" s="86">
        <v>44682</v>
      </c>
      <c r="B452" s="82">
        <f t="shared" si="31"/>
        <v>5</v>
      </c>
      <c r="C452">
        <f t="shared" si="30"/>
        <v>2022</v>
      </c>
      <c r="D452" s="86"/>
      <c r="E452" s="84" t="s">
        <v>68</v>
      </c>
      <c r="G452" s="44">
        <v>2200000</v>
      </c>
      <c r="H452" s="44">
        <f t="shared" si="32"/>
        <v>-2200000</v>
      </c>
      <c r="L452" t="s">
        <v>5</v>
      </c>
      <c r="M452" s="44" t="s">
        <v>123</v>
      </c>
    </row>
    <row r="453" spans="1:13">
      <c r="A453" s="86">
        <v>44682</v>
      </c>
      <c r="B453" s="82">
        <f t="shared" si="31"/>
        <v>5</v>
      </c>
      <c r="C453">
        <f t="shared" si="30"/>
        <v>2022</v>
      </c>
      <c r="D453" s="86"/>
      <c r="E453" s="84" t="s">
        <v>68</v>
      </c>
      <c r="G453" s="44">
        <v>2200000</v>
      </c>
      <c r="H453" s="44">
        <f t="shared" si="32"/>
        <v>-2200000</v>
      </c>
      <c r="L453" t="s">
        <v>6</v>
      </c>
      <c r="M453" s="44" t="s">
        <v>124</v>
      </c>
    </row>
    <row r="454" spans="1:13">
      <c r="A454" s="86">
        <v>44682</v>
      </c>
      <c r="B454" s="82">
        <f t="shared" si="31"/>
        <v>5</v>
      </c>
      <c r="C454">
        <f t="shared" si="30"/>
        <v>2022</v>
      </c>
      <c r="D454" s="86"/>
      <c r="E454" s="84" t="s">
        <v>68</v>
      </c>
      <c r="G454" s="44">
        <v>1071000</v>
      </c>
      <c r="H454" s="44">
        <f t="shared" si="32"/>
        <v>-1071000</v>
      </c>
      <c r="L454" t="s">
        <v>11</v>
      </c>
      <c r="M454" s="44" t="s">
        <v>125</v>
      </c>
    </row>
    <row r="455" spans="1:13">
      <c r="A455" s="86">
        <v>44682</v>
      </c>
      <c r="B455" s="82">
        <f t="shared" si="31"/>
        <v>5</v>
      </c>
      <c r="C455">
        <f t="shared" si="30"/>
        <v>2022</v>
      </c>
      <c r="D455" s="86"/>
      <c r="E455" s="84" t="s">
        <v>68</v>
      </c>
      <c r="G455" s="44">
        <v>2470000</v>
      </c>
      <c r="H455" s="44">
        <f t="shared" si="32"/>
        <v>-2470000</v>
      </c>
      <c r="L455" t="s">
        <v>12</v>
      </c>
      <c r="M455" s="44" t="s">
        <v>125</v>
      </c>
    </row>
    <row r="456" spans="1:13">
      <c r="A456" s="86">
        <v>44682</v>
      </c>
      <c r="B456" s="82">
        <f t="shared" si="31"/>
        <v>5</v>
      </c>
      <c r="C456">
        <f t="shared" si="30"/>
        <v>2022</v>
      </c>
      <c r="D456" s="86"/>
      <c r="E456" s="84" t="s">
        <v>68</v>
      </c>
      <c r="F456" s="44">
        <v>2192505</v>
      </c>
      <c r="H456" s="44">
        <f t="shared" si="32"/>
        <v>2192505</v>
      </c>
      <c r="L456" t="s">
        <v>12</v>
      </c>
      <c r="M456" s="44" t="s">
        <v>125</v>
      </c>
    </row>
    <row r="457" spans="1:13">
      <c r="A457" s="86">
        <v>44682</v>
      </c>
      <c r="B457" s="82">
        <f t="shared" si="31"/>
        <v>5</v>
      </c>
      <c r="C457">
        <f t="shared" si="30"/>
        <v>2022</v>
      </c>
      <c r="D457" s="86"/>
      <c r="E457" s="84" t="s">
        <v>150</v>
      </c>
      <c r="G457" s="44">
        <v>2192505</v>
      </c>
      <c r="H457" s="44">
        <f t="shared" si="32"/>
        <v>-2192505</v>
      </c>
      <c r="L457" t="s">
        <v>12</v>
      </c>
      <c r="M457" s="44" t="s">
        <v>125</v>
      </c>
    </row>
    <row r="458" spans="1:13">
      <c r="A458" s="86">
        <v>44682</v>
      </c>
      <c r="B458" s="82">
        <f t="shared" si="31"/>
        <v>5</v>
      </c>
      <c r="C458">
        <f t="shared" si="30"/>
        <v>2022</v>
      </c>
      <c r="E458" s="44" t="s">
        <v>191</v>
      </c>
      <c r="F458" s="44">
        <v>6455000</v>
      </c>
      <c r="H458" s="44">
        <f t="shared" si="32"/>
        <v>6455000</v>
      </c>
      <c r="M458"/>
    </row>
    <row r="459" spans="1:13">
      <c r="A459" s="86">
        <v>44682</v>
      </c>
      <c r="B459" s="82">
        <f t="shared" si="31"/>
        <v>5</v>
      </c>
      <c r="C459">
        <f t="shared" si="30"/>
        <v>2022</v>
      </c>
      <c r="E459" s="44" t="s">
        <v>190</v>
      </c>
      <c r="F459" s="44">
        <v>9045000</v>
      </c>
      <c r="H459" s="44">
        <f t="shared" si="32"/>
        <v>9045000</v>
      </c>
      <c r="M459"/>
    </row>
    <row r="460" spans="1:13">
      <c r="A460" s="86">
        <v>44682</v>
      </c>
      <c r="B460" s="82">
        <f t="shared" si="31"/>
        <v>5</v>
      </c>
      <c r="C460">
        <f t="shared" si="30"/>
        <v>2022</v>
      </c>
      <c r="E460" t="s">
        <v>189</v>
      </c>
      <c r="F460" s="44">
        <v>45000000</v>
      </c>
      <c r="H460" s="44">
        <f t="shared" si="32"/>
        <v>45000000</v>
      </c>
      <c r="M460"/>
    </row>
    <row r="461" spans="1:13">
      <c r="A461" s="86">
        <v>44682</v>
      </c>
      <c r="B461" s="82">
        <f t="shared" si="31"/>
        <v>5</v>
      </c>
      <c r="C461">
        <f t="shared" ref="C461:C524" si="33">YEAR(A461)</f>
        <v>2022</v>
      </c>
      <c r="D461" s="86"/>
      <c r="E461" s="84" t="s">
        <v>67</v>
      </c>
      <c r="F461" s="44">
        <v>720000</v>
      </c>
      <c r="H461" s="44">
        <f t="shared" si="32"/>
        <v>720000</v>
      </c>
      <c r="L461" t="s">
        <v>3</v>
      </c>
      <c r="M461" s="44" t="s">
        <v>123</v>
      </c>
    </row>
    <row r="462" spans="1:13">
      <c r="A462" s="86">
        <v>44682</v>
      </c>
      <c r="B462" s="82">
        <f t="shared" si="31"/>
        <v>5</v>
      </c>
      <c r="C462">
        <f t="shared" si="33"/>
        <v>2022</v>
      </c>
      <c r="D462" s="86"/>
      <c r="E462" s="84" t="s">
        <v>67</v>
      </c>
      <c r="F462" s="44">
        <v>945000</v>
      </c>
      <c r="H462" s="44">
        <f t="shared" si="32"/>
        <v>945000</v>
      </c>
      <c r="L462" t="s">
        <v>4</v>
      </c>
      <c r="M462" s="44" t="s">
        <v>123</v>
      </c>
    </row>
    <row r="463" spans="1:13">
      <c r="A463" s="86">
        <v>44682</v>
      </c>
      <c r="B463" s="82">
        <f t="shared" si="31"/>
        <v>5</v>
      </c>
      <c r="C463">
        <f t="shared" si="33"/>
        <v>2022</v>
      </c>
      <c r="D463" s="86"/>
      <c r="E463" s="84" t="s">
        <v>67</v>
      </c>
      <c r="F463" s="44">
        <v>2200000</v>
      </c>
      <c r="H463" s="44">
        <f t="shared" si="32"/>
        <v>2200000</v>
      </c>
      <c r="L463" t="s">
        <v>5</v>
      </c>
      <c r="M463" s="44" t="s">
        <v>123</v>
      </c>
    </row>
    <row r="464" spans="1:13">
      <c r="A464" s="86">
        <v>44682</v>
      </c>
      <c r="B464" s="82">
        <f t="shared" si="31"/>
        <v>5</v>
      </c>
      <c r="C464">
        <f t="shared" si="33"/>
        <v>2022</v>
      </c>
      <c r="D464" s="86"/>
      <c r="E464" s="84" t="s">
        <v>67</v>
      </c>
      <c r="F464" s="44">
        <v>2200000</v>
      </c>
      <c r="H464" s="44">
        <f t="shared" si="32"/>
        <v>2200000</v>
      </c>
      <c r="L464" t="s">
        <v>6</v>
      </c>
      <c r="M464" s="44" t="s">
        <v>124</v>
      </c>
    </row>
    <row r="465" spans="1:15">
      <c r="A465" s="86">
        <v>44682</v>
      </c>
      <c r="B465" s="82">
        <f t="shared" si="31"/>
        <v>5</v>
      </c>
      <c r="C465">
        <f t="shared" si="33"/>
        <v>2022</v>
      </c>
      <c r="D465" s="86"/>
      <c r="E465" s="84" t="s">
        <v>67</v>
      </c>
      <c r="F465" s="44">
        <v>1071000</v>
      </c>
      <c r="H465" s="44">
        <f t="shared" si="32"/>
        <v>1071000</v>
      </c>
      <c r="L465" t="s">
        <v>11</v>
      </c>
      <c r="M465" s="44" t="s">
        <v>125</v>
      </c>
    </row>
    <row r="466" spans="1:15">
      <c r="A466" s="86">
        <v>44682</v>
      </c>
      <c r="B466" s="82">
        <f t="shared" si="31"/>
        <v>5</v>
      </c>
      <c r="C466">
        <f t="shared" si="33"/>
        <v>2022</v>
      </c>
      <c r="D466" s="86"/>
      <c r="E466" s="84" t="s">
        <v>67</v>
      </c>
      <c r="F466" s="44">
        <v>2470000</v>
      </c>
      <c r="H466" s="44">
        <f t="shared" si="32"/>
        <v>2470000</v>
      </c>
      <c r="L466" t="s">
        <v>12</v>
      </c>
      <c r="M466" s="44" t="s">
        <v>125</v>
      </c>
    </row>
    <row r="467" spans="1:15">
      <c r="A467" s="86">
        <v>44682</v>
      </c>
      <c r="B467" s="82">
        <f t="shared" si="31"/>
        <v>5</v>
      </c>
      <c r="C467">
        <f t="shared" si="33"/>
        <v>2022</v>
      </c>
      <c r="E467" s="44" t="s">
        <v>156</v>
      </c>
      <c r="G467" s="44">
        <v>50000000</v>
      </c>
      <c r="H467" s="44">
        <f t="shared" si="32"/>
        <v>-50000000</v>
      </c>
      <c r="M467"/>
    </row>
    <row r="468" spans="1:15">
      <c r="A468" s="86">
        <v>44682</v>
      </c>
      <c r="B468" s="82">
        <f t="shared" si="31"/>
        <v>5</v>
      </c>
      <c r="C468">
        <f t="shared" si="33"/>
        <v>2022</v>
      </c>
      <c r="E468" s="44" t="s">
        <v>192</v>
      </c>
      <c r="G468" s="44">
        <v>10500000</v>
      </c>
      <c r="H468" s="44">
        <f t="shared" si="32"/>
        <v>-10500000</v>
      </c>
      <c r="M468"/>
    </row>
    <row r="469" spans="1:15">
      <c r="A469" s="86">
        <v>44685</v>
      </c>
      <c r="B469" s="82">
        <f t="shared" si="31"/>
        <v>5</v>
      </c>
      <c r="C469">
        <f t="shared" si="33"/>
        <v>2022</v>
      </c>
      <c r="D469" s="86"/>
      <c r="E469" s="84" t="s">
        <v>68</v>
      </c>
      <c r="F469" s="44">
        <v>855000</v>
      </c>
      <c r="H469" s="44">
        <f t="shared" si="32"/>
        <v>855000</v>
      </c>
      <c r="L469" t="s">
        <v>11</v>
      </c>
      <c r="M469" s="44" t="s">
        <v>125</v>
      </c>
    </row>
    <row r="470" spans="1:15">
      <c r="A470" s="86">
        <v>44685</v>
      </c>
      <c r="B470" s="82">
        <f t="shared" si="31"/>
        <v>5</v>
      </c>
      <c r="C470">
        <f t="shared" si="33"/>
        <v>2022</v>
      </c>
      <c r="D470" s="86"/>
      <c r="E470" s="84" t="s">
        <v>97</v>
      </c>
      <c r="G470" s="44">
        <v>372166</v>
      </c>
      <c r="H470" s="44">
        <f t="shared" si="32"/>
        <v>-372166</v>
      </c>
      <c r="L470" s="29" t="s">
        <v>2</v>
      </c>
      <c r="M470" s="29" t="s">
        <v>35</v>
      </c>
    </row>
    <row r="471" spans="1:15">
      <c r="A471" s="86">
        <v>44685</v>
      </c>
      <c r="B471" s="82">
        <f t="shared" ref="B471:B534" si="34">MONTH(A471)</f>
        <v>5</v>
      </c>
      <c r="C471">
        <f t="shared" si="33"/>
        <v>2022</v>
      </c>
      <c r="D471" s="86"/>
      <c r="E471" s="84" t="s">
        <v>150</v>
      </c>
      <c r="G471" s="44">
        <v>855000</v>
      </c>
      <c r="H471" s="44">
        <f t="shared" ref="H471:H534" si="35">F471-G471</f>
        <v>-855000</v>
      </c>
      <c r="L471" t="s">
        <v>11</v>
      </c>
      <c r="M471" s="44" t="s">
        <v>125</v>
      </c>
    </row>
    <row r="472" spans="1:15">
      <c r="A472" s="86">
        <v>44685</v>
      </c>
      <c r="B472" s="82">
        <f t="shared" si="34"/>
        <v>5</v>
      </c>
      <c r="C472">
        <f t="shared" si="33"/>
        <v>2022</v>
      </c>
      <c r="E472" s="84" t="s">
        <v>150</v>
      </c>
      <c r="F472" s="44">
        <v>372166</v>
      </c>
      <c r="H472" s="44">
        <f t="shared" si="35"/>
        <v>372166</v>
      </c>
      <c r="L472" s="29" t="s">
        <v>2</v>
      </c>
      <c r="M472" s="29" t="s">
        <v>35</v>
      </c>
    </row>
    <row r="473" spans="1:15">
      <c r="A473" s="86">
        <v>44636</v>
      </c>
      <c r="B473" s="82">
        <f t="shared" si="34"/>
        <v>3</v>
      </c>
      <c r="C473">
        <f t="shared" si="33"/>
        <v>2022</v>
      </c>
      <c r="E473" s="84" t="s">
        <v>97</v>
      </c>
      <c r="F473" s="44">
        <v>1217721</v>
      </c>
      <c r="H473" s="44">
        <f t="shared" si="35"/>
        <v>1217721</v>
      </c>
      <c r="L473" s="29" t="s">
        <v>14</v>
      </c>
      <c r="M473" s="29" t="s">
        <v>40</v>
      </c>
    </row>
    <row r="474" spans="1:15">
      <c r="A474" s="86">
        <v>44686</v>
      </c>
      <c r="B474" s="82">
        <f t="shared" si="34"/>
        <v>5</v>
      </c>
      <c r="C474">
        <f t="shared" si="33"/>
        <v>2022</v>
      </c>
      <c r="E474" s="84" t="s">
        <v>150</v>
      </c>
      <c r="F474" s="44">
        <v>1217721</v>
      </c>
      <c r="H474" s="44">
        <f t="shared" si="35"/>
        <v>1217721</v>
      </c>
      <c r="L474" s="29" t="s">
        <v>14</v>
      </c>
      <c r="M474" s="29" t="s">
        <v>40</v>
      </c>
    </row>
    <row r="475" spans="1:15">
      <c r="A475" s="86">
        <v>44689</v>
      </c>
      <c r="B475" s="82">
        <f t="shared" si="34"/>
        <v>5</v>
      </c>
      <c r="C475">
        <f t="shared" si="33"/>
        <v>2022</v>
      </c>
      <c r="E475" s="84" t="s">
        <v>81</v>
      </c>
      <c r="F475" s="44">
        <v>661583.20000000007</v>
      </c>
      <c r="H475" s="44">
        <f t="shared" si="35"/>
        <v>661583.20000000007</v>
      </c>
      <c r="L475" t="str">
        <f>VLOOKUP(M475,Reference!$A$16:$B$21,2,0)</f>
        <v>Supplier A</v>
      </c>
      <c r="M475" t="s">
        <v>3</v>
      </c>
      <c r="N475" t="str">
        <f t="shared" ref="N475:N480" si="36">L475</f>
        <v>Supplier A</v>
      </c>
      <c r="O475" t="str">
        <f t="shared" ref="O475:O480" si="37">M475</f>
        <v>Component 1</v>
      </c>
    </row>
    <row r="476" spans="1:15">
      <c r="A476" s="86">
        <v>44689</v>
      </c>
      <c r="B476" s="82">
        <f t="shared" si="34"/>
        <v>5</v>
      </c>
      <c r="C476">
        <f t="shared" si="33"/>
        <v>2022</v>
      </c>
      <c r="E476" s="84" t="s">
        <v>81</v>
      </c>
      <c r="F476" s="44">
        <v>957947.75999999989</v>
      </c>
      <c r="H476" s="44">
        <f t="shared" si="35"/>
        <v>957947.75999999989</v>
      </c>
      <c r="L476" t="str">
        <f>VLOOKUP(M476,Reference!$A$16:$B$21,2,0)</f>
        <v>Supplier A</v>
      </c>
      <c r="M476" t="s">
        <v>4</v>
      </c>
      <c r="N476" t="str">
        <f t="shared" si="36"/>
        <v>Supplier A</v>
      </c>
      <c r="O476" t="str">
        <f t="shared" si="37"/>
        <v>Component 2</v>
      </c>
    </row>
    <row r="477" spans="1:15">
      <c r="A477" s="86">
        <v>44689</v>
      </c>
      <c r="B477" s="82">
        <f t="shared" si="34"/>
        <v>5</v>
      </c>
      <c r="C477">
        <f t="shared" si="33"/>
        <v>2022</v>
      </c>
      <c r="E477" s="84" t="s">
        <v>81</v>
      </c>
      <c r="F477" s="44">
        <v>2363213.31</v>
      </c>
      <c r="H477" s="44">
        <f t="shared" si="35"/>
        <v>2363213.31</v>
      </c>
      <c r="L477" t="str">
        <f>VLOOKUP(M477,Reference!$A$16:$B$21,2,0)</f>
        <v>Supplier A</v>
      </c>
      <c r="M477" t="s">
        <v>5</v>
      </c>
      <c r="N477" t="str">
        <f t="shared" si="36"/>
        <v>Supplier A</v>
      </c>
      <c r="O477" t="str">
        <f t="shared" si="37"/>
        <v>Component 3</v>
      </c>
    </row>
    <row r="478" spans="1:15">
      <c r="A478" s="86">
        <v>44689</v>
      </c>
      <c r="B478" s="82">
        <f t="shared" si="34"/>
        <v>5</v>
      </c>
      <c r="C478">
        <f t="shared" si="33"/>
        <v>2022</v>
      </c>
      <c r="E478" s="84" t="s">
        <v>81</v>
      </c>
      <c r="F478" s="44">
        <v>1875578</v>
      </c>
      <c r="H478" s="44">
        <f t="shared" si="35"/>
        <v>1875578</v>
      </c>
      <c r="L478" t="str">
        <f>VLOOKUP(M478,Reference!$A$16:$B$21,2,0)</f>
        <v>Supplier B</v>
      </c>
      <c r="M478" t="s">
        <v>6</v>
      </c>
      <c r="N478" t="str">
        <f t="shared" si="36"/>
        <v>Supplier B</v>
      </c>
      <c r="O478" t="str">
        <f t="shared" si="37"/>
        <v>Component 4</v>
      </c>
    </row>
    <row r="479" spans="1:15">
      <c r="A479" s="86">
        <v>44689</v>
      </c>
      <c r="B479" s="82">
        <f t="shared" si="34"/>
        <v>5</v>
      </c>
      <c r="C479">
        <f t="shared" si="33"/>
        <v>2022</v>
      </c>
      <c r="E479" s="84" t="s">
        <v>81</v>
      </c>
      <c r="F479" s="44">
        <v>1080370</v>
      </c>
      <c r="H479" s="44">
        <f t="shared" si="35"/>
        <v>1080370</v>
      </c>
      <c r="L479" t="str">
        <f>VLOOKUP(M479,Reference!$A$16:$B$21,2,0)</f>
        <v>Supplier D</v>
      </c>
      <c r="M479" t="s">
        <v>11</v>
      </c>
      <c r="N479" t="str">
        <f t="shared" si="36"/>
        <v>Supplier D</v>
      </c>
      <c r="O479" t="str">
        <f t="shared" si="37"/>
        <v>Component 5</v>
      </c>
    </row>
    <row r="480" spans="1:15">
      <c r="A480" s="86">
        <v>44689</v>
      </c>
      <c r="B480" s="82">
        <f t="shared" si="34"/>
        <v>5</v>
      </c>
      <c r="C480">
        <f t="shared" si="33"/>
        <v>2022</v>
      </c>
      <c r="E480" s="84" t="s">
        <v>81</v>
      </c>
      <c r="F480" s="44">
        <v>2306429</v>
      </c>
      <c r="H480" s="44">
        <f t="shared" si="35"/>
        <v>2306429</v>
      </c>
      <c r="L480" t="str">
        <f>VLOOKUP(M480,Reference!$A$16:$B$21,2,0)</f>
        <v>Supplier D</v>
      </c>
      <c r="M480" t="s">
        <v>12</v>
      </c>
      <c r="N480" t="str">
        <f t="shared" si="36"/>
        <v>Supplier D</v>
      </c>
      <c r="O480" t="str">
        <f t="shared" si="37"/>
        <v>Component 6</v>
      </c>
    </row>
    <row r="481" spans="1:13">
      <c r="A481" s="86">
        <v>44689</v>
      </c>
      <c r="B481" s="82">
        <f t="shared" si="34"/>
        <v>5</v>
      </c>
      <c r="C481">
        <f t="shared" si="33"/>
        <v>2022</v>
      </c>
      <c r="E481" s="84" t="s">
        <v>143</v>
      </c>
      <c r="G481" s="44">
        <v>661583.20000000007</v>
      </c>
      <c r="H481" s="44">
        <f t="shared" si="35"/>
        <v>-661583.20000000007</v>
      </c>
      <c r="J481"/>
      <c r="M481" t="s">
        <v>3</v>
      </c>
    </row>
    <row r="482" spans="1:13">
      <c r="A482" s="86">
        <v>44689</v>
      </c>
      <c r="B482" s="82">
        <f t="shared" si="34"/>
        <v>5</v>
      </c>
      <c r="C482">
        <f t="shared" si="33"/>
        <v>2022</v>
      </c>
      <c r="E482" s="84" t="s">
        <v>143</v>
      </c>
      <c r="G482" s="44">
        <v>957947.75999999989</v>
      </c>
      <c r="H482" s="44">
        <f t="shared" si="35"/>
        <v>-957947.75999999989</v>
      </c>
      <c r="J482"/>
      <c r="M482" t="s">
        <v>4</v>
      </c>
    </row>
    <row r="483" spans="1:13">
      <c r="A483" s="86">
        <v>44689</v>
      </c>
      <c r="B483" s="82">
        <f t="shared" si="34"/>
        <v>5</v>
      </c>
      <c r="C483">
        <f t="shared" si="33"/>
        <v>2022</v>
      </c>
      <c r="E483" s="84" t="s">
        <v>143</v>
      </c>
      <c r="G483" s="44">
        <v>2363213.31</v>
      </c>
      <c r="H483" s="44">
        <f t="shared" si="35"/>
        <v>-2363213.31</v>
      </c>
      <c r="J483"/>
      <c r="M483" t="s">
        <v>5</v>
      </c>
    </row>
    <row r="484" spans="1:13">
      <c r="A484" s="86">
        <v>44689</v>
      </c>
      <c r="B484" s="82">
        <f t="shared" si="34"/>
        <v>5</v>
      </c>
      <c r="C484">
        <f t="shared" si="33"/>
        <v>2022</v>
      </c>
      <c r="E484" s="84" t="s">
        <v>143</v>
      </c>
      <c r="G484" s="44">
        <v>1875578</v>
      </c>
      <c r="H484" s="44">
        <f t="shared" si="35"/>
        <v>-1875578</v>
      </c>
      <c r="J484"/>
      <c r="M484" t="s">
        <v>6</v>
      </c>
    </row>
    <row r="485" spans="1:13">
      <c r="A485" s="86">
        <v>44689</v>
      </c>
      <c r="B485" s="82">
        <f t="shared" si="34"/>
        <v>5</v>
      </c>
      <c r="C485">
        <f t="shared" si="33"/>
        <v>2022</v>
      </c>
      <c r="E485" s="84" t="s">
        <v>143</v>
      </c>
      <c r="G485" s="44">
        <v>1080370</v>
      </c>
      <c r="H485" s="44">
        <f t="shared" si="35"/>
        <v>-1080370</v>
      </c>
      <c r="J485"/>
      <c r="M485" t="s">
        <v>11</v>
      </c>
    </row>
    <row r="486" spans="1:13">
      <c r="A486" s="86">
        <v>44689</v>
      </c>
      <c r="B486" s="82">
        <f t="shared" si="34"/>
        <v>5</v>
      </c>
      <c r="C486">
        <f t="shared" si="33"/>
        <v>2022</v>
      </c>
      <c r="E486" s="84" t="s">
        <v>143</v>
      </c>
      <c r="G486" s="44">
        <v>2306429</v>
      </c>
      <c r="H486" s="44">
        <f t="shared" si="35"/>
        <v>-2306429</v>
      </c>
      <c r="J486"/>
      <c r="M486" t="s">
        <v>12</v>
      </c>
    </row>
    <row r="487" spans="1:13">
      <c r="A487" s="86">
        <v>44689</v>
      </c>
      <c r="B487" s="82">
        <f t="shared" si="34"/>
        <v>5</v>
      </c>
      <c r="C487">
        <f t="shared" si="33"/>
        <v>2022</v>
      </c>
      <c r="E487" s="84" t="s">
        <v>67</v>
      </c>
      <c r="G487" s="44">
        <v>661583.20000000007</v>
      </c>
      <c r="H487" s="44">
        <f t="shared" si="35"/>
        <v>-661583.20000000007</v>
      </c>
      <c r="L487" t="s">
        <v>3</v>
      </c>
      <c r="M487" s="44" t="s">
        <v>123</v>
      </c>
    </row>
    <row r="488" spans="1:13">
      <c r="A488" s="86">
        <v>44689</v>
      </c>
      <c r="B488" s="82">
        <f t="shared" si="34"/>
        <v>5</v>
      </c>
      <c r="C488">
        <f t="shared" si="33"/>
        <v>2022</v>
      </c>
      <c r="E488" s="84" t="s">
        <v>67</v>
      </c>
      <c r="G488" s="44">
        <v>957947.75999999989</v>
      </c>
      <c r="H488" s="44">
        <f t="shared" si="35"/>
        <v>-957947.75999999989</v>
      </c>
      <c r="L488" t="s">
        <v>4</v>
      </c>
      <c r="M488" s="44" t="s">
        <v>123</v>
      </c>
    </row>
    <row r="489" spans="1:13">
      <c r="A489" s="86">
        <v>44689</v>
      </c>
      <c r="B489" s="82">
        <f t="shared" si="34"/>
        <v>5</v>
      </c>
      <c r="C489">
        <f t="shared" si="33"/>
        <v>2022</v>
      </c>
      <c r="E489" s="84" t="s">
        <v>67</v>
      </c>
      <c r="G489" s="44">
        <v>2363213.31</v>
      </c>
      <c r="H489" s="44">
        <f t="shared" si="35"/>
        <v>-2363213.31</v>
      </c>
      <c r="L489" t="s">
        <v>5</v>
      </c>
      <c r="M489" s="44" t="s">
        <v>123</v>
      </c>
    </row>
    <row r="490" spans="1:13">
      <c r="A490" s="86">
        <v>44689</v>
      </c>
      <c r="B490" s="82">
        <f t="shared" si="34"/>
        <v>5</v>
      </c>
      <c r="C490">
        <f t="shared" si="33"/>
        <v>2022</v>
      </c>
      <c r="E490" s="84" t="s">
        <v>67</v>
      </c>
      <c r="G490" s="44">
        <v>1875578</v>
      </c>
      <c r="H490" s="44">
        <f t="shared" si="35"/>
        <v>-1875578</v>
      </c>
      <c r="L490" t="s">
        <v>6</v>
      </c>
      <c r="M490" s="44" t="s">
        <v>124</v>
      </c>
    </row>
    <row r="491" spans="1:13">
      <c r="A491" s="86">
        <v>44689</v>
      </c>
      <c r="B491" s="82">
        <f t="shared" si="34"/>
        <v>5</v>
      </c>
      <c r="C491">
        <f t="shared" si="33"/>
        <v>2022</v>
      </c>
      <c r="E491" s="84" t="s">
        <v>67</v>
      </c>
      <c r="G491" s="44">
        <v>1080370</v>
      </c>
      <c r="H491" s="44">
        <f t="shared" si="35"/>
        <v>-1080370</v>
      </c>
      <c r="L491" t="s">
        <v>11</v>
      </c>
      <c r="M491" s="44" t="s">
        <v>125</v>
      </c>
    </row>
    <row r="492" spans="1:13">
      <c r="A492" s="86">
        <v>44689</v>
      </c>
      <c r="B492" s="82">
        <f t="shared" si="34"/>
        <v>5</v>
      </c>
      <c r="C492">
        <f t="shared" si="33"/>
        <v>2022</v>
      </c>
      <c r="E492" s="84" t="s">
        <v>67</v>
      </c>
      <c r="G492" s="44">
        <v>2306429</v>
      </c>
      <c r="H492" s="44">
        <f t="shared" si="35"/>
        <v>-2306429</v>
      </c>
      <c r="L492" t="s">
        <v>12</v>
      </c>
      <c r="M492" s="44" t="s">
        <v>125</v>
      </c>
    </row>
    <row r="493" spans="1:13">
      <c r="A493" s="86">
        <v>44690</v>
      </c>
      <c r="B493" s="82">
        <f t="shared" si="34"/>
        <v>5</v>
      </c>
      <c r="C493">
        <f t="shared" si="33"/>
        <v>2022</v>
      </c>
      <c r="E493" s="84" t="s">
        <v>97</v>
      </c>
      <c r="F493" s="44">
        <v>3776886</v>
      </c>
      <c r="H493" s="44">
        <f t="shared" si="35"/>
        <v>3776886</v>
      </c>
      <c r="L493" s="29" t="s">
        <v>14</v>
      </c>
      <c r="M493" s="29" t="s">
        <v>39</v>
      </c>
    </row>
    <row r="494" spans="1:13">
      <c r="A494" s="86">
        <v>44690</v>
      </c>
      <c r="B494" s="82">
        <f t="shared" si="34"/>
        <v>5</v>
      </c>
      <c r="C494">
        <f t="shared" si="33"/>
        <v>2022</v>
      </c>
      <c r="E494" s="84" t="s">
        <v>143</v>
      </c>
      <c r="F494" s="44">
        <v>3472739.7840000005</v>
      </c>
      <c r="H494" s="44">
        <f t="shared" si="35"/>
        <v>3472739.7840000005</v>
      </c>
      <c r="I494"/>
      <c r="M494" t="s">
        <v>14</v>
      </c>
    </row>
    <row r="495" spans="1:13">
      <c r="A495" s="86">
        <v>44690</v>
      </c>
      <c r="B495" s="82">
        <f t="shared" si="34"/>
        <v>5</v>
      </c>
      <c r="C495">
        <f t="shared" si="33"/>
        <v>2022</v>
      </c>
      <c r="E495" s="84" t="s">
        <v>89</v>
      </c>
      <c r="F495" s="44">
        <v>3829096.6439999994</v>
      </c>
      <c r="H495" s="44">
        <f t="shared" si="35"/>
        <v>3829096.6439999994</v>
      </c>
      <c r="I495"/>
      <c r="J495"/>
      <c r="M495"/>
    </row>
    <row r="496" spans="1:13">
      <c r="A496" s="86">
        <v>44690</v>
      </c>
      <c r="B496" s="82">
        <f t="shared" si="34"/>
        <v>5</v>
      </c>
      <c r="C496">
        <f t="shared" si="33"/>
        <v>2022</v>
      </c>
      <c r="E496" s="84" t="s">
        <v>90</v>
      </c>
      <c r="F496" s="44">
        <v>1995966.7620000001</v>
      </c>
      <c r="H496" s="44">
        <f t="shared" si="35"/>
        <v>1995966.7620000001</v>
      </c>
      <c r="I496"/>
      <c r="J496"/>
      <c r="M496"/>
    </row>
    <row r="497" spans="1:13">
      <c r="A497" s="86">
        <v>44690</v>
      </c>
      <c r="B497" s="82">
        <f t="shared" si="34"/>
        <v>5</v>
      </c>
      <c r="C497">
        <f t="shared" si="33"/>
        <v>2022</v>
      </c>
      <c r="E497" s="84" t="s">
        <v>91</v>
      </c>
      <c r="F497" s="44">
        <v>3656849.2800000003</v>
      </c>
      <c r="H497" s="44">
        <f t="shared" si="35"/>
        <v>3656849.2800000003</v>
      </c>
      <c r="I497"/>
      <c r="J497"/>
      <c r="M497"/>
    </row>
    <row r="498" spans="1:13">
      <c r="A498" s="86">
        <v>44690</v>
      </c>
      <c r="B498" s="82">
        <f t="shared" si="34"/>
        <v>5</v>
      </c>
      <c r="C498">
        <f t="shared" si="33"/>
        <v>2022</v>
      </c>
      <c r="E498" s="84" t="s">
        <v>91</v>
      </c>
      <c r="G498" s="44">
        <v>3472739.7840000005</v>
      </c>
      <c r="H498" s="44">
        <f t="shared" si="35"/>
        <v>-3472739.7840000005</v>
      </c>
      <c r="I498"/>
      <c r="M498" t="s">
        <v>14</v>
      </c>
    </row>
    <row r="499" spans="1:13">
      <c r="A499" s="86">
        <v>44690</v>
      </c>
      <c r="B499" s="82">
        <f t="shared" si="34"/>
        <v>5</v>
      </c>
      <c r="C499">
        <f t="shared" si="33"/>
        <v>2022</v>
      </c>
      <c r="E499" s="84" t="s">
        <v>98</v>
      </c>
      <c r="G499" s="44">
        <v>3776886</v>
      </c>
      <c r="H499" s="44">
        <f t="shared" si="35"/>
        <v>-3776886</v>
      </c>
      <c r="L499" s="29" t="s">
        <v>14</v>
      </c>
      <c r="M499" s="29" t="s">
        <v>39</v>
      </c>
    </row>
    <row r="500" spans="1:13">
      <c r="A500" s="86">
        <v>44690</v>
      </c>
      <c r="B500" s="82">
        <f t="shared" si="34"/>
        <v>5</v>
      </c>
      <c r="C500">
        <f t="shared" si="33"/>
        <v>2022</v>
      </c>
      <c r="E500" s="84" t="s">
        <v>146</v>
      </c>
      <c r="G500" s="44">
        <v>236791.416</v>
      </c>
      <c r="H500" s="44">
        <f t="shared" si="35"/>
        <v>-236791.416</v>
      </c>
      <c r="I500"/>
      <c r="J500"/>
      <c r="M500"/>
    </row>
    <row r="501" spans="1:13">
      <c r="A501" s="86">
        <v>44691</v>
      </c>
      <c r="B501" s="82">
        <f t="shared" si="34"/>
        <v>5</v>
      </c>
      <c r="C501">
        <f t="shared" si="33"/>
        <v>2022</v>
      </c>
      <c r="E501" s="84" t="s">
        <v>97</v>
      </c>
      <c r="F501" s="44">
        <v>567120</v>
      </c>
      <c r="H501" s="44">
        <f t="shared" si="35"/>
        <v>567120</v>
      </c>
      <c r="L501" s="29" t="s">
        <v>2</v>
      </c>
      <c r="M501" s="29" t="s">
        <v>32</v>
      </c>
    </row>
    <row r="502" spans="1:13">
      <c r="A502" s="86">
        <v>44691</v>
      </c>
      <c r="B502" s="82">
        <f t="shared" si="34"/>
        <v>5</v>
      </c>
      <c r="C502">
        <f t="shared" si="33"/>
        <v>2022</v>
      </c>
      <c r="E502" s="84" t="s">
        <v>97</v>
      </c>
      <c r="F502" s="44">
        <v>1392341</v>
      </c>
      <c r="H502" s="44">
        <f t="shared" si="35"/>
        <v>1392341</v>
      </c>
      <c r="L502" s="29" t="s">
        <v>10</v>
      </c>
      <c r="M502" s="29" t="s">
        <v>38</v>
      </c>
    </row>
    <row r="503" spans="1:13">
      <c r="A503" s="86">
        <v>44691</v>
      </c>
      <c r="B503" s="82">
        <f t="shared" si="34"/>
        <v>5</v>
      </c>
      <c r="C503">
        <f t="shared" si="33"/>
        <v>2022</v>
      </c>
      <c r="D503" s="86"/>
      <c r="E503" s="84" t="s">
        <v>97</v>
      </c>
      <c r="G503" s="44">
        <v>1025715</v>
      </c>
      <c r="H503" s="44">
        <f t="shared" si="35"/>
        <v>-1025715</v>
      </c>
      <c r="L503" s="29" t="s">
        <v>2</v>
      </c>
      <c r="M503" s="29" t="s">
        <v>31</v>
      </c>
    </row>
    <row r="504" spans="1:13">
      <c r="A504" s="86">
        <v>44691</v>
      </c>
      <c r="B504" s="82">
        <f t="shared" si="34"/>
        <v>5</v>
      </c>
      <c r="C504">
        <f t="shared" si="33"/>
        <v>2022</v>
      </c>
      <c r="E504" s="84" t="s">
        <v>150</v>
      </c>
      <c r="F504" s="44">
        <v>1025715</v>
      </c>
      <c r="H504" s="44">
        <f t="shared" si="35"/>
        <v>1025715</v>
      </c>
      <c r="L504" s="29" t="s">
        <v>2</v>
      </c>
      <c r="M504" s="29" t="s">
        <v>31</v>
      </c>
    </row>
    <row r="505" spans="1:13">
      <c r="A505" s="86">
        <v>44691</v>
      </c>
      <c r="B505" s="82">
        <f t="shared" si="34"/>
        <v>5</v>
      </c>
      <c r="C505">
        <f t="shared" si="33"/>
        <v>2022</v>
      </c>
      <c r="E505" s="84" t="s">
        <v>143</v>
      </c>
      <c r="F505" s="44">
        <v>506414.53</v>
      </c>
      <c r="H505" s="44">
        <f t="shared" si="35"/>
        <v>506414.53</v>
      </c>
      <c r="I505"/>
      <c r="M505" t="s">
        <v>2</v>
      </c>
    </row>
    <row r="506" spans="1:13">
      <c r="A506" s="86">
        <v>44691</v>
      </c>
      <c r="B506" s="82">
        <f t="shared" si="34"/>
        <v>5</v>
      </c>
      <c r="C506">
        <f t="shared" si="33"/>
        <v>2022</v>
      </c>
      <c r="E506" s="84" t="s">
        <v>143</v>
      </c>
      <c r="F506" s="44">
        <v>1016220.1380000002</v>
      </c>
      <c r="H506" s="44">
        <f t="shared" si="35"/>
        <v>1016220.1380000002</v>
      </c>
      <c r="I506"/>
      <c r="M506" t="s">
        <v>10</v>
      </c>
    </row>
    <row r="507" spans="1:13">
      <c r="A507" s="86">
        <v>44691</v>
      </c>
      <c r="B507" s="82">
        <f t="shared" si="34"/>
        <v>5</v>
      </c>
      <c r="C507">
        <f t="shared" si="33"/>
        <v>2022</v>
      </c>
      <c r="E507" s="84" t="s">
        <v>89</v>
      </c>
      <c r="G507" s="44">
        <v>506414.53</v>
      </c>
      <c r="H507" s="44">
        <f t="shared" si="35"/>
        <v>-506414.53</v>
      </c>
      <c r="I507"/>
      <c r="M507" t="s">
        <v>2</v>
      </c>
    </row>
    <row r="508" spans="1:13">
      <c r="A508" s="86">
        <v>44691</v>
      </c>
      <c r="B508" s="82">
        <f t="shared" si="34"/>
        <v>5</v>
      </c>
      <c r="C508">
        <f t="shared" si="33"/>
        <v>2022</v>
      </c>
      <c r="E508" s="84" t="s">
        <v>90</v>
      </c>
      <c r="G508" s="44">
        <v>1016220.1380000002</v>
      </c>
      <c r="H508" s="44">
        <f t="shared" si="35"/>
        <v>-1016220.1380000002</v>
      </c>
      <c r="I508"/>
      <c r="M508" t="s">
        <v>10</v>
      </c>
    </row>
    <row r="509" spans="1:13">
      <c r="A509" s="86">
        <v>44691</v>
      </c>
      <c r="B509" s="82">
        <f t="shared" si="34"/>
        <v>5</v>
      </c>
      <c r="C509">
        <f t="shared" si="33"/>
        <v>2022</v>
      </c>
      <c r="E509" s="84" t="s">
        <v>98</v>
      </c>
      <c r="G509" s="44">
        <v>567120</v>
      </c>
      <c r="H509" s="44">
        <f t="shared" si="35"/>
        <v>-567120</v>
      </c>
      <c r="L509" s="29" t="s">
        <v>2</v>
      </c>
      <c r="M509" s="93" t="s">
        <v>32</v>
      </c>
    </row>
    <row r="510" spans="1:13">
      <c r="A510" s="86">
        <v>44691</v>
      </c>
      <c r="B510" s="82">
        <f t="shared" si="34"/>
        <v>5</v>
      </c>
      <c r="C510">
        <f t="shared" si="33"/>
        <v>2022</v>
      </c>
      <c r="E510" s="84" t="s">
        <v>98</v>
      </c>
      <c r="G510" s="44">
        <v>1392341</v>
      </c>
      <c r="H510" s="44">
        <f t="shared" si="35"/>
        <v>-1392341</v>
      </c>
      <c r="L510" s="29" t="s">
        <v>10</v>
      </c>
      <c r="M510" s="93" t="s">
        <v>38</v>
      </c>
    </row>
    <row r="511" spans="1:13">
      <c r="A511" s="86">
        <v>44692</v>
      </c>
      <c r="B511" s="82">
        <f t="shared" si="34"/>
        <v>5</v>
      </c>
      <c r="C511">
        <f t="shared" si="33"/>
        <v>2022</v>
      </c>
      <c r="D511" s="86"/>
      <c r="E511" s="84" t="s">
        <v>68</v>
      </c>
      <c r="F511" s="44">
        <v>945000</v>
      </c>
      <c r="H511" s="44">
        <f t="shared" si="35"/>
        <v>945000</v>
      </c>
      <c r="L511" t="s">
        <v>4</v>
      </c>
      <c r="M511" s="44" t="s">
        <v>123</v>
      </c>
    </row>
    <row r="512" spans="1:13">
      <c r="A512" s="86">
        <v>44692</v>
      </c>
      <c r="B512" s="82">
        <f t="shared" si="34"/>
        <v>5</v>
      </c>
      <c r="C512">
        <f t="shared" si="33"/>
        <v>2022</v>
      </c>
      <c r="E512" s="84" t="s">
        <v>97</v>
      </c>
      <c r="F512" s="44">
        <v>846009</v>
      </c>
      <c r="H512" s="44">
        <f t="shared" si="35"/>
        <v>846009</v>
      </c>
      <c r="L512" s="29" t="s">
        <v>10</v>
      </c>
      <c r="M512" s="29" t="s">
        <v>36</v>
      </c>
    </row>
    <row r="513" spans="1:13">
      <c r="A513" s="86">
        <v>44692</v>
      </c>
      <c r="B513" s="82">
        <f t="shared" si="34"/>
        <v>5</v>
      </c>
      <c r="C513">
        <f t="shared" si="33"/>
        <v>2022</v>
      </c>
      <c r="D513" s="86"/>
      <c r="E513" s="84" t="s">
        <v>150</v>
      </c>
      <c r="G513" s="44">
        <v>945000</v>
      </c>
      <c r="H513" s="44">
        <f t="shared" si="35"/>
        <v>-945000</v>
      </c>
      <c r="L513" t="s">
        <v>4</v>
      </c>
      <c r="M513" s="44" t="s">
        <v>123</v>
      </c>
    </row>
    <row r="514" spans="1:13">
      <c r="A514" s="86">
        <v>44692</v>
      </c>
      <c r="B514" s="82">
        <f t="shared" si="34"/>
        <v>5</v>
      </c>
      <c r="C514">
        <f t="shared" si="33"/>
        <v>2022</v>
      </c>
      <c r="E514" s="84" t="s">
        <v>143</v>
      </c>
      <c r="F514" s="44">
        <v>527983.18200000003</v>
      </c>
      <c r="H514" s="44">
        <f t="shared" si="35"/>
        <v>527983.18200000003</v>
      </c>
      <c r="I514"/>
      <c r="M514" t="s">
        <v>10</v>
      </c>
    </row>
    <row r="515" spans="1:13">
      <c r="A515" s="86">
        <v>44692</v>
      </c>
      <c r="B515" s="82">
        <f t="shared" si="34"/>
        <v>5</v>
      </c>
      <c r="C515">
        <f t="shared" si="33"/>
        <v>2022</v>
      </c>
      <c r="E515" s="84" t="s">
        <v>90</v>
      </c>
      <c r="G515" s="44">
        <v>527983.18200000003</v>
      </c>
      <c r="H515" s="44">
        <f t="shared" si="35"/>
        <v>-527983.18200000003</v>
      </c>
      <c r="I515"/>
      <c r="M515" t="s">
        <v>10</v>
      </c>
    </row>
    <row r="516" spans="1:13">
      <c r="A516" s="86">
        <v>44692</v>
      </c>
      <c r="B516" s="82">
        <f t="shared" si="34"/>
        <v>5</v>
      </c>
      <c r="C516">
        <f t="shared" si="33"/>
        <v>2022</v>
      </c>
      <c r="E516" s="84" t="s">
        <v>98</v>
      </c>
      <c r="G516" s="44">
        <v>846009</v>
      </c>
      <c r="H516" s="44">
        <f t="shared" si="35"/>
        <v>-846009</v>
      </c>
      <c r="L516" s="29" t="s">
        <v>10</v>
      </c>
      <c r="M516" s="93" t="s">
        <v>36</v>
      </c>
    </row>
    <row r="517" spans="1:13">
      <c r="A517" s="86">
        <v>44693</v>
      </c>
      <c r="B517" s="82">
        <f t="shared" si="34"/>
        <v>5</v>
      </c>
      <c r="C517">
        <f t="shared" si="33"/>
        <v>2022</v>
      </c>
      <c r="E517" s="84" t="s">
        <v>97</v>
      </c>
      <c r="F517" s="44">
        <v>902070</v>
      </c>
      <c r="H517" s="44">
        <f t="shared" si="35"/>
        <v>902070</v>
      </c>
      <c r="L517" s="29" t="s">
        <v>2</v>
      </c>
      <c r="M517" s="29" t="s">
        <v>31</v>
      </c>
    </row>
    <row r="518" spans="1:13">
      <c r="A518" s="86">
        <v>44693</v>
      </c>
      <c r="B518" s="82">
        <f t="shared" si="34"/>
        <v>5</v>
      </c>
      <c r="C518">
        <f t="shared" si="33"/>
        <v>2022</v>
      </c>
      <c r="D518" s="86"/>
      <c r="E518" s="84" t="s">
        <v>97</v>
      </c>
      <c r="G518" s="44">
        <v>1005360</v>
      </c>
      <c r="H518" s="44">
        <f t="shared" si="35"/>
        <v>-1005360</v>
      </c>
      <c r="L518" s="29" t="s">
        <v>10</v>
      </c>
      <c r="M518" s="29" t="s">
        <v>38</v>
      </c>
    </row>
    <row r="519" spans="1:13">
      <c r="A519" s="86">
        <v>44693</v>
      </c>
      <c r="B519" s="82">
        <f t="shared" si="34"/>
        <v>5</v>
      </c>
      <c r="C519">
        <f t="shared" si="33"/>
        <v>2022</v>
      </c>
      <c r="E519" s="84" t="s">
        <v>150</v>
      </c>
      <c r="F519" s="44">
        <v>1005360</v>
      </c>
      <c r="H519" s="44">
        <f t="shared" si="35"/>
        <v>1005360</v>
      </c>
      <c r="L519" s="29" t="s">
        <v>10</v>
      </c>
      <c r="M519" s="29" t="s">
        <v>38</v>
      </c>
    </row>
    <row r="520" spans="1:13">
      <c r="A520" s="86">
        <v>44693</v>
      </c>
      <c r="B520" s="82">
        <f t="shared" si="34"/>
        <v>5</v>
      </c>
      <c r="C520">
        <f t="shared" si="33"/>
        <v>2022</v>
      </c>
      <c r="E520" s="84" t="s">
        <v>143</v>
      </c>
      <c r="F520" s="44">
        <v>594838.83600000001</v>
      </c>
      <c r="H520" s="44">
        <f t="shared" si="35"/>
        <v>594838.83600000001</v>
      </c>
      <c r="I520"/>
      <c r="M520" t="s">
        <v>2</v>
      </c>
    </row>
    <row r="521" spans="1:13">
      <c r="A521" s="86">
        <v>44693</v>
      </c>
      <c r="B521" s="82">
        <f t="shared" si="34"/>
        <v>5</v>
      </c>
      <c r="C521">
        <f t="shared" si="33"/>
        <v>2022</v>
      </c>
      <c r="E521" s="84" t="s">
        <v>89</v>
      </c>
      <c r="G521" s="44">
        <v>594838.83600000001</v>
      </c>
      <c r="H521" s="44">
        <f t="shared" si="35"/>
        <v>-594838.83600000001</v>
      </c>
      <c r="I521"/>
      <c r="M521" t="s">
        <v>2</v>
      </c>
    </row>
    <row r="522" spans="1:13">
      <c r="A522" s="86">
        <v>44693</v>
      </c>
      <c r="B522" s="82">
        <f t="shared" si="34"/>
        <v>5</v>
      </c>
      <c r="C522">
        <f t="shared" si="33"/>
        <v>2022</v>
      </c>
      <c r="E522" s="84" t="s">
        <v>98</v>
      </c>
      <c r="G522" s="44">
        <v>902070</v>
      </c>
      <c r="H522" s="44">
        <f t="shared" si="35"/>
        <v>-902070</v>
      </c>
      <c r="L522" s="29" t="s">
        <v>2</v>
      </c>
      <c r="M522" s="93" t="s">
        <v>31</v>
      </c>
    </row>
    <row r="523" spans="1:13">
      <c r="A523" s="86">
        <v>44694</v>
      </c>
      <c r="B523" s="82">
        <f t="shared" si="34"/>
        <v>5</v>
      </c>
      <c r="C523">
        <f t="shared" si="33"/>
        <v>2022</v>
      </c>
      <c r="D523" s="86"/>
      <c r="E523" s="84" t="s">
        <v>68</v>
      </c>
      <c r="F523" s="44">
        <v>935000</v>
      </c>
      <c r="H523" s="44">
        <f t="shared" si="35"/>
        <v>935000</v>
      </c>
      <c r="L523" t="s">
        <v>11</v>
      </c>
      <c r="M523" s="44" t="s">
        <v>125</v>
      </c>
    </row>
    <row r="524" spans="1:13">
      <c r="A524" s="86">
        <v>44694</v>
      </c>
      <c r="B524" s="82">
        <f t="shared" si="34"/>
        <v>5</v>
      </c>
      <c r="C524">
        <f t="shared" si="33"/>
        <v>2022</v>
      </c>
      <c r="D524" s="86"/>
      <c r="E524" s="84" t="s">
        <v>150</v>
      </c>
      <c r="G524" s="44">
        <v>935000</v>
      </c>
      <c r="H524" s="44">
        <f t="shared" si="35"/>
        <v>-935000</v>
      </c>
      <c r="L524" t="s">
        <v>11</v>
      </c>
      <c r="M524" s="44" t="s">
        <v>125</v>
      </c>
    </row>
    <row r="525" spans="1:13">
      <c r="A525" s="86">
        <v>44696</v>
      </c>
      <c r="B525" s="82">
        <f t="shared" si="34"/>
        <v>5</v>
      </c>
      <c r="C525">
        <f t="shared" ref="C525:C588" si="38">YEAR(A525)</f>
        <v>2022</v>
      </c>
      <c r="D525" s="86"/>
      <c r="E525" s="84" t="s">
        <v>68</v>
      </c>
      <c r="F525" s="44">
        <v>2090000</v>
      </c>
      <c r="H525" s="44">
        <f t="shared" si="35"/>
        <v>2090000</v>
      </c>
      <c r="L525" t="s">
        <v>12</v>
      </c>
      <c r="M525" s="44" t="s">
        <v>125</v>
      </c>
    </row>
    <row r="526" spans="1:13">
      <c r="A526" s="86">
        <v>44696</v>
      </c>
      <c r="B526" s="82">
        <f t="shared" si="34"/>
        <v>5</v>
      </c>
      <c r="C526">
        <f t="shared" si="38"/>
        <v>2022</v>
      </c>
      <c r="D526" s="86"/>
      <c r="E526" s="84" t="s">
        <v>150</v>
      </c>
      <c r="G526" s="44">
        <v>2090000</v>
      </c>
      <c r="H526" s="44">
        <f t="shared" si="35"/>
        <v>-2090000</v>
      </c>
      <c r="L526" t="s">
        <v>12</v>
      </c>
      <c r="M526" s="44" t="s">
        <v>125</v>
      </c>
    </row>
    <row r="527" spans="1:13">
      <c r="A527" s="86">
        <v>44697</v>
      </c>
      <c r="B527" s="82">
        <f t="shared" si="34"/>
        <v>5</v>
      </c>
      <c r="C527">
        <f t="shared" si="38"/>
        <v>2022</v>
      </c>
      <c r="D527" s="86"/>
      <c r="E527" s="84" t="s">
        <v>97</v>
      </c>
      <c r="G527" s="44">
        <v>3772578</v>
      </c>
      <c r="H527" s="44">
        <f t="shared" si="35"/>
        <v>-3772578</v>
      </c>
      <c r="L527" s="29" t="s">
        <v>14</v>
      </c>
      <c r="M527" s="29" t="s">
        <v>39</v>
      </c>
    </row>
    <row r="528" spans="1:13">
      <c r="A528" s="86">
        <v>44697</v>
      </c>
      <c r="B528" s="82">
        <f t="shared" si="34"/>
        <v>5</v>
      </c>
      <c r="C528">
        <f t="shared" si="38"/>
        <v>2022</v>
      </c>
      <c r="E528" s="84" t="s">
        <v>150</v>
      </c>
      <c r="F528" s="44">
        <v>3772578</v>
      </c>
      <c r="H528" s="44">
        <f t="shared" si="35"/>
        <v>3772578</v>
      </c>
      <c r="L528" s="29" t="s">
        <v>14</v>
      </c>
      <c r="M528" s="29" t="s">
        <v>39</v>
      </c>
    </row>
    <row r="529" spans="1:13">
      <c r="A529" s="86">
        <v>44698</v>
      </c>
      <c r="B529" s="82">
        <f t="shared" si="34"/>
        <v>5</v>
      </c>
      <c r="C529">
        <f t="shared" si="38"/>
        <v>2022</v>
      </c>
      <c r="D529" s="86"/>
      <c r="E529" s="84" t="s">
        <v>68</v>
      </c>
      <c r="F529" s="44">
        <v>760000</v>
      </c>
      <c r="H529" s="44">
        <f t="shared" si="35"/>
        <v>760000</v>
      </c>
      <c r="L529" t="s">
        <v>3</v>
      </c>
      <c r="M529" s="44" t="s">
        <v>123</v>
      </c>
    </row>
    <row r="530" spans="1:13">
      <c r="A530" s="86">
        <v>44698</v>
      </c>
      <c r="B530" s="82">
        <f t="shared" si="34"/>
        <v>5</v>
      </c>
      <c r="C530">
        <f t="shared" si="38"/>
        <v>2022</v>
      </c>
      <c r="D530" s="86"/>
      <c r="E530" s="84" t="s">
        <v>150</v>
      </c>
      <c r="G530" s="44">
        <v>760000</v>
      </c>
      <c r="H530" s="44">
        <f t="shared" si="35"/>
        <v>-760000</v>
      </c>
      <c r="L530" t="s">
        <v>3</v>
      </c>
      <c r="M530" s="44" t="s">
        <v>123</v>
      </c>
    </row>
    <row r="531" spans="1:13">
      <c r="A531" s="86">
        <v>44698</v>
      </c>
      <c r="B531" s="82">
        <f t="shared" si="34"/>
        <v>5</v>
      </c>
      <c r="C531">
        <f t="shared" si="38"/>
        <v>2022</v>
      </c>
      <c r="E531" s="84" t="s">
        <v>150</v>
      </c>
      <c r="F531" s="44">
        <v>273400</v>
      </c>
      <c r="H531" s="44">
        <f t="shared" si="35"/>
        <v>273400</v>
      </c>
      <c r="L531" s="29" t="s">
        <v>14</v>
      </c>
      <c r="M531" s="29" t="s">
        <v>40</v>
      </c>
    </row>
    <row r="532" spans="1:13">
      <c r="A532" s="86">
        <v>44667</v>
      </c>
      <c r="B532" s="82">
        <f t="shared" si="34"/>
        <v>4</v>
      </c>
      <c r="C532">
        <f t="shared" si="38"/>
        <v>2022</v>
      </c>
      <c r="E532" s="84" t="s">
        <v>97</v>
      </c>
      <c r="F532" s="44">
        <v>1466607</v>
      </c>
      <c r="H532" s="44">
        <f t="shared" si="35"/>
        <v>1466607</v>
      </c>
      <c r="L532" s="29" t="s">
        <v>14</v>
      </c>
      <c r="M532" s="29" t="s">
        <v>40</v>
      </c>
    </row>
    <row r="533" spans="1:13">
      <c r="A533" s="86">
        <v>44699</v>
      </c>
      <c r="B533" s="82">
        <f t="shared" si="34"/>
        <v>5</v>
      </c>
      <c r="C533">
        <f t="shared" si="38"/>
        <v>2022</v>
      </c>
      <c r="E533" s="84" t="s">
        <v>97</v>
      </c>
      <c r="F533" s="44">
        <v>713388</v>
      </c>
      <c r="H533" s="44">
        <f t="shared" si="35"/>
        <v>713388</v>
      </c>
      <c r="L533" s="29" t="s">
        <v>10</v>
      </c>
      <c r="M533" s="29" t="s">
        <v>37</v>
      </c>
    </row>
    <row r="534" spans="1:13">
      <c r="A534" s="86">
        <v>44699</v>
      </c>
      <c r="B534" s="82">
        <f t="shared" si="34"/>
        <v>5</v>
      </c>
      <c r="C534">
        <f t="shared" si="38"/>
        <v>2022</v>
      </c>
      <c r="E534" s="84" t="s">
        <v>143</v>
      </c>
      <c r="F534" s="44">
        <v>184109.49600000001</v>
      </c>
      <c r="H534" s="44">
        <f t="shared" si="35"/>
        <v>184109.49600000001</v>
      </c>
      <c r="I534"/>
      <c r="M534" t="s">
        <v>14</v>
      </c>
    </row>
    <row r="535" spans="1:13">
      <c r="A535" s="86">
        <v>44699</v>
      </c>
      <c r="B535" s="82">
        <f t="shared" ref="B535:B598" si="39">MONTH(A535)</f>
        <v>5</v>
      </c>
      <c r="C535">
        <f t="shared" si="38"/>
        <v>2022</v>
      </c>
      <c r="E535" s="84" t="s">
        <v>143</v>
      </c>
      <c r="F535" s="44">
        <v>451763.44200000004</v>
      </c>
      <c r="H535" s="44">
        <f t="shared" ref="H535:H598" si="40">F535-G535</f>
        <v>451763.44200000004</v>
      </c>
      <c r="I535"/>
      <c r="M535" t="s">
        <v>10</v>
      </c>
    </row>
    <row r="536" spans="1:13">
      <c r="A536" s="86">
        <v>44699</v>
      </c>
      <c r="B536" s="82">
        <f t="shared" si="39"/>
        <v>5</v>
      </c>
      <c r="C536">
        <f t="shared" si="38"/>
        <v>2022</v>
      </c>
      <c r="E536" s="84" t="s">
        <v>90</v>
      </c>
      <c r="G536" s="44">
        <v>451763.44200000004</v>
      </c>
      <c r="H536" s="44">
        <f t="shared" si="40"/>
        <v>-451763.44200000004</v>
      </c>
      <c r="I536"/>
      <c r="M536" t="s">
        <v>10</v>
      </c>
    </row>
    <row r="537" spans="1:13">
      <c r="A537" s="86">
        <v>44699</v>
      </c>
      <c r="B537" s="82">
        <f t="shared" si="39"/>
        <v>5</v>
      </c>
      <c r="C537">
        <f t="shared" si="38"/>
        <v>2022</v>
      </c>
      <c r="E537" s="84" t="s">
        <v>91</v>
      </c>
      <c r="G537" s="44">
        <v>184109.49600000001</v>
      </c>
      <c r="H537" s="44">
        <f t="shared" si="40"/>
        <v>-184109.49600000001</v>
      </c>
      <c r="I537"/>
      <c r="M537" t="s">
        <v>14</v>
      </c>
    </row>
    <row r="538" spans="1:13">
      <c r="A538" s="86">
        <v>44699</v>
      </c>
      <c r="B538" s="82">
        <f t="shared" si="39"/>
        <v>5</v>
      </c>
      <c r="C538">
        <f t="shared" si="38"/>
        <v>2022</v>
      </c>
      <c r="E538" s="84" t="s">
        <v>98</v>
      </c>
      <c r="G538" s="44">
        <v>173788</v>
      </c>
      <c r="H538" s="44">
        <f t="shared" si="40"/>
        <v>-173788</v>
      </c>
      <c r="L538" s="29" t="s">
        <v>14</v>
      </c>
      <c r="M538" s="93" t="s">
        <v>40</v>
      </c>
    </row>
    <row r="539" spans="1:13">
      <c r="A539" s="86">
        <v>44699</v>
      </c>
      <c r="B539" s="82">
        <f t="shared" si="39"/>
        <v>5</v>
      </c>
      <c r="C539">
        <f t="shared" si="38"/>
        <v>2022</v>
      </c>
      <c r="E539" s="84" t="s">
        <v>98</v>
      </c>
      <c r="G539" s="44">
        <v>713388</v>
      </c>
      <c r="H539" s="44">
        <f t="shared" si="40"/>
        <v>-713388</v>
      </c>
      <c r="L539" s="29" t="s">
        <v>10</v>
      </c>
      <c r="M539" s="93" t="s">
        <v>37</v>
      </c>
    </row>
    <row r="540" spans="1:13">
      <c r="A540" s="86">
        <v>44700</v>
      </c>
      <c r="B540" s="82">
        <f t="shared" si="39"/>
        <v>5</v>
      </c>
      <c r="C540">
        <f t="shared" si="38"/>
        <v>2022</v>
      </c>
      <c r="D540" s="86"/>
      <c r="E540" s="84" t="s">
        <v>97</v>
      </c>
      <c r="G540" s="44">
        <v>585872</v>
      </c>
      <c r="H540" s="44">
        <f t="shared" si="40"/>
        <v>-585872</v>
      </c>
      <c r="L540" s="29" t="s">
        <v>10</v>
      </c>
      <c r="M540" s="29" t="s">
        <v>37</v>
      </c>
    </row>
    <row r="541" spans="1:13">
      <c r="A541" s="86">
        <v>44700</v>
      </c>
      <c r="B541" s="82">
        <f t="shared" si="39"/>
        <v>5</v>
      </c>
      <c r="C541">
        <f t="shared" si="38"/>
        <v>2022</v>
      </c>
      <c r="E541" s="84" t="s">
        <v>150</v>
      </c>
      <c r="F541" s="44">
        <v>585872</v>
      </c>
      <c r="H541" s="44">
        <f t="shared" si="40"/>
        <v>585872</v>
      </c>
      <c r="L541" s="29" t="s">
        <v>10</v>
      </c>
      <c r="M541" s="29" t="s">
        <v>37</v>
      </c>
    </row>
    <row r="542" spans="1:13">
      <c r="A542" s="86">
        <v>44704</v>
      </c>
      <c r="B542" s="82">
        <f t="shared" si="39"/>
        <v>5</v>
      </c>
      <c r="C542">
        <f t="shared" si="38"/>
        <v>2022</v>
      </c>
      <c r="D542" s="86"/>
      <c r="E542" s="84" t="s">
        <v>97</v>
      </c>
      <c r="G542" s="44">
        <v>1402960</v>
      </c>
      <c r="H542" s="44">
        <f t="shared" si="40"/>
        <v>-1402960</v>
      </c>
      <c r="L542" s="29" t="s">
        <v>10</v>
      </c>
      <c r="M542" s="29" t="s">
        <v>38</v>
      </c>
    </row>
    <row r="543" spans="1:13">
      <c r="A543" s="86">
        <v>44704</v>
      </c>
      <c r="B543" s="82">
        <f t="shared" si="39"/>
        <v>5</v>
      </c>
      <c r="C543">
        <f t="shared" si="38"/>
        <v>2022</v>
      </c>
      <c r="E543" s="84" t="s">
        <v>150</v>
      </c>
      <c r="F543" s="44">
        <v>1402960</v>
      </c>
      <c r="H543" s="44">
        <f t="shared" si="40"/>
        <v>1402960</v>
      </c>
      <c r="L543" s="29" t="s">
        <v>10</v>
      </c>
      <c r="M543" s="29" t="s">
        <v>38</v>
      </c>
    </row>
    <row r="544" spans="1:13">
      <c r="A544" s="86">
        <v>44706</v>
      </c>
      <c r="B544" s="82">
        <f t="shared" si="39"/>
        <v>5</v>
      </c>
      <c r="C544">
        <f t="shared" si="38"/>
        <v>2022</v>
      </c>
      <c r="E544" s="84" t="s">
        <v>97</v>
      </c>
      <c r="F544" s="44">
        <v>933504</v>
      </c>
      <c r="H544" s="44">
        <f t="shared" si="40"/>
        <v>933504</v>
      </c>
      <c r="L544" s="29" t="s">
        <v>2</v>
      </c>
      <c r="M544" s="29" t="s">
        <v>33</v>
      </c>
    </row>
    <row r="545" spans="1:13">
      <c r="A545" s="86">
        <v>44706</v>
      </c>
      <c r="B545" s="82">
        <f t="shared" si="39"/>
        <v>5</v>
      </c>
      <c r="C545">
        <f t="shared" si="38"/>
        <v>2022</v>
      </c>
      <c r="E545" s="84" t="s">
        <v>97</v>
      </c>
      <c r="F545" s="44">
        <v>1233648</v>
      </c>
      <c r="H545" s="44">
        <f t="shared" si="40"/>
        <v>1233648</v>
      </c>
      <c r="L545" s="29" t="s">
        <v>2</v>
      </c>
      <c r="M545" s="29" t="s">
        <v>34</v>
      </c>
    </row>
    <row r="546" spans="1:13">
      <c r="A546" s="86">
        <v>44706</v>
      </c>
      <c r="B546" s="82">
        <f t="shared" si="39"/>
        <v>5</v>
      </c>
      <c r="C546">
        <f t="shared" si="38"/>
        <v>2022</v>
      </c>
      <c r="E546" s="84" t="s">
        <v>97</v>
      </c>
      <c r="F546" s="44">
        <v>1338336</v>
      </c>
      <c r="H546" s="44">
        <f t="shared" si="40"/>
        <v>1338336</v>
      </c>
      <c r="L546" s="29" t="s">
        <v>2</v>
      </c>
      <c r="M546" s="29" t="s">
        <v>35</v>
      </c>
    </row>
    <row r="547" spans="1:13">
      <c r="A547" s="86">
        <v>44706</v>
      </c>
      <c r="B547" s="82">
        <f t="shared" si="39"/>
        <v>5</v>
      </c>
      <c r="C547">
        <f t="shared" si="38"/>
        <v>2022</v>
      </c>
      <c r="E547" s="84" t="s">
        <v>143</v>
      </c>
      <c r="F547" s="44">
        <v>817727.86066666641</v>
      </c>
      <c r="H547" s="44">
        <f t="shared" si="40"/>
        <v>817727.86066666641</v>
      </c>
      <c r="I547"/>
      <c r="M547" t="s">
        <v>2</v>
      </c>
    </row>
    <row r="548" spans="1:13">
      <c r="A548" s="86">
        <v>44706</v>
      </c>
      <c r="B548" s="82">
        <f t="shared" si="39"/>
        <v>5</v>
      </c>
      <c r="C548">
        <f t="shared" si="38"/>
        <v>2022</v>
      </c>
      <c r="E548" s="84" t="s">
        <v>143</v>
      </c>
      <c r="F548" s="44">
        <v>1065127.3246666663</v>
      </c>
      <c r="H548" s="44">
        <f t="shared" si="40"/>
        <v>1065127.3246666663</v>
      </c>
      <c r="I548"/>
      <c r="M548" t="s">
        <v>2</v>
      </c>
    </row>
    <row r="549" spans="1:13">
      <c r="A549" s="86">
        <v>44706</v>
      </c>
      <c r="B549" s="82">
        <f t="shared" si="39"/>
        <v>5</v>
      </c>
      <c r="C549">
        <f t="shared" si="38"/>
        <v>2022</v>
      </c>
      <c r="E549" s="84" t="s">
        <v>143</v>
      </c>
      <c r="F549" s="44">
        <v>844988.09266666637</v>
      </c>
      <c r="H549" s="44">
        <f t="shared" si="40"/>
        <v>844988.09266666637</v>
      </c>
      <c r="I549"/>
      <c r="M549" t="s">
        <v>2</v>
      </c>
    </row>
    <row r="550" spans="1:13">
      <c r="A550" s="86">
        <v>44706</v>
      </c>
      <c r="B550" s="82">
        <f t="shared" si="39"/>
        <v>5</v>
      </c>
      <c r="C550">
        <f t="shared" si="38"/>
        <v>2022</v>
      </c>
      <c r="E550" s="84" t="s">
        <v>89</v>
      </c>
      <c r="G550" s="44">
        <v>817727.86066666641</v>
      </c>
      <c r="H550" s="44">
        <f t="shared" si="40"/>
        <v>-817727.86066666641</v>
      </c>
      <c r="I550"/>
      <c r="M550" t="s">
        <v>2</v>
      </c>
    </row>
    <row r="551" spans="1:13">
      <c r="A551" s="86">
        <v>44706</v>
      </c>
      <c r="B551" s="82">
        <f t="shared" si="39"/>
        <v>5</v>
      </c>
      <c r="C551">
        <f t="shared" si="38"/>
        <v>2022</v>
      </c>
      <c r="E551" s="84" t="s">
        <v>89</v>
      </c>
      <c r="G551" s="44">
        <v>1065127.3246666663</v>
      </c>
      <c r="H551" s="44">
        <f t="shared" si="40"/>
        <v>-1065127.3246666663</v>
      </c>
      <c r="I551"/>
      <c r="M551" t="s">
        <v>2</v>
      </c>
    </row>
    <row r="552" spans="1:13">
      <c r="A552" s="86">
        <v>44706</v>
      </c>
      <c r="B552" s="82">
        <f t="shared" si="39"/>
        <v>5</v>
      </c>
      <c r="C552">
        <f t="shared" si="38"/>
        <v>2022</v>
      </c>
      <c r="E552" s="84" t="s">
        <v>89</v>
      </c>
      <c r="G552" s="44">
        <v>844988.09266666637</v>
      </c>
      <c r="H552" s="44">
        <f t="shared" si="40"/>
        <v>-844988.09266666637</v>
      </c>
      <c r="I552"/>
      <c r="M552" t="s">
        <v>2</v>
      </c>
    </row>
    <row r="553" spans="1:13">
      <c r="A553" s="86">
        <v>44706</v>
      </c>
      <c r="B553" s="82">
        <f t="shared" si="39"/>
        <v>5</v>
      </c>
      <c r="C553">
        <f t="shared" si="38"/>
        <v>2022</v>
      </c>
      <c r="E553" s="84" t="s">
        <v>98</v>
      </c>
      <c r="G553" s="44">
        <v>933504</v>
      </c>
      <c r="H553" s="44">
        <f t="shared" si="40"/>
        <v>-933504</v>
      </c>
      <c r="L553" s="29" t="s">
        <v>2</v>
      </c>
      <c r="M553" s="93" t="s">
        <v>33</v>
      </c>
    </row>
    <row r="554" spans="1:13">
      <c r="A554" s="86">
        <v>44706</v>
      </c>
      <c r="B554" s="82">
        <f t="shared" si="39"/>
        <v>5</v>
      </c>
      <c r="C554">
        <f t="shared" si="38"/>
        <v>2022</v>
      </c>
      <c r="E554" s="84" t="s">
        <v>98</v>
      </c>
      <c r="G554" s="44">
        <v>1233648</v>
      </c>
      <c r="H554" s="44">
        <f t="shared" si="40"/>
        <v>-1233648</v>
      </c>
      <c r="L554" s="29" t="s">
        <v>2</v>
      </c>
      <c r="M554" s="93" t="s">
        <v>34</v>
      </c>
    </row>
    <row r="555" spans="1:13">
      <c r="A555" s="86">
        <v>44706</v>
      </c>
      <c r="B555" s="82">
        <f t="shared" si="39"/>
        <v>5</v>
      </c>
      <c r="C555">
        <f t="shared" si="38"/>
        <v>2022</v>
      </c>
      <c r="E555" s="84" t="s">
        <v>98</v>
      </c>
      <c r="G555" s="44">
        <v>1338336</v>
      </c>
      <c r="H555" s="44">
        <f t="shared" si="40"/>
        <v>-1338336</v>
      </c>
      <c r="L555" s="29" t="s">
        <v>2</v>
      </c>
      <c r="M555" s="93" t="s">
        <v>35</v>
      </c>
    </row>
    <row r="556" spans="1:13">
      <c r="A556" s="86">
        <v>44708</v>
      </c>
      <c r="B556" s="82">
        <f t="shared" si="39"/>
        <v>5</v>
      </c>
      <c r="C556">
        <f t="shared" si="38"/>
        <v>2022</v>
      </c>
      <c r="D556" s="86"/>
      <c r="E556" s="84" t="s">
        <v>68</v>
      </c>
      <c r="F556" s="44">
        <v>3300000</v>
      </c>
      <c r="H556" s="44">
        <f t="shared" si="40"/>
        <v>3300000</v>
      </c>
      <c r="L556" t="s">
        <v>12</v>
      </c>
      <c r="M556" s="44" t="s">
        <v>125</v>
      </c>
    </row>
    <row r="557" spans="1:13">
      <c r="A557" s="86">
        <v>44708</v>
      </c>
      <c r="B557" s="82">
        <f t="shared" si="39"/>
        <v>5</v>
      </c>
      <c r="C557">
        <f t="shared" si="38"/>
        <v>2022</v>
      </c>
      <c r="D557" s="86"/>
      <c r="E557" s="84" t="s">
        <v>150</v>
      </c>
      <c r="G557" s="44">
        <v>3300000</v>
      </c>
      <c r="H557" s="44">
        <f t="shared" si="40"/>
        <v>-3300000</v>
      </c>
      <c r="L557" t="s">
        <v>12</v>
      </c>
      <c r="M557" s="44" t="s">
        <v>125</v>
      </c>
    </row>
    <row r="558" spans="1:13">
      <c r="A558" s="86">
        <v>44709</v>
      </c>
      <c r="B558" s="82">
        <f t="shared" si="39"/>
        <v>5</v>
      </c>
      <c r="C558">
        <f t="shared" si="38"/>
        <v>2022</v>
      </c>
      <c r="D558" s="86"/>
      <c r="E558" s="84" t="s">
        <v>97</v>
      </c>
      <c r="G558" s="44">
        <v>421857</v>
      </c>
      <c r="H558" s="44">
        <f t="shared" si="40"/>
        <v>-421857</v>
      </c>
      <c r="L558" s="29" t="s">
        <v>2</v>
      </c>
      <c r="M558" s="29" t="s">
        <v>32</v>
      </c>
    </row>
    <row r="559" spans="1:13">
      <c r="A559" s="86">
        <v>44709</v>
      </c>
      <c r="B559" s="82">
        <f t="shared" si="39"/>
        <v>5</v>
      </c>
      <c r="C559">
        <f t="shared" si="38"/>
        <v>2022</v>
      </c>
      <c r="E559" s="84" t="s">
        <v>150</v>
      </c>
      <c r="F559" s="44">
        <v>421857</v>
      </c>
      <c r="H559" s="44">
        <f t="shared" si="40"/>
        <v>421857</v>
      </c>
      <c r="L559" s="29" t="s">
        <v>2</v>
      </c>
      <c r="M559" s="29" t="s">
        <v>32</v>
      </c>
    </row>
    <row r="560" spans="1:13">
      <c r="A560" s="86">
        <v>44712</v>
      </c>
      <c r="B560" s="82">
        <f t="shared" si="39"/>
        <v>5</v>
      </c>
      <c r="C560">
        <f t="shared" si="38"/>
        <v>2022</v>
      </c>
      <c r="E560" s="84" t="s">
        <v>155</v>
      </c>
      <c r="F560" s="44">
        <v>784197</v>
      </c>
      <c r="H560" s="44">
        <f t="shared" si="40"/>
        <v>784197</v>
      </c>
      <c r="M560"/>
    </row>
    <row r="561" spans="1:13">
      <c r="A561" s="86">
        <v>44712</v>
      </c>
      <c r="B561" s="82">
        <f t="shared" si="39"/>
        <v>5</v>
      </c>
      <c r="C561">
        <f t="shared" si="38"/>
        <v>2022</v>
      </c>
      <c r="D561" s="86"/>
      <c r="E561" s="84" t="s">
        <v>150</v>
      </c>
      <c r="G561" s="44">
        <v>236791.416</v>
      </c>
      <c r="H561" s="44">
        <f t="shared" si="40"/>
        <v>-236791.416</v>
      </c>
      <c r="M561"/>
    </row>
    <row r="562" spans="1:13">
      <c r="A562" s="86">
        <v>44712</v>
      </c>
      <c r="B562" s="82">
        <f t="shared" si="39"/>
        <v>5</v>
      </c>
      <c r="C562">
        <f t="shared" si="38"/>
        <v>2022</v>
      </c>
      <c r="E562" s="84" t="s">
        <v>150</v>
      </c>
      <c r="G562" s="44">
        <v>900412</v>
      </c>
      <c r="H562" s="44">
        <f t="shared" si="40"/>
        <v>-900412</v>
      </c>
      <c r="M562"/>
    </row>
    <row r="563" spans="1:13">
      <c r="A563" s="86">
        <v>44712</v>
      </c>
      <c r="B563" s="82">
        <f t="shared" si="39"/>
        <v>5</v>
      </c>
      <c r="C563">
        <f t="shared" si="38"/>
        <v>2022</v>
      </c>
      <c r="E563" s="84" t="s">
        <v>150</v>
      </c>
      <c r="G563" s="44">
        <v>791922</v>
      </c>
      <c r="H563" s="44">
        <f t="shared" si="40"/>
        <v>-791922</v>
      </c>
      <c r="M563"/>
    </row>
    <row r="564" spans="1:13">
      <c r="A564" s="86">
        <v>44712</v>
      </c>
      <c r="B564" s="82">
        <f t="shared" si="39"/>
        <v>5</v>
      </c>
      <c r="C564">
        <f t="shared" si="38"/>
        <v>2022</v>
      </c>
      <c r="E564" s="84" t="s">
        <v>150</v>
      </c>
      <c r="G564" s="44">
        <v>784197</v>
      </c>
      <c r="H564" s="44">
        <f t="shared" si="40"/>
        <v>-784197</v>
      </c>
      <c r="M564"/>
    </row>
    <row r="565" spans="1:13">
      <c r="A565" s="86">
        <v>44712</v>
      </c>
      <c r="B565" s="82">
        <f t="shared" si="39"/>
        <v>5</v>
      </c>
      <c r="C565">
        <f t="shared" si="38"/>
        <v>2022</v>
      </c>
      <c r="E565" s="84" t="s">
        <v>150</v>
      </c>
      <c r="F565" s="44">
        <v>1201645</v>
      </c>
      <c r="H565" s="44">
        <f t="shared" si="40"/>
        <v>1201645</v>
      </c>
      <c r="M565"/>
    </row>
    <row r="566" spans="1:13">
      <c r="A566" s="86">
        <v>44712</v>
      </c>
      <c r="B566" s="82">
        <f t="shared" si="39"/>
        <v>5</v>
      </c>
      <c r="C566">
        <f t="shared" si="38"/>
        <v>2022</v>
      </c>
      <c r="E566" s="84" t="s">
        <v>150</v>
      </c>
      <c r="G566" s="44">
        <v>1229227</v>
      </c>
      <c r="H566" s="44">
        <f t="shared" si="40"/>
        <v>-1229227</v>
      </c>
      <c r="M566"/>
    </row>
    <row r="567" spans="1:13">
      <c r="A567" s="86">
        <v>44712</v>
      </c>
      <c r="B567" s="82">
        <f t="shared" si="39"/>
        <v>5</v>
      </c>
      <c r="C567">
        <f t="shared" si="38"/>
        <v>2022</v>
      </c>
      <c r="E567" s="84" t="s">
        <v>154</v>
      </c>
      <c r="F567" s="44">
        <v>791922</v>
      </c>
      <c r="H567" s="44">
        <f t="shared" si="40"/>
        <v>791922</v>
      </c>
      <c r="M567"/>
    </row>
    <row r="568" spans="1:13">
      <c r="A568" s="86">
        <v>44712</v>
      </c>
      <c r="B568" s="82">
        <f t="shared" si="39"/>
        <v>5</v>
      </c>
      <c r="C568">
        <f t="shared" si="38"/>
        <v>2022</v>
      </c>
      <c r="E568" s="84" t="s">
        <v>159</v>
      </c>
      <c r="F568" s="44">
        <v>1229227</v>
      </c>
      <c r="H568" s="44">
        <f t="shared" si="40"/>
        <v>1229227</v>
      </c>
      <c r="M568"/>
    </row>
    <row r="569" spans="1:13">
      <c r="A569" s="86">
        <v>44712</v>
      </c>
      <c r="B569" s="82">
        <f t="shared" si="39"/>
        <v>5</v>
      </c>
      <c r="C569">
        <f t="shared" si="38"/>
        <v>2022</v>
      </c>
      <c r="E569" s="84" t="s">
        <v>158</v>
      </c>
      <c r="G569" s="44">
        <v>1201645</v>
      </c>
      <c r="H569" s="44">
        <f t="shared" si="40"/>
        <v>-1201645</v>
      </c>
      <c r="M569"/>
    </row>
    <row r="570" spans="1:13">
      <c r="A570" s="86">
        <v>44712</v>
      </c>
      <c r="B570" s="82">
        <f t="shared" si="39"/>
        <v>5</v>
      </c>
      <c r="C570">
        <f t="shared" si="38"/>
        <v>2022</v>
      </c>
      <c r="E570" s="84" t="s">
        <v>157</v>
      </c>
      <c r="F570" s="44">
        <v>900412</v>
      </c>
      <c r="H570" s="44">
        <f t="shared" si="40"/>
        <v>900412</v>
      </c>
      <c r="M570"/>
    </row>
    <row r="571" spans="1:13">
      <c r="A571" s="86">
        <v>44712</v>
      </c>
      <c r="B571" s="82">
        <f t="shared" si="39"/>
        <v>5</v>
      </c>
      <c r="C571">
        <f t="shared" si="38"/>
        <v>2022</v>
      </c>
      <c r="D571" s="86"/>
      <c r="E571" s="84" t="s">
        <v>146</v>
      </c>
      <c r="F571" s="44">
        <v>236791.416</v>
      </c>
      <c r="H571" s="44">
        <f t="shared" si="40"/>
        <v>236791.416</v>
      </c>
      <c r="M571"/>
    </row>
    <row r="572" spans="1:13">
      <c r="A572" s="86">
        <v>44713</v>
      </c>
      <c r="B572" s="82">
        <f t="shared" si="39"/>
        <v>6</v>
      </c>
      <c r="C572">
        <f t="shared" si="38"/>
        <v>2022</v>
      </c>
      <c r="D572" s="86"/>
      <c r="E572" s="84" t="s">
        <v>68</v>
      </c>
      <c r="F572" s="44">
        <v>2000000</v>
      </c>
      <c r="H572" s="44">
        <f t="shared" si="40"/>
        <v>2000000</v>
      </c>
      <c r="L572" t="s">
        <v>5</v>
      </c>
      <c r="M572" s="44" t="s">
        <v>123</v>
      </c>
    </row>
    <row r="573" spans="1:13">
      <c r="A573" s="86">
        <v>44713</v>
      </c>
      <c r="B573" s="82">
        <f t="shared" si="39"/>
        <v>6</v>
      </c>
      <c r="C573">
        <f t="shared" si="38"/>
        <v>2022</v>
      </c>
      <c r="D573" s="86"/>
      <c r="E573" s="84" t="s">
        <v>97</v>
      </c>
      <c r="G573" s="44">
        <v>483771</v>
      </c>
      <c r="H573" s="44">
        <f t="shared" si="40"/>
        <v>-483771</v>
      </c>
      <c r="L573" s="29" t="s">
        <v>10</v>
      </c>
      <c r="M573" s="29" t="s">
        <v>37</v>
      </c>
    </row>
    <row r="574" spans="1:13">
      <c r="A574" s="86">
        <v>44713</v>
      </c>
      <c r="B574" s="82">
        <f t="shared" si="39"/>
        <v>6</v>
      </c>
      <c r="C574">
        <f t="shared" si="38"/>
        <v>2022</v>
      </c>
      <c r="D574" s="86"/>
      <c r="E574" s="84" t="s">
        <v>150</v>
      </c>
      <c r="G574" s="44">
        <v>2000000</v>
      </c>
      <c r="H574" s="44">
        <f t="shared" si="40"/>
        <v>-2000000</v>
      </c>
      <c r="L574" t="s">
        <v>5</v>
      </c>
      <c r="M574" s="44" t="s">
        <v>123</v>
      </c>
    </row>
    <row r="575" spans="1:13">
      <c r="A575" s="86">
        <v>44713</v>
      </c>
      <c r="B575" s="82">
        <f t="shared" si="39"/>
        <v>6</v>
      </c>
      <c r="C575">
        <f t="shared" si="38"/>
        <v>2022</v>
      </c>
      <c r="E575" s="84" t="s">
        <v>150</v>
      </c>
      <c r="F575" s="44">
        <v>483771</v>
      </c>
      <c r="H575" s="44">
        <f t="shared" si="40"/>
        <v>483771</v>
      </c>
      <c r="L575" s="29" t="s">
        <v>10</v>
      </c>
      <c r="M575" s="29" t="s">
        <v>37</v>
      </c>
    </row>
    <row r="576" spans="1:13">
      <c r="A576" s="86">
        <v>44713</v>
      </c>
      <c r="B576" s="82">
        <f t="shared" si="39"/>
        <v>6</v>
      </c>
      <c r="C576">
        <f t="shared" si="38"/>
        <v>2022</v>
      </c>
      <c r="E576" s="44" t="s">
        <v>191</v>
      </c>
      <c r="F576" s="44">
        <v>6455000</v>
      </c>
      <c r="H576" s="44">
        <f t="shared" si="40"/>
        <v>6455000</v>
      </c>
      <c r="M576"/>
    </row>
    <row r="577" spans="1:13">
      <c r="A577" s="86">
        <v>44713</v>
      </c>
      <c r="B577" s="82">
        <f t="shared" si="39"/>
        <v>6</v>
      </c>
      <c r="C577">
        <f t="shared" si="38"/>
        <v>2022</v>
      </c>
      <c r="E577" s="44" t="s">
        <v>190</v>
      </c>
      <c r="F577" s="44">
        <v>9045000</v>
      </c>
      <c r="H577" s="44">
        <f t="shared" si="40"/>
        <v>9045000</v>
      </c>
      <c r="M577"/>
    </row>
    <row r="578" spans="1:13">
      <c r="A578" s="86">
        <v>44713</v>
      </c>
      <c r="B578" s="82">
        <f t="shared" si="39"/>
        <v>6</v>
      </c>
      <c r="C578">
        <f t="shared" si="38"/>
        <v>2022</v>
      </c>
      <c r="E578" t="s">
        <v>189</v>
      </c>
      <c r="F578" s="44">
        <v>45000000</v>
      </c>
      <c r="H578" s="44">
        <f t="shared" si="40"/>
        <v>45000000</v>
      </c>
      <c r="M578"/>
    </row>
    <row r="579" spans="1:13">
      <c r="A579" s="86">
        <v>44713</v>
      </c>
      <c r="B579" s="82">
        <f t="shared" si="39"/>
        <v>6</v>
      </c>
      <c r="C579">
        <f t="shared" si="38"/>
        <v>2022</v>
      </c>
      <c r="E579" s="44" t="s">
        <v>156</v>
      </c>
      <c r="G579" s="44">
        <v>50000000</v>
      </c>
      <c r="H579" s="44">
        <f t="shared" si="40"/>
        <v>-50000000</v>
      </c>
      <c r="M579"/>
    </row>
    <row r="580" spans="1:13">
      <c r="A580" s="86">
        <v>44713</v>
      </c>
      <c r="B580" s="82">
        <f t="shared" si="39"/>
        <v>6</v>
      </c>
      <c r="C580">
        <f t="shared" si="38"/>
        <v>2022</v>
      </c>
      <c r="E580" s="44" t="s">
        <v>192</v>
      </c>
      <c r="G580" s="44">
        <v>10500000</v>
      </c>
      <c r="H580" s="44">
        <f t="shared" si="40"/>
        <v>-10500000</v>
      </c>
      <c r="M580"/>
    </row>
    <row r="581" spans="1:13">
      <c r="A581" s="86">
        <v>44714</v>
      </c>
      <c r="B581" s="82">
        <f t="shared" si="39"/>
        <v>6</v>
      </c>
      <c r="C581">
        <f t="shared" si="38"/>
        <v>2022</v>
      </c>
      <c r="D581" s="86"/>
      <c r="E581" s="84" t="s">
        <v>68</v>
      </c>
      <c r="F581" s="44">
        <v>2375000</v>
      </c>
      <c r="H581" s="44">
        <f t="shared" si="40"/>
        <v>2375000</v>
      </c>
      <c r="L581" t="s">
        <v>5</v>
      </c>
      <c r="M581" s="44" t="s">
        <v>123</v>
      </c>
    </row>
    <row r="582" spans="1:13">
      <c r="A582" s="86">
        <v>44714</v>
      </c>
      <c r="B582" s="82">
        <f t="shared" si="39"/>
        <v>6</v>
      </c>
      <c r="C582">
        <f t="shared" si="38"/>
        <v>2022</v>
      </c>
      <c r="D582" s="86"/>
      <c r="E582" s="84" t="s">
        <v>150</v>
      </c>
      <c r="G582" s="44">
        <v>2375000</v>
      </c>
      <c r="H582" s="44">
        <f t="shared" si="40"/>
        <v>-2375000</v>
      </c>
      <c r="L582" t="s">
        <v>5</v>
      </c>
      <c r="M582" s="44" t="s">
        <v>123</v>
      </c>
    </row>
    <row r="583" spans="1:13">
      <c r="A583" s="86">
        <v>44715</v>
      </c>
      <c r="B583" s="82">
        <f t="shared" si="39"/>
        <v>6</v>
      </c>
      <c r="C583">
        <f t="shared" si="38"/>
        <v>2022</v>
      </c>
      <c r="D583" s="86"/>
      <c r="E583" s="84" t="s">
        <v>97</v>
      </c>
      <c r="G583" s="44">
        <v>1050962</v>
      </c>
      <c r="H583" s="44">
        <f t="shared" si="40"/>
        <v>-1050962</v>
      </c>
      <c r="L583" s="29" t="s">
        <v>2</v>
      </c>
      <c r="M583" s="29" t="s">
        <v>31</v>
      </c>
    </row>
    <row r="584" spans="1:13">
      <c r="A584" s="86">
        <v>44715</v>
      </c>
      <c r="B584" s="82">
        <f t="shared" si="39"/>
        <v>6</v>
      </c>
      <c r="C584">
        <f t="shared" si="38"/>
        <v>2022</v>
      </c>
      <c r="E584" s="84" t="s">
        <v>150</v>
      </c>
      <c r="F584" s="44">
        <v>1050962</v>
      </c>
      <c r="H584" s="44">
        <f t="shared" si="40"/>
        <v>1050962</v>
      </c>
      <c r="L584" s="29" t="s">
        <v>2</v>
      </c>
      <c r="M584" s="29" t="s">
        <v>31</v>
      </c>
    </row>
    <row r="585" spans="1:13">
      <c r="A585" s="86">
        <v>44716</v>
      </c>
      <c r="B585" s="82">
        <f t="shared" si="39"/>
        <v>6</v>
      </c>
      <c r="C585">
        <f t="shared" si="38"/>
        <v>2022</v>
      </c>
      <c r="D585" s="86"/>
      <c r="E585" s="84" t="s">
        <v>68</v>
      </c>
      <c r="F585" s="44">
        <v>2470000</v>
      </c>
      <c r="H585" s="44">
        <f t="shared" si="40"/>
        <v>2470000</v>
      </c>
      <c r="L585" t="s">
        <v>12</v>
      </c>
      <c r="M585" s="44" t="s">
        <v>125</v>
      </c>
    </row>
    <row r="586" spans="1:13">
      <c r="A586" s="86">
        <v>44716</v>
      </c>
      <c r="B586" s="82">
        <f t="shared" si="39"/>
        <v>6</v>
      </c>
      <c r="C586">
        <f t="shared" si="38"/>
        <v>2022</v>
      </c>
      <c r="D586" s="86"/>
      <c r="E586" s="84" t="s">
        <v>150</v>
      </c>
      <c r="G586" s="44">
        <v>2470000</v>
      </c>
      <c r="H586" s="44">
        <f t="shared" si="40"/>
        <v>-2470000</v>
      </c>
      <c r="L586" t="s">
        <v>12</v>
      </c>
      <c r="M586" s="44" t="s">
        <v>125</v>
      </c>
    </row>
    <row r="587" spans="1:13">
      <c r="A587" s="86">
        <v>44717</v>
      </c>
      <c r="B587" s="82">
        <f t="shared" si="39"/>
        <v>6</v>
      </c>
      <c r="C587">
        <f t="shared" si="38"/>
        <v>2022</v>
      </c>
      <c r="D587" s="86"/>
      <c r="E587" s="84" t="s">
        <v>68</v>
      </c>
      <c r="G587" s="44">
        <v>800000</v>
      </c>
      <c r="H587" s="44">
        <f t="shared" si="40"/>
        <v>-800000</v>
      </c>
      <c r="L587" t="s">
        <v>3</v>
      </c>
      <c r="M587" s="44" t="s">
        <v>123</v>
      </c>
    </row>
    <row r="588" spans="1:13">
      <c r="A588" s="86">
        <v>44717</v>
      </c>
      <c r="B588" s="82">
        <f t="shared" si="39"/>
        <v>6</v>
      </c>
      <c r="C588">
        <f t="shared" si="38"/>
        <v>2022</v>
      </c>
      <c r="D588" s="86"/>
      <c r="E588" s="84" t="s">
        <v>68</v>
      </c>
      <c r="G588" s="44">
        <v>810000</v>
      </c>
      <c r="H588" s="44">
        <f t="shared" si="40"/>
        <v>-810000</v>
      </c>
      <c r="L588" t="s">
        <v>4</v>
      </c>
      <c r="M588" s="44" t="s">
        <v>123</v>
      </c>
    </row>
    <row r="589" spans="1:13">
      <c r="A589" s="86">
        <v>44717</v>
      </c>
      <c r="B589" s="82">
        <f t="shared" si="39"/>
        <v>6</v>
      </c>
      <c r="C589">
        <f t="shared" ref="C589:C652" si="41">YEAR(A589)</f>
        <v>2022</v>
      </c>
      <c r="D589" s="86"/>
      <c r="E589" s="84" t="s">
        <v>68</v>
      </c>
      <c r="G589" s="44">
        <v>2210000</v>
      </c>
      <c r="H589" s="44">
        <f t="shared" si="40"/>
        <v>-2210000</v>
      </c>
      <c r="L589" t="s">
        <v>5</v>
      </c>
      <c r="M589" s="44" t="s">
        <v>123</v>
      </c>
    </row>
    <row r="590" spans="1:13">
      <c r="A590" s="86">
        <v>44717</v>
      </c>
      <c r="B590" s="82">
        <f t="shared" si="39"/>
        <v>6</v>
      </c>
      <c r="C590">
        <f t="shared" si="41"/>
        <v>2022</v>
      </c>
      <c r="D590" s="86"/>
      <c r="E590" s="84" t="s">
        <v>68</v>
      </c>
      <c r="G590" s="44">
        <v>2420000</v>
      </c>
      <c r="H590" s="44">
        <f t="shared" si="40"/>
        <v>-2420000</v>
      </c>
      <c r="L590" t="s">
        <v>6</v>
      </c>
      <c r="M590" s="44" t="s">
        <v>124</v>
      </c>
    </row>
    <row r="591" spans="1:13">
      <c r="A591" s="86">
        <v>44717</v>
      </c>
      <c r="B591" s="82">
        <f t="shared" si="39"/>
        <v>6</v>
      </c>
      <c r="C591">
        <f t="shared" si="41"/>
        <v>2022</v>
      </c>
      <c r="D591" s="86"/>
      <c r="E591" s="84" t="s">
        <v>68</v>
      </c>
      <c r="G591" s="44">
        <v>884000</v>
      </c>
      <c r="H591" s="44">
        <f t="shared" si="40"/>
        <v>-884000</v>
      </c>
      <c r="L591" t="s">
        <v>11</v>
      </c>
      <c r="M591" s="44" t="s">
        <v>125</v>
      </c>
    </row>
    <row r="592" spans="1:13">
      <c r="A592" s="86">
        <v>44717</v>
      </c>
      <c r="B592" s="82">
        <f t="shared" si="39"/>
        <v>6</v>
      </c>
      <c r="C592">
        <f t="shared" si="41"/>
        <v>2022</v>
      </c>
      <c r="D592" s="86"/>
      <c r="E592" s="84" t="s">
        <v>68</v>
      </c>
      <c r="G592" s="44">
        <v>1870000</v>
      </c>
      <c r="H592" s="44">
        <f t="shared" si="40"/>
        <v>-1870000</v>
      </c>
      <c r="L592" t="s">
        <v>12</v>
      </c>
      <c r="M592" s="44" t="s">
        <v>125</v>
      </c>
    </row>
    <row r="593" spans="1:15">
      <c r="A593" s="86">
        <v>44717</v>
      </c>
      <c r="B593" s="82">
        <f t="shared" si="39"/>
        <v>6</v>
      </c>
      <c r="C593">
        <f t="shared" si="41"/>
        <v>2022</v>
      </c>
      <c r="D593" s="86"/>
      <c r="E593" s="84" t="s">
        <v>67</v>
      </c>
      <c r="F593" s="44">
        <v>800000</v>
      </c>
      <c r="H593" s="44">
        <f t="shared" si="40"/>
        <v>800000</v>
      </c>
      <c r="L593" t="s">
        <v>3</v>
      </c>
      <c r="M593" s="44" t="s">
        <v>123</v>
      </c>
    </row>
    <row r="594" spans="1:15">
      <c r="A594" s="86">
        <v>44717</v>
      </c>
      <c r="B594" s="82">
        <f t="shared" si="39"/>
        <v>6</v>
      </c>
      <c r="C594">
        <f t="shared" si="41"/>
        <v>2022</v>
      </c>
      <c r="D594" s="86"/>
      <c r="E594" s="84" t="s">
        <v>67</v>
      </c>
      <c r="F594" s="44">
        <v>810000</v>
      </c>
      <c r="H594" s="44">
        <f t="shared" si="40"/>
        <v>810000</v>
      </c>
      <c r="L594" t="s">
        <v>4</v>
      </c>
      <c r="M594" s="44" t="s">
        <v>123</v>
      </c>
    </row>
    <row r="595" spans="1:15">
      <c r="A595" s="86">
        <v>44717</v>
      </c>
      <c r="B595" s="82">
        <f t="shared" si="39"/>
        <v>6</v>
      </c>
      <c r="C595">
        <f t="shared" si="41"/>
        <v>2022</v>
      </c>
      <c r="D595" s="86"/>
      <c r="E595" s="84" t="s">
        <v>67</v>
      </c>
      <c r="F595" s="44">
        <v>2210000</v>
      </c>
      <c r="H595" s="44">
        <f t="shared" si="40"/>
        <v>2210000</v>
      </c>
      <c r="L595" t="s">
        <v>5</v>
      </c>
      <c r="M595" s="44" t="s">
        <v>123</v>
      </c>
    </row>
    <row r="596" spans="1:15">
      <c r="A596" s="86">
        <v>44717</v>
      </c>
      <c r="B596" s="82">
        <f t="shared" si="39"/>
        <v>6</v>
      </c>
      <c r="C596">
        <f t="shared" si="41"/>
        <v>2022</v>
      </c>
      <c r="D596" s="86"/>
      <c r="E596" s="84" t="s">
        <v>67</v>
      </c>
      <c r="F596" s="44">
        <v>2420000</v>
      </c>
      <c r="H596" s="44">
        <f t="shared" si="40"/>
        <v>2420000</v>
      </c>
      <c r="L596" t="s">
        <v>6</v>
      </c>
      <c r="M596" s="44" t="s">
        <v>124</v>
      </c>
    </row>
    <row r="597" spans="1:15">
      <c r="A597" s="86">
        <v>44717</v>
      </c>
      <c r="B597" s="82">
        <f t="shared" si="39"/>
        <v>6</v>
      </c>
      <c r="C597">
        <f t="shared" si="41"/>
        <v>2022</v>
      </c>
      <c r="D597" s="86"/>
      <c r="E597" s="84" t="s">
        <v>67</v>
      </c>
      <c r="F597" s="44">
        <v>884000</v>
      </c>
      <c r="H597" s="44">
        <f t="shared" si="40"/>
        <v>884000</v>
      </c>
      <c r="L597" t="s">
        <v>11</v>
      </c>
      <c r="M597" s="44" t="s">
        <v>125</v>
      </c>
    </row>
    <row r="598" spans="1:15">
      <c r="A598" s="86">
        <v>44717</v>
      </c>
      <c r="B598" s="82">
        <f t="shared" si="39"/>
        <v>6</v>
      </c>
      <c r="C598">
        <f t="shared" si="41"/>
        <v>2022</v>
      </c>
      <c r="D598" s="86"/>
      <c r="E598" s="84" t="s">
        <v>67</v>
      </c>
      <c r="F598" s="44">
        <v>1870000</v>
      </c>
      <c r="H598" s="44">
        <f t="shared" si="40"/>
        <v>1870000</v>
      </c>
      <c r="L598" t="s">
        <v>12</v>
      </c>
      <c r="M598" s="44" t="s">
        <v>125</v>
      </c>
    </row>
    <row r="599" spans="1:15">
      <c r="A599" s="86">
        <v>44718</v>
      </c>
      <c r="B599" s="82">
        <f t="shared" ref="B599:B662" si="42">MONTH(A599)</f>
        <v>6</v>
      </c>
      <c r="C599">
        <f t="shared" si="41"/>
        <v>2022</v>
      </c>
      <c r="D599" s="86"/>
      <c r="E599" s="84" t="s">
        <v>68</v>
      </c>
      <c r="F599" s="44">
        <v>800000</v>
      </c>
      <c r="H599" s="44">
        <f t="shared" ref="H599:H662" si="43">F599-G599</f>
        <v>800000</v>
      </c>
      <c r="L599" t="s">
        <v>3</v>
      </c>
      <c r="M599" s="44" t="s">
        <v>123</v>
      </c>
    </row>
    <row r="600" spans="1:15">
      <c r="A600" s="86">
        <v>44718</v>
      </c>
      <c r="B600" s="82">
        <f t="shared" si="42"/>
        <v>6</v>
      </c>
      <c r="C600">
        <f t="shared" si="41"/>
        <v>2022</v>
      </c>
      <c r="D600" s="86"/>
      <c r="E600" s="84" t="s">
        <v>150</v>
      </c>
      <c r="G600" s="44">
        <v>800000</v>
      </c>
      <c r="H600" s="44">
        <f t="shared" si="43"/>
        <v>-800000</v>
      </c>
      <c r="L600" t="s">
        <v>3</v>
      </c>
      <c r="M600" s="44" t="s">
        <v>123</v>
      </c>
    </row>
    <row r="601" spans="1:15">
      <c r="A601" s="86">
        <v>44722</v>
      </c>
      <c r="B601" s="82">
        <f t="shared" si="42"/>
        <v>6</v>
      </c>
      <c r="C601">
        <f t="shared" si="41"/>
        <v>2022</v>
      </c>
      <c r="D601" s="86"/>
      <c r="E601" s="84" t="s">
        <v>97</v>
      </c>
      <c r="G601" s="44">
        <v>3776886</v>
      </c>
      <c r="H601" s="44">
        <f t="shared" si="43"/>
        <v>-3776886</v>
      </c>
      <c r="L601" s="29" t="s">
        <v>14</v>
      </c>
      <c r="M601" s="29" t="s">
        <v>39</v>
      </c>
    </row>
    <row r="602" spans="1:15">
      <c r="A602" s="86">
        <v>44722</v>
      </c>
      <c r="B602" s="82">
        <f t="shared" si="42"/>
        <v>6</v>
      </c>
      <c r="C602">
        <f t="shared" si="41"/>
        <v>2022</v>
      </c>
      <c r="E602" s="84" t="s">
        <v>150</v>
      </c>
      <c r="F602" s="44">
        <v>3776886</v>
      </c>
      <c r="H602" s="44">
        <f t="shared" si="43"/>
        <v>3776886</v>
      </c>
      <c r="L602" s="29" t="s">
        <v>14</v>
      </c>
      <c r="M602" s="29" t="s">
        <v>39</v>
      </c>
    </row>
    <row r="603" spans="1:15">
      <c r="A603" s="86">
        <v>44724</v>
      </c>
      <c r="B603" s="82">
        <f t="shared" si="42"/>
        <v>6</v>
      </c>
      <c r="C603">
        <f t="shared" si="41"/>
        <v>2022</v>
      </c>
      <c r="E603" s="84" t="s">
        <v>81</v>
      </c>
      <c r="F603" s="44">
        <v>563456.80000000005</v>
      </c>
      <c r="H603" s="44">
        <f t="shared" si="43"/>
        <v>563456.80000000005</v>
      </c>
      <c r="L603" t="str">
        <f>VLOOKUP(M603,Reference!$A$16:$B$21,2,0)</f>
        <v>Supplier A</v>
      </c>
      <c r="M603" t="s">
        <v>3</v>
      </c>
      <c r="N603" t="str">
        <f t="shared" ref="N603:N608" si="44">L603</f>
        <v>Supplier A</v>
      </c>
      <c r="O603" t="str">
        <f t="shared" ref="O603:O608" si="45">M603</f>
        <v>Component 1</v>
      </c>
    </row>
    <row r="604" spans="1:15">
      <c r="A604" s="86">
        <v>44724</v>
      </c>
      <c r="B604" s="82">
        <f t="shared" si="42"/>
        <v>6</v>
      </c>
      <c r="C604">
        <f t="shared" si="41"/>
        <v>2022</v>
      </c>
      <c r="E604" s="84" t="s">
        <v>81</v>
      </c>
      <c r="F604" s="44">
        <v>838781.94</v>
      </c>
      <c r="H604" s="44">
        <f t="shared" si="43"/>
        <v>838781.94</v>
      </c>
      <c r="L604" t="str">
        <f>VLOOKUP(M604,Reference!$A$16:$B$21,2,0)</f>
        <v>Supplier A</v>
      </c>
      <c r="M604" t="s">
        <v>4</v>
      </c>
      <c r="N604" t="str">
        <f t="shared" si="44"/>
        <v>Supplier A</v>
      </c>
      <c r="O604" t="str">
        <f t="shared" si="45"/>
        <v>Component 2</v>
      </c>
    </row>
    <row r="605" spans="1:15">
      <c r="A605" s="86">
        <v>44724</v>
      </c>
      <c r="B605" s="82">
        <f t="shared" si="42"/>
        <v>6</v>
      </c>
      <c r="C605">
        <f t="shared" si="41"/>
        <v>2022</v>
      </c>
      <c r="E605" s="84" t="s">
        <v>81</v>
      </c>
      <c r="F605" s="44">
        <v>1794753.0600000003</v>
      </c>
      <c r="H605" s="44">
        <f t="shared" si="43"/>
        <v>1794753.0600000003</v>
      </c>
      <c r="L605" t="str">
        <f>VLOOKUP(M605,Reference!$A$16:$B$21,2,0)</f>
        <v>Supplier A</v>
      </c>
      <c r="M605" t="s">
        <v>5</v>
      </c>
      <c r="N605" t="str">
        <f t="shared" si="44"/>
        <v>Supplier A</v>
      </c>
      <c r="O605" t="str">
        <f t="shared" si="45"/>
        <v>Component 3</v>
      </c>
    </row>
    <row r="606" spans="1:15">
      <c r="A606" s="86">
        <v>44724</v>
      </c>
      <c r="B606" s="82">
        <f t="shared" si="42"/>
        <v>6</v>
      </c>
      <c r="C606">
        <f t="shared" si="41"/>
        <v>2022</v>
      </c>
      <c r="E606" s="84" t="s">
        <v>81</v>
      </c>
      <c r="F606" s="44">
        <v>1493282</v>
      </c>
      <c r="H606" s="44">
        <f t="shared" si="43"/>
        <v>1493282</v>
      </c>
      <c r="L606" t="str">
        <f>VLOOKUP(M606,Reference!$A$16:$B$21,2,0)</f>
        <v>Supplier B</v>
      </c>
      <c r="M606" t="s">
        <v>6</v>
      </c>
      <c r="N606" t="str">
        <f t="shared" si="44"/>
        <v>Supplier B</v>
      </c>
      <c r="O606" t="str">
        <f t="shared" si="45"/>
        <v>Component 4</v>
      </c>
    </row>
    <row r="607" spans="1:15">
      <c r="A607" s="86">
        <v>44724</v>
      </c>
      <c r="B607" s="82">
        <f t="shared" si="42"/>
        <v>6</v>
      </c>
      <c r="C607">
        <f t="shared" si="41"/>
        <v>2022</v>
      </c>
      <c r="E607" s="84" t="s">
        <v>81</v>
      </c>
      <c r="F607" s="44">
        <v>894125.59999999986</v>
      </c>
      <c r="H607" s="44">
        <f t="shared" si="43"/>
        <v>894125.59999999986</v>
      </c>
      <c r="L607" t="str">
        <f>VLOOKUP(M607,Reference!$A$16:$B$21,2,0)</f>
        <v>Supplier D</v>
      </c>
      <c r="M607" t="s">
        <v>11</v>
      </c>
      <c r="N607" t="str">
        <f t="shared" si="44"/>
        <v>Supplier D</v>
      </c>
      <c r="O607" t="str">
        <f t="shared" si="45"/>
        <v>Component 5</v>
      </c>
    </row>
    <row r="608" spans="1:15">
      <c r="A608" s="86">
        <v>44724</v>
      </c>
      <c r="B608" s="82">
        <f t="shared" si="42"/>
        <v>6</v>
      </c>
      <c r="C608">
        <f t="shared" si="41"/>
        <v>2022</v>
      </c>
      <c r="E608" s="84" t="s">
        <v>81</v>
      </c>
      <c r="F608" s="44">
        <v>2065456</v>
      </c>
      <c r="H608" s="44">
        <f t="shared" si="43"/>
        <v>2065456</v>
      </c>
      <c r="L608" t="str">
        <f>VLOOKUP(M608,Reference!$A$16:$B$21,2,0)</f>
        <v>Supplier D</v>
      </c>
      <c r="M608" t="s">
        <v>12</v>
      </c>
      <c r="N608" t="str">
        <f t="shared" si="44"/>
        <v>Supplier D</v>
      </c>
      <c r="O608" t="str">
        <f t="shared" si="45"/>
        <v>Component 6</v>
      </c>
    </row>
    <row r="609" spans="1:13">
      <c r="A609" s="86">
        <v>44724</v>
      </c>
      <c r="B609" s="82">
        <f t="shared" si="42"/>
        <v>6</v>
      </c>
      <c r="C609">
        <f t="shared" si="41"/>
        <v>2022</v>
      </c>
      <c r="E609" s="84" t="s">
        <v>143</v>
      </c>
      <c r="G609" s="44">
        <v>563456.80000000005</v>
      </c>
      <c r="H609" s="44">
        <f t="shared" si="43"/>
        <v>-563456.80000000005</v>
      </c>
      <c r="J609"/>
      <c r="M609" t="s">
        <v>3</v>
      </c>
    </row>
    <row r="610" spans="1:13">
      <c r="A610" s="86">
        <v>44724</v>
      </c>
      <c r="B610" s="82">
        <f t="shared" si="42"/>
        <v>6</v>
      </c>
      <c r="C610">
        <f t="shared" si="41"/>
        <v>2022</v>
      </c>
      <c r="E610" s="84" t="s">
        <v>143</v>
      </c>
      <c r="G610" s="44">
        <v>838781.94</v>
      </c>
      <c r="H610" s="44">
        <f t="shared" si="43"/>
        <v>-838781.94</v>
      </c>
      <c r="J610"/>
      <c r="M610" t="s">
        <v>4</v>
      </c>
    </row>
    <row r="611" spans="1:13">
      <c r="A611" s="86">
        <v>44724</v>
      </c>
      <c r="B611" s="82">
        <f t="shared" si="42"/>
        <v>6</v>
      </c>
      <c r="C611">
        <f t="shared" si="41"/>
        <v>2022</v>
      </c>
      <c r="E611" s="84" t="s">
        <v>143</v>
      </c>
      <c r="G611" s="44">
        <v>1794753.0600000003</v>
      </c>
      <c r="H611" s="44">
        <f t="shared" si="43"/>
        <v>-1794753.0600000003</v>
      </c>
      <c r="J611"/>
      <c r="M611" t="s">
        <v>5</v>
      </c>
    </row>
    <row r="612" spans="1:13">
      <c r="A612" s="86">
        <v>44724</v>
      </c>
      <c r="B612" s="82">
        <f t="shared" si="42"/>
        <v>6</v>
      </c>
      <c r="C612">
        <f t="shared" si="41"/>
        <v>2022</v>
      </c>
      <c r="E612" s="84" t="s">
        <v>143</v>
      </c>
      <c r="G612" s="44">
        <v>1493282</v>
      </c>
      <c r="H612" s="44">
        <f t="shared" si="43"/>
        <v>-1493282</v>
      </c>
      <c r="J612"/>
      <c r="M612" t="s">
        <v>6</v>
      </c>
    </row>
    <row r="613" spans="1:13">
      <c r="A613" s="86">
        <v>44724</v>
      </c>
      <c r="B613" s="82">
        <f t="shared" si="42"/>
        <v>6</v>
      </c>
      <c r="C613">
        <f t="shared" si="41"/>
        <v>2022</v>
      </c>
      <c r="E613" s="84" t="s">
        <v>143</v>
      </c>
      <c r="G613" s="44">
        <v>894125.59999999986</v>
      </c>
      <c r="H613" s="44">
        <f t="shared" si="43"/>
        <v>-894125.59999999986</v>
      </c>
      <c r="J613"/>
      <c r="M613" t="s">
        <v>11</v>
      </c>
    </row>
    <row r="614" spans="1:13">
      <c r="A614" s="86">
        <v>44724</v>
      </c>
      <c r="B614" s="82">
        <f t="shared" si="42"/>
        <v>6</v>
      </c>
      <c r="C614">
        <f t="shared" si="41"/>
        <v>2022</v>
      </c>
      <c r="E614" s="84" t="s">
        <v>143</v>
      </c>
      <c r="G614" s="44">
        <v>2065456</v>
      </c>
      <c r="H614" s="44">
        <f t="shared" si="43"/>
        <v>-2065456</v>
      </c>
      <c r="J614"/>
      <c r="M614" t="s">
        <v>12</v>
      </c>
    </row>
    <row r="615" spans="1:13">
      <c r="A615" s="86">
        <v>44724</v>
      </c>
      <c r="B615" s="82">
        <f t="shared" si="42"/>
        <v>6</v>
      </c>
      <c r="C615">
        <f t="shared" si="41"/>
        <v>2022</v>
      </c>
      <c r="E615" s="84" t="s">
        <v>67</v>
      </c>
      <c r="G615" s="44">
        <v>563456.80000000005</v>
      </c>
      <c r="H615" s="44">
        <f t="shared" si="43"/>
        <v>-563456.80000000005</v>
      </c>
      <c r="L615" t="s">
        <v>3</v>
      </c>
      <c r="M615" s="44" t="s">
        <v>123</v>
      </c>
    </row>
    <row r="616" spans="1:13">
      <c r="A616" s="86">
        <v>44724</v>
      </c>
      <c r="B616" s="82">
        <f t="shared" si="42"/>
        <v>6</v>
      </c>
      <c r="C616">
        <f t="shared" si="41"/>
        <v>2022</v>
      </c>
      <c r="E616" s="84" t="s">
        <v>67</v>
      </c>
      <c r="G616" s="44">
        <v>838781.94</v>
      </c>
      <c r="H616" s="44">
        <f t="shared" si="43"/>
        <v>-838781.94</v>
      </c>
      <c r="L616" t="s">
        <v>4</v>
      </c>
      <c r="M616" s="44" t="s">
        <v>123</v>
      </c>
    </row>
    <row r="617" spans="1:13">
      <c r="A617" s="86">
        <v>44724</v>
      </c>
      <c r="B617" s="82">
        <f t="shared" si="42"/>
        <v>6</v>
      </c>
      <c r="C617">
        <f t="shared" si="41"/>
        <v>2022</v>
      </c>
      <c r="E617" s="84" t="s">
        <v>67</v>
      </c>
      <c r="G617" s="44">
        <v>1794753.0600000003</v>
      </c>
      <c r="H617" s="44">
        <f t="shared" si="43"/>
        <v>-1794753.0600000003</v>
      </c>
      <c r="L617" t="s">
        <v>5</v>
      </c>
      <c r="M617" s="44" t="s">
        <v>123</v>
      </c>
    </row>
    <row r="618" spans="1:13">
      <c r="A618" s="86">
        <v>44724</v>
      </c>
      <c r="B618" s="82">
        <f t="shared" si="42"/>
        <v>6</v>
      </c>
      <c r="C618">
        <f t="shared" si="41"/>
        <v>2022</v>
      </c>
      <c r="E618" s="84" t="s">
        <v>67</v>
      </c>
      <c r="G618" s="44">
        <v>1493282</v>
      </c>
      <c r="H618" s="44">
        <f t="shared" si="43"/>
        <v>-1493282</v>
      </c>
      <c r="L618" t="s">
        <v>6</v>
      </c>
      <c r="M618" s="44" t="s">
        <v>124</v>
      </c>
    </row>
    <row r="619" spans="1:13">
      <c r="A619" s="86">
        <v>44724</v>
      </c>
      <c r="B619" s="82">
        <f t="shared" si="42"/>
        <v>6</v>
      </c>
      <c r="C619">
        <f t="shared" si="41"/>
        <v>2022</v>
      </c>
      <c r="E619" s="84" t="s">
        <v>67</v>
      </c>
      <c r="G619" s="44">
        <v>894125.59999999986</v>
      </c>
      <c r="H619" s="44">
        <f t="shared" si="43"/>
        <v>-894125.59999999986</v>
      </c>
      <c r="L619" t="s">
        <v>11</v>
      </c>
      <c r="M619" s="44" t="s">
        <v>125</v>
      </c>
    </row>
    <row r="620" spans="1:13">
      <c r="A620" s="86">
        <v>44724</v>
      </c>
      <c r="B620" s="82">
        <f t="shared" si="42"/>
        <v>6</v>
      </c>
      <c r="C620">
        <f t="shared" si="41"/>
        <v>2022</v>
      </c>
      <c r="E620" s="84" t="s">
        <v>67</v>
      </c>
      <c r="G620" s="44">
        <v>2065456</v>
      </c>
      <c r="H620" s="44">
        <f t="shared" si="43"/>
        <v>-2065456</v>
      </c>
      <c r="L620" t="s">
        <v>12</v>
      </c>
      <c r="M620" s="44" t="s">
        <v>125</v>
      </c>
    </row>
    <row r="621" spans="1:13">
      <c r="A621" s="86">
        <v>44725</v>
      </c>
      <c r="B621" s="82">
        <f t="shared" si="42"/>
        <v>6</v>
      </c>
      <c r="C621">
        <f t="shared" si="41"/>
        <v>2022</v>
      </c>
      <c r="E621" s="84" t="s">
        <v>97</v>
      </c>
      <c r="F621" s="44">
        <v>675328</v>
      </c>
      <c r="H621" s="44">
        <f t="shared" si="43"/>
        <v>675328</v>
      </c>
      <c r="L621" s="29" t="s">
        <v>10</v>
      </c>
      <c r="M621" s="29" t="s">
        <v>37</v>
      </c>
    </row>
    <row r="622" spans="1:13">
      <c r="A622" s="86">
        <v>44725</v>
      </c>
      <c r="B622" s="82">
        <f t="shared" si="42"/>
        <v>6</v>
      </c>
      <c r="C622">
        <f t="shared" si="41"/>
        <v>2022</v>
      </c>
      <c r="E622" s="84" t="s">
        <v>143</v>
      </c>
      <c r="F622" s="44">
        <v>385696.70400000009</v>
      </c>
      <c r="H622" s="44">
        <f t="shared" si="43"/>
        <v>385696.70400000009</v>
      </c>
      <c r="I622"/>
      <c r="M622" t="s">
        <v>10</v>
      </c>
    </row>
    <row r="623" spans="1:13">
      <c r="A623" s="86">
        <v>44725</v>
      </c>
      <c r="B623" s="82">
        <f t="shared" si="42"/>
        <v>6</v>
      </c>
      <c r="C623">
        <f t="shared" si="41"/>
        <v>2022</v>
      </c>
      <c r="E623" s="84" t="s">
        <v>89</v>
      </c>
      <c r="F623" s="44">
        <v>3149465.906</v>
      </c>
      <c r="H623" s="44">
        <f t="shared" si="43"/>
        <v>3149465.906</v>
      </c>
      <c r="I623"/>
      <c r="J623"/>
      <c r="M623"/>
    </row>
    <row r="624" spans="1:13">
      <c r="A624" s="86">
        <v>44725</v>
      </c>
      <c r="B624" s="82">
        <f t="shared" si="42"/>
        <v>6</v>
      </c>
      <c r="C624">
        <f t="shared" si="41"/>
        <v>2022</v>
      </c>
      <c r="E624" s="84" t="s">
        <v>90</v>
      </c>
      <c r="F624" s="44">
        <v>1622981.9040000003</v>
      </c>
      <c r="H624" s="44">
        <f t="shared" si="43"/>
        <v>1622981.9040000003</v>
      </c>
      <c r="I624"/>
      <c r="J624"/>
      <c r="M624"/>
    </row>
    <row r="625" spans="1:13">
      <c r="A625" s="86">
        <v>44725</v>
      </c>
      <c r="B625" s="82">
        <f t="shared" si="42"/>
        <v>6</v>
      </c>
      <c r="C625">
        <f t="shared" si="41"/>
        <v>2022</v>
      </c>
      <c r="E625" s="84" t="s">
        <v>90</v>
      </c>
      <c r="G625" s="44">
        <v>385696.70400000009</v>
      </c>
      <c r="H625" s="44">
        <f t="shared" si="43"/>
        <v>-385696.70400000009</v>
      </c>
      <c r="I625"/>
      <c r="M625" t="s">
        <v>10</v>
      </c>
    </row>
    <row r="626" spans="1:13">
      <c r="A626" s="86">
        <v>44725</v>
      </c>
      <c r="B626" s="82">
        <f t="shared" si="42"/>
        <v>6</v>
      </c>
      <c r="C626">
        <f t="shared" si="41"/>
        <v>2022</v>
      </c>
      <c r="E626" s="84" t="s">
        <v>91</v>
      </c>
      <c r="F626" s="44">
        <v>3102727.6159999999</v>
      </c>
      <c r="H626" s="44">
        <f t="shared" si="43"/>
        <v>3102727.6159999999</v>
      </c>
      <c r="I626"/>
      <c r="J626"/>
      <c r="M626"/>
    </row>
    <row r="627" spans="1:13">
      <c r="A627" s="86">
        <v>44725</v>
      </c>
      <c r="B627" s="82">
        <f t="shared" si="42"/>
        <v>6</v>
      </c>
      <c r="C627">
        <f t="shared" si="41"/>
        <v>2022</v>
      </c>
      <c r="E627" s="84" t="s">
        <v>98</v>
      </c>
      <c r="G627" s="44">
        <v>675328</v>
      </c>
      <c r="H627" s="44">
        <f t="shared" si="43"/>
        <v>-675328</v>
      </c>
      <c r="L627" s="29" t="s">
        <v>10</v>
      </c>
      <c r="M627" s="93" t="s">
        <v>37</v>
      </c>
    </row>
    <row r="628" spans="1:13">
      <c r="A628" s="86">
        <v>44725</v>
      </c>
      <c r="B628" s="82">
        <f t="shared" si="42"/>
        <v>6</v>
      </c>
      <c r="C628">
        <f t="shared" si="41"/>
        <v>2022</v>
      </c>
      <c r="E628" s="84" t="s">
        <v>146</v>
      </c>
      <c r="G628" s="44">
        <v>225320.02600000001</v>
      </c>
      <c r="H628" s="44">
        <f t="shared" si="43"/>
        <v>-225320.02600000001</v>
      </c>
      <c r="I628"/>
      <c r="J628"/>
      <c r="M628"/>
    </row>
    <row r="629" spans="1:13">
      <c r="A629" s="86">
        <v>44726</v>
      </c>
      <c r="B629" s="82">
        <f t="shared" si="42"/>
        <v>6</v>
      </c>
      <c r="C629">
        <f t="shared" si="41"/>
        <v>2022</v>
      </c>
      <c r="E629" s="84" t="s">
        <v>97</v>
      </c>
      <c r="F629" s="44">
        <v>1641031</v>
      </c>
      <c r="H629" s="44">
        <f t="shared" si="43"/>
        <v>1641031</v>
      </c>
      <c r="L629" s="29" t="s">
        <v>2</v>
      </c>
      <c r="M629" s="29" t="s">
        <v>34</v>
      </c>
    </row>
    <row r="630" spans="1:13">
      <c r="A630" s="86">
        <v>44726</v>
      </c>
      <c r="B630" s="82">
        <f t="shared" si="42"/>
        <v>6</v>
      </c>
      <c r="C630">
        <f t="shared" si="41"/>
        <v>2022</v>
      </c>
      <c r="D630" s="86"/>
      <c r="E630" s="84" t="s">
        <v>97</v>
      </c>
      <c r="G630" s="44">
        <v>1096316</v>
      </c>
      <c r="H630" s="44">
        <f t="shared" si="43"/>
        <v>-1096316</v>
      </c>
      <c r="L630" s="29" t="s">
        <v>2</v>
      </c>
      <c r="M630" s="29" t="s">
        <v>35</v>
      </c>
    </row>
    <row r="631" spans="1:13">
      <c r="A631" s="86">
        <v>44726</v>
      </c>
      <c r="B631" s="82">
        <f t="shared" si="42"/>
        <v>6</v>
      </c>
      <c r="C631">
        <f t="shared" si="41"/>
        <v>2022</v>
      </c>
      <c r="E631" s="84" t="s">
        <v>150</v>
      </c>
      <c r="F631" s="44">
        <v>1096316</v>
      </c>
      <c r="H631" s="44">
        <f t="shared" si="43"/>
        <v>1096316</v>
      </c>
      <c r="L631" s="29" t="s">
        <v>2</v>
      </c>
      <c r="M631" s="29" t="s">
        <v>35</v>
      </c>
    </row>
    <row r="632" spans="1:13">
      <c r="A632" s="86">
        <v>44726</v>
      </c>
      <c r="B632" s="82">
        <f t="shared" si="42"/>
        <v>6</v>
      </c>
      <c r="C632">
        <f t="shared" si="41"/>
        <v>2022</v>
      </c>
      <c r="E632" s="84" t="s">
        <v>143</v>
      </c>
      <c r="F632" s="44">
        <v>997180.00599999994</v>
      </c>
      <c r="H632" s="44">
        <f t="shared" si="43"/>
        <v>997180.00599999994</v>
      </c>
      <c r="I632"/>
      <c r="M632" t="s">
        <v>2</v>
      </c>
    </row>
    <row r="633" spans="1:13">
      <c r="A633" s="86">
        <v>44726</v>
      </c>
      <c r="B633" s="82">
        <f t="shared" si="42"/>
        <v>6</v>
      </c>
      <c r="C633">
        <f t="shared" si="41"/>
        <v>2022</v>
      </c>
      <c r="E633" s="84" t="s">
        <v>89</v>
      </c>
      <c r="G633" s="44">
        <v>997180.00599999994</v>
      </c>
      <c r="H633" s="44">
        <f t="shared" si="43"/>
        <v>-997180.00599999994</v>
      </c>
      <c r="I633"/>
      <c r="M633" t="s">
        <v>2</v>
      </c>
    </row>
    <row r="634" spans="1:13">
      <c r="A634" s="86">
        <v>44726</v>
      </c>
      <c r="B634" s="82">
        <f t="shared" si="42"/>
        <v>6</v>
      </c>
      <c r="C634">
        <f t="shared" si="41"/>
        <v>2022</v>
      </c>
      <c r="E634" s="84" t="s">
        <v>98</v>
      </c>
      <c r="G634" s="44">
        <v>1641031</v>
      </c>
      <c r="H634" s="44">
        <f t="shared" si="43"/>
        <v>-1641031</v>
      </c>
      <c r="L634" s="29" t="s">
        <v>2</v>
      </c>
      <c r="M634" s="93" t="s">
        <v>34</v>
      </c>
    </row>
    <row r="635" spans="1:13">
      <c r="A635" s="86">
        <v>44728</v>
      </c>
      <c r="B635" s="82">
        <f t="shared" si="42"/>
        <v>6</v>
      </c>
      <c r="C635">
        <f t="shared" si="41"/>
        <v>2022</v>
      </c>
      <c r="E635" s="84" t="s">
        <v>97</v>
      </c>
      <c r="F635" s="44">
        <v>3504204</v>
      </c>
      <c r="H635" s="44">
        <f t="shared" si="43"/>
        <v>3504204</v>
      </c>
      <c r="L635" s="29" t="s">
        <v>14</v>
      </c>
      <c r="M635" s="29" t="s">
        <v>39</v>
      </c>
    </row>
    <row r="636" spans="1:13">
      <c r="A636" s="86">
        <v>44728</v>
      </c>
      <c r="B636" s="82">
        <f t="shared" si="42"/>
        <v>6</v>
      </c>
      <c r="C636">
        <f t="shared" si="41"/>
        <v>2022</v>
      </c>
      <c r="E636" s="84" t="s">
        <v>97</v>
      </c>
      <c r="F636" s="44">
        <v>804344</v>
      </c>
      <c r="H636" s="44">
        <f t="shared" si="43"/>
        <v>804344</v>
      </c>
      <c r="L636" s="29" t="s">
        <v>2</v>
      </c>
      <c r="M636" s="29" t="s">
        <v>32</v>
      </c>
    </row>
    <row r="637" spans="1:13">
      <c r="A637" s="86">
        <v>44728</v>
      </c>
      <c r="B637" s="82">
        <f t="shared" si="42"/>
        <v>6</v>
      </c>
      <c r="C637">
        <f t="shared" si="41"/>
        <v>2022</v>
      </c>
      <c r="E637" s="84" t="s">
        <v>143</v>
      </c>
      <c r="F637" s="44">
        <v>2175367.3680000002</v>
      </c>
      <c r="H637" s="44">
        <f t="shared" si="43"/>
        <v>2175367.3680000002</v>
      </c>
      <c r="I637"/>
      <c r="M637" t="s">
        <v>14</v>
      </c>
    </row>
    <row r="638" spans="1:13">
      <c r="A638" s="86">
        <v>44728</v>
      </c>
      <c r="B638" s="82">
        <f t="shared" si="42"/>
        <v>6</v>
      </c>
      <c r="C638">
        <f t="shared" si="41"/>
        <v>2022</v>
      </c>
      <c r="E638" s="84" t="s">
        <v>143</v>
      </c>
      <c r="F638" s="44">
        <v>592884.73600000003</v>
      </c>
      <c r="H638" s="44">
        <f t="shared" si="43"/>
        <v>592884.73600000003</v>
      </c>
      <c r="I638"/>
      <c r="M638" t="s">
        <v>2</v>
      </c>
    </row>
    <row r="639" spans="1:13">
      <c r="A639" s="86">
        <v>44728</v>
      </c>
      <c r="B639" s="82">
        <f t="shared" si="42"/>
        <v>6</v>
      </c>
      <c r="C639">
        <f t="shared" si="41"/>
        <v>2022</v>
      </c>
      <c r="E639" s="84" t="s">
        <v>89</v>
      </c>
      <c r="G639" s="44">
        <v>592884.73600000003</v>
      </c>
      <c r="H639" s="44">
        <f t="shared" si="43"/>
        <v>-592884.73600000003</v>
      </c>
      <c r="I639"/>
      <c r="M639" t="s">
        <v>2</v>
      </c>
    </row>
    <row r="640" spans="1:13">
      <c r="A640" s="86">
        <v>44728</v>
      </c>
      <c r="B640" s="82">
        <f t="shared" si="42"/>
        <v>6</v>
      </c>
      <c r="C640">
        <f t="shared" si="41"/>
        <v>2022</v>
      </c>
      <c r="E640" s="84" t="s">
        <v>91</v>
      </c>
      <c r="G640" s="44">
        <v>2175367.3680000002</v>
      </c>
      <c r="H640" s="44">
        <f t="shared" si="43"/>
        <v>-2175367.3680000002</v>
      </c>
      <c r="I640"/>
      <c r="M640" t="s">
        <v>14</v>
      </c>
    </row>
    <row r="641" spans="1:13">
      <c r="A641" s="86">
        <v>44728</v>
      </c>
      <c r="B641" s="82">
        <f t="shared" si="42"/>
        <v>6</v>
      </c>
      <c r="C641">
        <f t="shared" si="41"/>
        <v>2022</v>
      </c>
      <c r="E641" s="84" t="s">
        <v>98</v>
      </c>
      <c r="G641" s="44">
        <v>3504204</v>
      </c>
      <c r="H641" s="44">
        <f t="shared" si="43"/>
        <v>-3504204</v>
      </c>
      <c r="L641" s="29" t="s">
        <v>14</v>
      </c>
      <c r="M641" s="29" t="s">
        <v>39</v>
      </c>
    </row>
    <row r="642" spans="1:13">
      <c r="A642" s="86">
        <v>44728</v>
      </c>
      <c r="B642" s="82">
        <f t="shared" si="42"/>
        <v>6</v>
      </c>
      <c r="C642">
        <f t="shared" si="41"/>
        <v>2022</v>
      </c>
      <c r="E642" s="84" t="s">
        <v>98</v>
      </c>
      <c r="G642" s="44">
        <v>804344</v>
      </c>
      <c r="H642" s="44">
        <f t="shared" si="43"/>
        <v>-804344</v>
      </c>
      <c r="L642" s="29" t="s">
        <v>2</v>
      </c>
      <c r="M642" s="93" t="s">
        <v>32</v>
      </c>
    </row>
    <row r="643" spans="1:13">
      <c r="A643" s="86">
        <v>44729</v>
      </c>
      <c r="B643" s="82">
        <f t="shared" si="42"/>
        <v>6</v>
      </c>
      <c r="C643">
        <f t="shared" si="41"/>
        <v>2022</v>
      </c>
      <c r="E643" s="84" t="s">
        <v>97</v>
      </c>
      <c r="F643" s="44">
        <v>600600</v>
      </c>
      <c r="H643" s="44">
        <f t="shared" si="43"/>
        <v>600600</v>
      </c>
      <c r="L643" s="29" t="s">
        <v>2</v>
      </c>
      <c r="M643" s="29" t="s">
        <v>35</v>
      </c>
    </row>
    <row r="644" spans="1:13">
      <c r="A644" s="86">
        <v>44729</v>
      </c>
      <c r="B644" s="82">
        <f t="shared" si="42"/>
        <v>6</v>
      </c>
      <c r="C644">
        <f t="shared" si="41"/>
        <v>2022</v>
      </c>
      <c r="D644" s="86"/>
      <c r="E644" s="84" t="s">
        <v>97</v>
      </c>
      <c r="G644" s="44">
        <v>664416</v>
      </c>
      <c r="H644" s="44">
        <f t="shared" si="43"/>
        <v>-664416</v>
      </c>
      <c r="L644" s="29" t="s">
        <v>2</v>
      </c>
      <c r="M644" s="29" t="s">
        <v>34</v>
      </c>
    </row>
    <row r="645" spans="1:13">
      <c r="A645" s="86">
        <v>44729</v>
      </c>
      <c r="B645" s="82">
        <f t="shared" si="42"/>
        <v>6</v>
      </c>
      <c r="C645">
        <f t="shared" si="41"/>
        <v>2022</v>
      </c>
      <c r="E645" s="84" t="s">
        <v>150</v>
      </c>
      <c r="F645" s="44">
        <v>664416</v>
      </c>
      <c r="H645" s="44">
        <f t="shared" si="43"/>
        <v>664416</v>
      </c>
      <c r="L645" s="29" t="s">
        <v>2</v>
      </c>
      <c r="M645" s="29" t="s">
        <v>34</v>
      </c>
    </row>
    <row r="646" spans="1:13">
      <c r="A646" s="86">
        <v>44729</v>
      </c>
      <c r="B646" s="82">
        <f t="shared" si="42"/>
        <v>6</v>
      </c>
      <c r="C646">
        <f t="shared" si="41"/>
        <v>2022</v>
      </c>
      <c r="E646" s="84" t="s">
        <v>143</v>
      </c>
      <c r="F646" s="44">
        <v>443840.86999999988</v>
      </c>
      <c r="H646" s="44">
        <f t="shared" si="43"/>
        <v>443840.86999999988</v>
      </c>
      <c r="I646"/>
      <c r="M646" t="s">
        <v>2</v>
      </c>
    </row>
    <row r="647" spans="1:13">
      <c r="A647" s="86">
        <v>44729</v>
      </c>
      <c r="B647" s="82">
        <f t="shared" si="42"/>
        <v>6</v>
      </c>
      <c r="C647">
        <f t="shared" si="41"/>
        <v>2022</v>
      </c>
      <c r="E647" s="84" t="s">
        <v>89</v>
      </c>
      <c r="G647" s="44">
        <v>443840.86999999988</v>
      </c>
      <c r="H647" s="44">
        <f t="shared" si="43"/>
        <v>-443840.86999999988</v>
      </c>
      <c r="I647"/>
      <c r="M647" t="s">
        <v>2</v>
      </c>
    </row>
    <row r="648" spans="1:13">
      <c r="A648" s="86">
        <v>44729</v>
      </c>
      <c r="B648" s="82">
        <f t="shared" si="42"/>
        <v>6</v>
      </c>
      <c r="C648">
        <f t="shared" si="41"/>
        <v>2022</v>
      </c>
      <c r="E648" s="84" t="s">
        <v>98</v>
      </c>
      <c r="G648" s="44">
        <v>600600</v>
      </c>
      <c r="H648" s="44">
        <f t="shared" si="43"/>
        <v>-600600</v>
      </c>
      <c r="L648" s="29" t="s">
        <v>2</v>
      </c>
      <c r="M648" s="93" t="s">
        <v>35</v>
      </c>
    </row>
    <row r="649" spans="1:13">
      <c r="A649" s="86">
        <v>44730</v>
      </c>
      <c r="B649" s="82">
        <f t="shared" si="42"/>
        <v>6</v>
      </c>
      <c r="C649">
        <f t="shared" si="41"/>
        <v>2022</v>
      </c>
      <c r="E649" s="84" t="s">
        <v>97</v>
      </c>
      <c r="F649" s="44">
        <v>1159740</v>
      </c>
      <c r="H649" s="44">
        <f t="shared" si="43"/>
        <v>1159740</v>
      </c>
      <c r="L649" s="29" t="s">
        <v>2</v>
      </c>
      <c r="M649" s="29" t="s">
        <v>33</v>
      </c>
    </row>
    <row r="650" spans="1:13">
      <c r="A650" s="86">
        <v>44730</v>
      </c>
      <c r="B650" s="82">
        <f t="shared" si="42"/>
        <v>6</v>
      </c>
      <c r="C650">
        <f t="shared" si="41"/>
        <v>2022</v>
      </c>
      <c r="E650" s="84" t="s">
        <v>143</v>
      </c>
      <c r="F650" s="44">
        <v>776408.67799999996</v>
      </c>
      <c r="H650" s="44">
        <f t="shared" si="43"/>
        <v>776408.67799999996</v>
      </c>
      <c r="I650"/>
      <c r="M650" t="s">
        <v>2</v>
      </c>
    </row>
    <row r="651" spans="1:13">
      <c r="A651" s="86">
        <v>44730</v>
      </c>
      <c r="B651" s="82">
        <f t="shared" si="42"/>
        <v>6</v>
      </c>
      <c r="C651">
        <f t="shared" si="41"/>
        <v>2022</v>
      </c>
      <c r="E651" s="84" t="s">
        <v>89</v>
      </c>
      <c r="G651" s="44">
        <v>776408.67799999996</v>
      </c>
      <c r="H651" s="44">
        <f t="shared" si="43"/>
        <v>-776408.67799999996</v>
      </c>
      <c r="I651"/>
      <c r="M651" t="s">
        <v>2</v>
      </c>
    </row>
    <row r="652" spans="1:13">
      <c r="A652" s="86">
        <v>44730</v>
      </c>
      <c r="B652" s="82">
        <f t="shared" si="42"/>
        <v>6</v>
      </c>
      <c r="C652">
        <f t="shared" si="41"/>
        <v>2022</v>
      </c>
      <c r="E652" s="84" t="s">
        <v>98</v>
      </c>
      <c r="G652" s="44">
        <v>1159740</v>
      </c>
      <c r="H652" s="44">
        <f t="shared" si="43"/>
        <v>-1159740</v>
      </c>
      <c r="L652" s="29" t="s">
        <v>2</v>
      </c>
      <c r="M652" s="93" t="s">
        <v>33</v>
      </c>
    </row>
    <row r="653" spans="1:13">
      <c r="A653" s="86">
        <v>44733</v>
      </c>
      <c r="B653" s="82">
        <f t="shared" si="42"/>
        <v>6</v>
      </c>
      <c r="C653">
        <f t="shared" ref="C653:C716" si="46">YEAR(A653)</f>
        <v>2022</v>
      </c>
      <c r="D653" s="86"/>
      <c r="E653" s="84" t="s">
        <v>97</v>
      </c>
      <c r="G653" s="44">
        <v>671880</v>
      </c>
      <c r="H653" s="44">
        <f t="shared" si="43"/>
        <v>-671880</v>
      </c>
      <c r="L653" s="29" t="s">
        <v>10</v>
      </c>
      <c r="M653" s="29" t="s">
        <v>38</v>
      </c>
    </row>
    <row r="654" spans="1:13">
      <c r="A654" s="86">
        <v>44733</v>
      </c>
      <c r="B654" s="82">
        <f t="shared" si="42"/>
        <v>6</v>
      </c>
      <c r="C654">
        <f t="shared" si="46"/>
        <v>2022</v>
      </c>
      <c r="E654" s="84" t="s">
        <v>150</v>
      </c>
      <c r="F654" s="44">
        <v>671880</v>
      </c>
      <c r="H654" s="44">
        <f t="shared" si="43"/>
        <v>671880</v>
      </c>
      <c r="L654" s="29" t="s">
        <v>10</v>
      </c>
      <c r="M654" s="29" t="s">
        <v>38</v>
      </c>
    </row>
    <row r="655" spans="1:13">
      <c r="A655" s="86">
        <v>44734</v>
      </c>
      <c r="B655" s="82">
        <f t="shared" si="42"/>
        <v>6</v>
      </c>
      <c r="C655">
        <f t="shared" si="46"/>
        <v>2022</v>
      </c>
      <c r="E655" s="84" t="s">
        <v>97</v>
      </c>
      <c r="F655" s="44">
        <v>915151</v>
      </c>
      <c r="H655" s="44">
        <f t="shared" si="43"/>
        <v>915151</v>
      </c>
      <c r="L655" s="29" t="s">
        <v>10</v>
      </c>
      <c r="M655" s="29" t="s">
        <v>36</v>
      </c>
    </row>
    <row r="656" spans="1:13">
      <c r="A656" s="86">
        <v>44734</v>
      </c>
      <c r="B656" s="82">
        <f t="shared" si="42"/>
        <v>6</v>
      </c>
      <c r="C656">
        <f t="shared" si="46"/>
        <v>2022</v>
      </c>
      <c r="E656" s="84" t="s">
        <v>97</v>
      </c>
      <c r="F656" s="44">
        <v>1177393</v>
      </c>
      <c r="H656" s="44">
        <f t="shared" si="43"/>
        <v>1177393</v>
      </c>
      <c r="L656" s="29" t="s">
        <v>10</v>
      </c>
      <c r="M656" s="29" t="s">
        <v>38</v>
      </c>
    </row>
    <row r="657" spans="1:13">
      <c r="A657" s="86">
        <v>44734</v>
      </c>
      <c r="B657" s="82">
        <f t="shared" si="42"/>
        <v>6</v>
      </c>
      <c r="C657">
        <f t="shared" si="46"/>
        <v>2022</v>
      </c>
      <c r="E657" s="84" t="s">
        <v>143</v>
      </c>
      <c r="F657" s="44">
        <v>631143.38400000008</v>
      </c>
      <c r="H657" s="44">
        <f t="shared" si="43"/>
        <v>631143.38400000008</v>
      </c>
      <c r="I657"/>
      <c r="M657" t="s">
        <v>10</v>
      </c>
    </row>
    <row r="658" spans="1:13">
      <c r="A658" s="86">
        <v>44734</v>
      </c>
      <c r="B658" s="82">
        <f t="shared" si="42"/>
        <v>6</v>
      </c>
      <c r="C658">
        <f t="shared" si="46"/>
        <v>2022</v>
      </c>
      <c r="E658" s="84" t="s">
        <v>143</v>
      </c>
      <c r="F658" s="44">
        <v>606141.81600000011</v>
      </c>
      <c r="H658" s="44">
        <f t="shared" si="43"/>
        <v>606141.81600000011</v>
      </c>
      <c r="I658"/>
      <c r="M658" t="s">
        <v>10</v>
      </c>
    </row>
    <row r="659" spans="1:13">
      <c r="A659" s="86">
        <v>44734</v>
      </c>
      <c r="B659" s="82">
        <f t="shared" si="42"/>
        <v>6</v>
      </c>
      <c r="C659">
        <f t="shared" si="46"/>
        <v>2022</v>
      </c>
      <c r="E659" s="84" t="s">
        <v>90</v>
      </c>
      <c r="G659" s="44">
        <v>631143.38400000008</v>
      </c>
      <c r="H659" s="44">
        <f t="shared" si="43"/>
        <v>-631143.38400000008</v>
      </c>
      <c r="I659"/>
      <c r="M659" t="s">
        <v>10</v>
      </c>
    </row>
    <row r="660" spans="1:13">
      <c r="A660" s="86">
        <v>44734</v>
      </c>
      <c r="B660" s="82">
        <f t="shared" si="42"/>
        <v>6</v>
      </c>
      <c r="C660">
        <f t="shared" si="46"/>
        <v>2022</v>
      </c>
      <c r="E660" s="84" t="s">
        <v>90</v>
      </c>
      <c r="G660" s="44">
        <v>606141.81600000011</v>
      </c>
      <c r="H660" s="44">
        <f t="shared" si="43"/>
        <v>-606141.81600000011</v>
      </c>
      <c r="I660"/>
      <c r="M660" t="s">
        <v>10</v>
      </c>
    </row>
    <row r="661" spans="1:13">
      <c r="A661" s="86">
        <v>44734</v>
      </c>
      <c r="B661" s="82">
        <f t="shared" si="42"/>
        <v>6</v>
      </c>
      <c r="C661">
        <f t="shared" si="46"/>
        <v>2022</v>
      </c>
      <c r="E661" s="84" t="s">
        <v>98</v>
      </c>
      <c r="G661" s="44">
        <v>915151</v>
      </c>
      <c r="H661" s="44">
        <f t="shared" si="43"/>
        <v>-915151</v>
      </c>
      <c r="L661" s="29" t="s">
        <v>10</v>
      </c>
      <c r="M661" s="93" t="s">
        <v>36</v>
      </c>
    </row>
    <row r="662" spans="1:13">
      <c r="A662" s="86">
        <v>44734</v>
      </c>
      <c r="B662" s="82">
        <f t="shared" si="42"/>
        <v>6</v>
      </c>
      <c r="C662">
        <f t="shared" si="46"/>
        <v>2022</v>
      </c>
      <c r="E662" s="84" t="s">
        <v>98</v>
      </c>
      <c r="G662" s="44">
        <v>1177393</v>
      </c>
      <c r="H662" s="44">
        <f t="shared" si="43"/>
        <v>-1177393</v>
      </c>
      <c r="L662" s="29" t="s">
        <v>10</v>
      </c>
      <c r="M662" s="93" t="s">
        <v>38</v>
      </c>
    </row>
    <row r="663" spans="1:13">
      <c r="A663" s="86">
        <v>44737</v>
      </c>
      <c r="B663" s="82">
        <f t="shared" ref="B663:B726" si="47">MONTH(A663)</f>
        <v>6</v>
      </c>
      <c r="C663">
        <f t="shared" si="46"/>
        <v>2022</v>
      </c>
      <c r="E663" s="84" t="s">
        <v>97</v>
      </c>
      <c r="F663" s="44">
        <v>515645</v>
      </c>
      <c r="H663" s="44">
        <f t="shared" ref="H663:H726" si="48">F663-G663</f>
        <v>515645</v>
      </c>
      <c r="L663" s="29" t="s">
        <v>2</v>
      </c>
      <c r="M663" s="29" t="s">
        <v>31</v>
      </c>
    </row>
    <row r="664" spans="1:13">
      <c r="A664" s="86">
        <v>44737</v>
      </c>
      <c r="B664" s="82">
        <f t="shared" si="47"/>
        <v>6</v>
      </c>
      <c r="C664">
        <f t="shared" si="46"/>
        <v>2022</v>
      </c>
      <c r="E664" s="84" t="s">
        <v>143</v>
      </c>
      <c r="F664" s="44">
        <v>339151.61600000004</v>
      </c>
      <c r="H664" s="44">
        <f t="shared" si="48"/>
        <v>339151.61600000004</v>
      </c>
      <c r="I664"/>
      <c r="M664" t="s">
        <v>2</v>
      </c>
    </row>
    <row r="665" spans="1:13">
      <c r="A665" s="86">
        <v>44737</v>
      </c>
      <c r="B665" s="82">
        <f t="shared" si="47"/>
        <v>6</v>
      </c>
      <c r="C665">
        <f t="shared" si="46"/>
        <v>2022</v>
      </c>
      <c r="E665" s="84" t="s">
        <v>89</v>
      </c>
      <c r="G665" s="44">
        <v>339151.61600000004</v>
      </c>
      <c r="H665" s="44">
        <f t="shared" si="48"/>
        <v>-339151.61600000004</v>
      </c>
      <c r="I665"/>
      <c r="M665" t="s">
        <v>2</v>
      </c>
    </row>
    <row r="666" spans="1:13">
      <c r="A666" s="86">
        <v>44737</v>
      </c>
      <c r="B666" s="82">
        <f t="shared" si="47"/>
        <v>6</v>
      </c>
      <c r="C666">
        <f t="shared" si="46"/>
        <v>2022</v>
      </c>
      <c r="E666" s="84" t="s">
        <v>98</v>
      </c>
      <c r="G666" s="44">
        <v>515645</v>
      </c>
      <c r="H666" s="44">
        <f t="shared" si="48"/>
        <v>-515645</v>
      </c>
      <c r="L666" s="29" t="s">
        <v>2</v>
      </c>
      <c r="M666" s="93" t="s">
        <v>31</v>
      </c>
    </row>
    <row r="667" spans="1:13">
      <c r="A667" s="86">
        <v>44739</v>
      </c>
      <c r="B667" s="82">
        <f t="shared" si="47"/>
        <v>6</v>
      </c>
      <c r="C667">
        <f t="shared" si="46"/>
        <v>2022</v>
      </c>
      <c r="D667" s="86"/>
      <c r="E667" s="84" t="s">
        <v>68</v>
      </c>
      <c r="F667" s="44">
        <v>1071000</v>
      </c>
      <c r="H667" s="44">
        <f t="shared" si="48"/>
        <v>1071000</v>
      </c>
      <c r="L667" t="s">
        <v>11</v>
      </c>
      <c r="M667" s="44" t="s">
        <v>125</v>
      </c>
    </row>
    <row r="668" spans="1:13">
      <c r="A668" s="86">
        <v>44739</v>
      </c>
      <c r="B668" s="82">
        <f t="shared" si="47"/>
        <v>6</v>
      </c>
      <c r="C668">
        <f t="shared" si="46"/>
        <v>2022</v>
      </c>
      <c r="D668" s="86"/>
      <c r="E668" s="84" t="s">
        <v>150</v>
      </c>
      <c r="G668" s="44">
        <v>1071000</v>
      </c>
      <c r="H668" s="44">
        <f t="shared" si="48"/>
        <v>-1071000</v>
      </c>
      <c r="L668" t="s">
        <v>11</v>
      </c>
      <c r="M668" s="44" t="s">
        <v>125</v>
      </c>
    </row>
    <row r="669" spans="1:13">
      <c r="A669" s="86">
        <v>44741</v>
      </c>
      <c r="B669" s="82">
        <f t="shared" si="47"/>
        <v>6</v>
      </c>
      <c r="C669">
        <f t="shared" si="46"/>
        <v>2022</v>
      </c>
      <c r="D669" s="86"/>
      <c r="E669" s="84" t="s">
        <v>68</v>
      </c>
      <c r="F669" s="44">
        <v>2200000</v>
      </c>
      <c r="H669" s="44">
        <f t="shared" si="48"/>
        <v>2200000</v>
      </c>
      <c r="L669" t="s">
        <v>6</v>
      </c>
      <c r="M669" s="44" t="s">
        <v>124</v>
      </c>
    </row>
    <row r="670" spans="1:13">
      <c r="A670" s="86">
        <v>44741</v>
      </c>
      <c r="B670" s="82">
        <f t="shared" si="47"/>
        <v>6</v>
      </c>
      <c r="C670">
        <f t="shared" si="46"/>
        <v>2022</v>
      </c>
      <c r="D670" s="86"/>
      <c r="E670" s="84" t="s">
        <v>150</v>
      </c>
      <c r="G670" s="44">
        <v>2200000</v>
      </c>
      <c r="H670" s="44">
        <f t="shared" si="48"/>
        <v>-2200000</v>
      </c>
      <c r="L670" t="s">
        <v>6</v>
      </c>
      <c r="M670" s="44" t="s">
        <v>124</v>
      </c>
    </row>
    <row r="671" spans="1:13">
      <c r="A671" s="86">
        <v>44741</v>
      </c>
      <c r="B671" s="82">
        <f t="shared" si="47"/>
        <v>6</v>
      </c>
      <c r="C671">
        <f t="shared" si="46"/>
        <v>2022</v>
      </c>
      <c r="E671" s="84" t="s">
        <v>143</v>
      </c>
      <c r="F671" s="44">
        <v>927360.24800000002</v>
      </c>
      <c r="H671" s="44">
        <f t="shared" si="48"/>
        <v>927360.24800000002</v>
      </c>
      <c r="I671"/>
      <c r="M671" t="s">
        <v>14</v>
      </c>
    </row>
    <row r="672" spans="1:13">
      <c r="A672" s="86">
        <v>44741</v>
      </c>
      <c r="B672" s="82">
        <f t="shared" si="47"/>
        <v>6</v>
      </c>
      <c r="C672">
        <f t="shared" si="46"/>
        <v>2022</v>
      </c>
      <c r="E672" s="84" t="s">
        <v>91</v>
      </c>
      <c r="G672" s="44">
        <v>927360.24800000002</v>
      </c>
      <c r="H672" s="44">
        <f t="shared" si="48"/>
        <v>-927360.24800000002</v>
      </c>
      <c r="I672"/>
      <c r="M672" t="s">
        <v>14</v>
      </c>
    </row>
    <row r="673" spans="1:14">
      <c r="A673" s="86">
        <v>44741</v>
      </c>
      <c r="B673" s="82">
        <f t="shared" si="47"/>
        <v>6</v>
      </c>
      <c r="C673">
        <f t="shared" si="46"/>
        <v>2022</v>
      </c>
      <c r="E673" s="84" t="s">
        <v>98</v>
      </c>
      <c r="G673" s="44">
        <v>1584380</v>
      </c>
      <c r="H673" s="44">
        <f t="shared" si="48"/>
        <v>-1584380</v>
      </c>
      <c r="L673" s="29" t="s">
        <v>14</v>
      </c>
      <c r="M673" s="93" t="s">
        <v>40</v>
      </c>
    </row>
    <row r="674" spans="1:14">
      <c r="A674" s="86">
        <v>44742</v>
      </c>
      <c r="B674" s="82">
        <f t="shared" si="47"/>
        <v>6</v>
      </c>
      <c r="C674">
        <f t="shared" si="46"/>
        <v>2022</v>
      </c>
      <c r="E674" s="84" t="s">
        <v>155</v>
      </c>
      <c r="F674" s="44">
        <v>794583</v>
      </c>
      <c r="H674" s="44">
        <f t="shared" si="48"/>
        <v>794583</v>
      </c>
      <c r="M674"/>
    </row>
    <row r="675" spans="1:14">
      <c r="A675" s="86">
        <v>44742</v>
      </c>
      <c r="B675" s="82">
        <f t="shared" si="47"/>
        <v>6</v>
      </c>
      <c r="C675">
        <f t="shared" si="46"/>
        <v>2022</v>
      </c>
      <c r="D675" s="86"/>
      <c r="E675" s="84" t="s">
        <v>150</v>
      </c>
      <c r="G675" s="44">
        <v>225320.02600000001</v>
      </c>
      <c r="H675" s="44">
        <f t="shared" si="48"/>
        <v>-225320.02600000001</v>
      </c>
      <c r="M675"/>
    </row>
    <row r="676" spans="1:14">
      <c r="A676" s="86">
        <v>44742</v>
      </c>
      <c r="B676" s="82">
        <f t="shared" si="47"/>
        <v>6</v>
      </c>
      <c r="C676">
        <f t="shared" si="46"/>
        <v>2022</v>
      </c>
      <c r="E676" s="84" t="s">
        <v>150</v>
      </c>
      <c r="G676" s="44">
        <v>926816</v>
      </c>
      <c r="H676" s="44">
        <f t="shared" si="48"/>
        <v>-926816</v>
      </c>
      <c r="M676"/>
    </row>
    <row r="677" spans="1:14">
      <c r="A677" s="86">
        <v>44742</v>
      </c>
      <c r="B677" s="82">
        <f t="shared" si="47"/>
        <v>6</v>
      </c>
      <c r="C677">
        <f t="shared" si="46"/>
        <v>2022</v>
      </c>
      <c r="E677" s="84" t="s">
        <v>150</v>
      </c>
      <c r="G677" s="44">
        <v>781895</v>
      </c>
      <c r="H677" s="44">
        <f t="shared" si="48"/>
        <v>-781895</v>
      </c>
      <c r="M677"/>
    </row>
    <row r="678" spans="1:14">
      <c r="A678" s="86">
        <v>44742</v>
      </c>
      <c r="B678" s="82">
        <f t="shared" si="47"/>
        <v>6</v>
      </c>
      <c r="C678">
        <f t="shared" si="46"/>
        <v>2022</v>
      </c>
      <c r="E678" s="84" t="s">
        <v>150</v>
      </c>
      <c r="G678" s="44">
        <v>794583</v>
      </c>
      <c r="H678" s="44">
        <f t="shared" si="48"/>
        <v>-794583</v>
      </c>
      <c r="M678"/>
    </row>
    <row r="679" spans="1:14">
      <c r="A679" s="86">
        <v>44742</v>
      </c>
      <c r="B679" s="82">
        <f t="shared" si="47"/>
        <v>6</v>
      </c>
      <c r="C679">
        <f t="shared" si="46"/>
        <v>2022</v>
      </c>
      <c r="E679" s="84" t="s">
        <v>150</v>
      </c>
      <c r="F679" s="44">
        <v>1212469</v>
      </c>
      <c r="H679" s="44">
        <f t="shared" si="48"/>
        <v>1212469</v>
      </c>
      <c r="M679"/>
    </row>
    <row r="680" spans="1:14">
      <c r="A680" s="86">
        <v>44742</v>
      </c>
      <c r="B680" s="82">
        <f t="shared" si="47"/>
        <v>6</v>
      </c>
      <c r="C680">
        <f t="shared" si="46"/>
        <v>2022</v>
      </c>
      <c r="E680" s="84" t="s">
        <v>150</v>
      </c>
      <c r="G680" s="44">
        <v>1223784</v>
      </c>
      <c r="H680" s="44">
        <f t="shared" si="48"/>
        <v>-1223784</v>
      </c>
      <c r="I680" s="26"/>
      <c r="J680" s="26"/>
      <c r="K680" s="26"/>
      <c r="L680" s="26"/>
      <c r="M680" s="26"/>
      <c r="N680" s="26"/>
    </row>
    <row r="681" spans="1:14">
      <c r="A681" s="86">
        <v>44742</v>
      </c>
      <c r="B681" s="82">
        <f t="shared" si="47"/>
        <v>6</v>
      </c>
      <c r="C681">
        <f t="shared" si="46"/>
        <v>2022</v>
      </c>
      <c r="E681" s="84" t="s">
        <v>154</v>
      </c>
      <c r="F681" s="44">
        <v>781895</v>
      </c>
      <c r="H681" s="44">
        <f t="shared" si="48"/>
        <v>781895</v>
      </c>
      <c r="M681"/>
    </row>
    <row r="682" spans="1:14">
      <c r="A682" s="86">
        <v>44742</v>
      </c>
      <c r="B682" s="82">
        <f t="shared" si="47"/>
        <v>6</v>
      </c>
      <c r="C682">
        <f t="shared" si="46"/>
        <v>2022</v>
      </c>
      <c r="E682" s="84" t="s">
        <v>159</v>
      </c>
      <c r="F682" s="44">
        <v>1223784</v>
      </c>
      <c r="H682" s="44">
        <f t="shared" si="48"/>
        <v>1223784</v>
      </c>
      <c r="M682"/>
    </row>
    <row r="683" spans="1:14">
      <c r="A683" s="86">
        <v>44742</v>
      </c>
      <c r="B683" s="82">
        <f t="shared" si="47"/>
        <v>6</v>
      </c>
      <c r="C683">
        <f t="shared" si="46"/>
        <v>2022</v>
      </c>
      <c r="E683" s="84" t="s">
        <v>158</v>
      </c>
      <c r="G683" s="44">
        <v>1212469</v>
      </c>
      <c r="H683" s="44">
        <f t="shared" si="48"/>
        <v>-1212469</v>
      </c>
      <c r="M683"/>
    </row>
    <row r="684" spans="1:14">
      <c r="A684" s="86">
        <v>44742</v>
      </c>
      <c r="B684" s="82">
        <f t="shared" si="47"/>
        <v>6</v>
      </c>
      <c r="C684">
        <f t="shared" si="46"/>
        <v>2022</v>
      </c>
      <c r="E684" s="84" t="s">
        <v>157</v>
      </c>
      <c r="F684" s="44">
        <v>926816</v>
      </c>
      <c r="H684" s="44">
        <f t="shared" si="48"/>
        <v>926816</v>
      </c>
      <c r="M684"/>
    </row>
    <row r="685" spans="1:14">
      <c r="A685" s="86">
        <v>44742</v>
      </c>
      <c r="B685" s="82">
        <f t="shared" si="47"/>
        <v>6</v>
      </c>
      <c r="C685">
        <f t="shared" si="46"/>
        <v>2022</v>
      </c>
      <c r="D685" s="86"/>
      <c r="E685" s="84" t="s">
        <v>146</v>
      </c>
      <c r="F685" s="44">
        <v>225320.02600000001</v>
      </c>
      <c r="H685" s="44">
        <f t="shared" si="48"/>
        <v>225320.02600000001</v>
      </c>
      <c r="M685"/>
    </row>
    <row r="686" spans="1:14">
      <c r="A686" s="86">
        <v>44743</v>
      </c>
      <c r="B686" s="82">
        <f t="shared" si="47"/>
        <v>7</v>
      </c>
      <c r="C686">
        <f t="shared" si="46"/>
        <v>2022</v>
      </c>
      <c r="E686" s="44" t="s">
        <v>191</v>
      </c>
      <c r="F686" s="44">
        <v>6455000</v>
      </c>
      <c r="H686" s="44">
        <f t="shared" si="48"/>
        <v>6455000</v>
      </c>
      <c r="M686"/>
    </row>
    <row r="687" spans="1:14">
      <c r="A687" s="86">
        <v>44743</v>
      </c>
      <c r="B687" s="82">
        <f t="shared" si="47"/>
        <v>7</v>
      </c>
      <c r="C687">
        <f t="shared" si="46"/>
        <v>2022</v>
      </c>
      <c r="E687" s="44" t="s">
        <v>190</v>
      </c>
      <c r="F687" s="44">
        <v>9045000</v>
      </c>
      <c r="H687" s="44">
        <f t="shared" si="48"/>
        <v>9045000</v>
      </c>
      <c r="M687"/>
    </row>
    <row r="688" spans="1:14">
      <c r="A688" s="86">
        <v>44743</v>
      </c>
      <c r="B688" s="82">
        <f t="shared" si="47"/>
        <v>7</v>
      </c>
      <c r="C688">
        <f t="shared" si="46"/>
        <v>2022</v>
      </c>
      <c r="E688" t="s">
        <v>189</v>
      </c>
      <c r="F688" s="44">
        <v>45000000</v>
      </c>
      <c r="H688" s="44">
        <f t="shared" si="48"/>
        <v>45000000</v>
      </c>
      <c r="M688"/>
    </row>
    <row r="689" spans="1:13">
      <c r="A689" s="86">
        <v>44743</v>
      </c>
      <c r="B689" s="82">
        <f t="shared" si="47"/>
        <v>7</v>
      </c>
      <c r="C689">
        <f t="shared" si="46"/>
        <v>2022</v>
      </c>
      <c r="E689" s="44" t="s">
        <v>156</v>
      </c>
      <c r="G689" s="44">
        <v>50000000</v>
      </c>
      <c r="H689" s="44">
        <f t="shared" si="48"/>
        <v>-50000000</v>
      </c>
      <c r="M689"/>
    </row>
    <row r="690" spans="1:13">
      <c r="A690" s="86">
        <v>44743</v>
      </c>
      <c r="B690" s="82">
        <f t="shared" si="47"/>
        <v>7</v>
      </c>
      <c r="C690">
        <f t="shared" si="46"/>
        <v>2022</v>
      </c>
      <c r="E690" s="44" t="s">
        <v>192</v>
      </c>
      <c r="G690" s="44">
        <v>10500000</v>
      </c>
      <c r="H690" s="44">
        <f t="shared" si="48"/>
        <v>-10500000</v>
      </c>
      <c r="M690"/>
    </row>
    <row r="691" spans="1:13">
      <c r="A691" s="86">
        <v>44744</v>
      </c>
      <c r="B691" s="82">
        <f t="shared" si="47"/>
        <v>7</v>
      </c>
      <c r="C691">
        <f t="shared" si="46"/>
        <v>2022</v>
      </c>
      <c r="D691" s="86"/>
      <c r="E691" s="84" t="s">
        <v>97</v>
      </c>
      <c r="G691" s="44">
        <v>1073682</v>
      </c>
      <c r="H691" s="44">
        <f t="shared" si="48"/>
        <v>-1073682</v>
      </c>
      <c r="L691" s="29" t="s">
        <v>10</v>
      </c>
      <c r="M691" s="29" t="s">
        <v>36</v>
      </c>
    </row>
    <row r="692" spans="1:13">
      <c r="A692" s="86">
        <v>44744</v>
      </c>
      <c r="B692" s="82">
        <f t="shared" si="47"/>
        <v>7</v>
      </c>
      <c r="C692">
        <f t="shared" si="46"/>
        <v>2022</v>
      </c>
      <c r="E692" s="84" t="s">
        <v>150</v>
      </c>
      <c r="F692" s="44">
        <v>1073682</v>
      </c>
      <c r="H692" s="44">
        <f t="shared" si="48"/>
        <v>1073682</v>
      </c>
      <c r="L692" s="29" t="s">
        <v>10</v>
      </c>
      <c r="M692" s="29" t="s">
        <v>36</v>
      </c>
    </row>
    <row r="693" spans="1:13">
      <c r="A693" s="86">
        <v>44746</v>
      </c>
      <c r="B693" s="82">
        <f t="shared" si="47"/>
        <v>7</v>
      </c>
      <c r="C693">
        <f t="shared" si="46"/>
        <v>2022</v>
      </c>
      <c r="D693" s="86"/>
      <c r="E693" s="84" t="s">
        <v>68</v>
      </c>
      <c r="G693" s="44">
        <v>760000</v>
      </c>
      <c r="H693" s="44">
        <f t="shared" si="48"/>
        <v>-760000</v>
      </c>
      <c r="L693" t="s">
        <v>3</v>
      </c>
      <c r="M693" s="44" t="s">
        <v>123</v>
      </c>
    </row>
    <row r="694" spans="1:13">
      <c r="A694" s="86">
        <v>44746</v>
      </c>
      <c r="B694" s="82">
        <f t="shared" si="47"/>
        <v>7</v>
      </c>
      <c r="C694">
        <f t="shared" si="46"/>
        <v>2022</v>
      </c>
      <c r="D694" s="86"/>
      <c r="E694" s="84" t="s">
        <v>68</v>
      </c>
      <c r="G694" s="44">
        <v>900000</v>
      </c>
      <c r="H694" s="44">
        <f t="shared" si="48"/>
        <v>-900000</v>
      </c>
      <c r="L694" t="s">
        <v>4</v>
      </c>
      <c r="M694" s="44" t="s">
        <v>123</v>
      </c>
    </row>
    <row r="695" spans="1:13">
      <c r="A695" s="86">
        <v>44746</v>
      </c>
      <c r="B695" s="82">
        <f t="shared" si="47"/>
        <v>7</v>
      </c>
      <c r="C695">
        <f t="shared" si="46"/>
        <v>2022</v>
      </c>
      <c r="D695" s="86"/>
      <c r="E695" s="84" t="s">
        <v>68</v>
      </c>
      <c r="G695" s="44">
        <v>2100000</v>
      </c>
      <c r="H695" s="44">
        <f t="shared" si="48"/>
        <v>-2100000</v>
      </c>
      <c r="L695" t="s">
        <v>5</v>
      </c>
      <c r="M695" s="44" t="s">
        <v>123</v>
      </c>
    </row>
    <row r="696" spans="1:13">
      <c r="A696" s="86">
        <v>44746</v>
      </c>
      <c r="B696" s="82">
        <f t="shared" si="47"/>
        <v>7</v>
      </c>
      <c r="C696">
        <f t="shared" si="46"/>
        <v>2022</v>
      </c>
      <c r="D696" s="86"/>
      <c r="E696" s="84" t="s">
        <v>68</v>
      </c>
      <c r="G696" s="44">
        <v>2310000</v>
      </c>
      <c r="H696" s="44">
        <f t="shared" si="48"/>
        <v>-2310000</v>
      </c>
      <c r="L696" t="s">
        <v>6</v>
      </c>
      <c r="M696" s="44" t="s">
        <v>124</v>
      </c>
    </row>
    <row r="697" spans="1:13">
      <c r="A697" s="86">
        <v>44746</v>
      </c>
      <c r="B697" s="82">
        <f t="shared" si="47"/>
        <v>7</v>
      </c>
      <c r="C697">
        <f t="shared" si="46"/>
        <v>2022</v>
      </c>
      <c r="D697" s="86"/>
      <c r="E697" s="84" t="s">
        <v>68</v>
      </c>
      <c r="G697" s="44">
        <v>1400000</v>
      </c>
      <c r="H697" s="44">
        <f t="shared" si="48"/>
        <v>-1400000</v>
      </c>
      <c r="L697" t="s">
        <v>11</v>
      </c>
      <c r="M697" s="44" t="s">
        <v>125</v>
      </c>
    </row>
    <row r="698" spans="1:13">
      <c r="A698" s="86">
        <v>44746</v>
      </c>
      <c r="B698" s="82">
        <f t="shared" si="47"/>
        <v>7</v>
      </c>
      <c r="C698">
        <f t="shared" si="46"/>
        <v>2022</v>
      </c>
      <c r="D698" s="86"/>
      <c r="E698" s="84" t="s">
        <v>68</v>
      </c>
      <c r="G698" s="44">
        <v>2380000</v>
      </c>
      <c r="H698" s="44">
        <f t="shared" si="48"/>
        <v>-2380000</v>
      </c>
      <c r="L698" t="s">
        <v>12</v>
      </c>
      <c r="M698" s="44" t="s">
        <v>125</v>
      </c>
    </row>
    <row r="699" spans="1:13">
      <c r="A699" s="86">
        <v>44746</v>
      </c>
      <c r="B699" s="82">
        <f t="shared" si="47"/>
        <v>7</v>
      </c>
      <c r="C699">
        <f t="shared" si="46"/>
        <v>2022</v>
      </c>
      <c r="D699" s="86"/>
      <c r="E699" s="84" t="s">
        <v>67</v>
      </c>
      <c r="F699" s="44">
        <v>760000</v>
      </c>
      <c r="H699" s="44">
        <f t="shared" si="48"/>
        <v>760000</v>
      </c>
      <c r="L699" t="s">
        <v>3</v>
      </c>
      <c r="M699" s="44" t="s">
        <v>123</v>
      </c>
    </row>
    <row r="700" spans="1:13">
      <c r="A700" s="86">
        <v>44746</v>
      </c>
      <c r="B700" s="82">
        <f t="shared" si="47"/>
        <v>7</v>
      </c>
      <c r="C700">
        <f t="shared" si="46"/>
        <v>2022</v>
      </c>
      <c r="D700" s="86"/>
      <c r="E700" s="84" t="s">
        <v>67</v>
      </c>
      <c r="F700" s="44">
        <v>900000</v>
      </c>
      <c r="H700" s="44">
        <f t="shared" si="48"/>
        <v>900000</v>
      </c>
      <c r="L700" t="s">
        <v>4</v>
      </c>
      <c r="M700" s="44" t="s">
        <v>123</v>
      </c>
    </row>
    <row r="701" spans="1:13">
      <c r="A701" s="86">
        <v>44746</v>
      </c>
      <c r="B701" s="82">
        <f t="shared" si="47"/>
        <v>7</v>
      </c>
      <c r="C701">
        <f t="shared" si="46"/>
        <v>2022</v>
      </c>
      <c r="D701" s="86"/>
      <c r="E701" s="84" t="s">
        <v>67</v>
      </c>
      <c r="F701" s="44">
        <v>2100000</v>
      </c>
      <c r="H701" s="44">
        <f t="shared" si="48"/>
        <v>2100000</v>
      </c>
      <c r="L701" t="s">
        <v>5</v>
      </c>
      <c r="M701" s="44" t="s">
        <v>123</v>
      </c>
    </row>
    <row r="702" spans="1:13">
      <c r="A702" s="86">
        <v>44746</v>
      </c>
      <c r="B702" s="82">
        <f t="shared" si="47"/>
        <v>7</v>
      </c>
      <c r="C702">
        <f t="shared" si="46"/>
        <v>2022</v>
      </c>
      <c r="D702" s="86"/>
      <c r="E702" s="84" t="s">
        <v>67</v>
      </c>
      <c r="F702" s="44">
        <v>2310000</v>
      </c>
      <c r="H702" s="44">
        <f t="shared" si="48"/>
        <v>2310000</v>
      </c>
      <c r="L702" t="s">
        <v>6</v>
      </c>
      <c r="M702" s="44" t="s">
        <v>124</v>
      </c>
    </row>
    <row r="703" spans="1:13">
      <c r="A703" s="86">
        <v>44746</v>
      </c>
      <c r="B703" s="82">
        <f t="shared" si="47"/>
        <v>7</v>
      </c>
      <c r="C703">
        <f t="shared" si="46"/>
        <v>2022</v>
      </c>
      <c r="D703" s="86"/>
      <c r="E703" s="84" t="s">
        <v>67</v>
      </c>
      <c r="F703" s="44">
        <v>1400000</v>
      </c>
      <c r="H703" s="44">
        <f t="shared" si="48"/>
        <v>1400000</v>
      </c>
      <c r="L703" t="s">
        <v>11</v>
      </c>
      <c r="M703" s="44" t="s">
        <v>125</v>
      </c>
    </row>
    <row r="704" spans="1:13">
      <c r="A704" s="86">
        <v>44746</v>
      </c>
      <c r="B704" s="82">
        <f t="shared" si="47"/>
        <v>7</v>
      </c>
      <c r="C704">
        <f t="shared" si="46"/>
        <v>2022</v>
      </c>
      <c r="D704" s="86"/>
      <c r="E704" s="84" t="s">
        <v>67</v>
      </c>
      <c r="F704" s="44">
        <v>2380000</v>
      </c>
      <c r="H704" s="44">
        <f t="shared" si="48"/>
        <v>2380000</v>
      </c>
      <c r="L704" t="s">
        <v>12</v>
      </c>
      <c r="M704" s="44" t="s">
        <v>125</v>
      </c>
    </row>
    <row r="705" spans="1:15">
      <c r="A705" s="86">
        <v>44747</v>
      </c>
      <c r="B705" s="82">
        <f t="shared" si="47"/>
        <v>7</v>
      </c>
      <c r="C705">
        <f t="shared" si="46"/>
        <v>2022</v>
      </c>
      <c r="D705" s="86"/>
      <c r="E705" s="84" t="s">
        <v>68</v>
      </c>
      <c r="F705" s="44">
        <v>2420000</v>
      </c>
      <c r="H705" s="44">
        <f t="shared" si="48"/>
        <v>2420000</v>
      </c>
      <c r="L705" t="s">
        <v>6</v>
      </c>
      <c r="M705" s="44" t="s">
        <v>124</v>
      </c>
    </row>
    <row r="706" spans="1:15">
      <c r="A706" s="86">
        <v>44747</v>
      </c>
      <c r="B706" s="82">
        <f t="shared" si="47"/>
        <v>7</v>
      </c>
      <c r="C706">
        <f t="shared" si="46"/>
        <v>2022</v>
      </c>
      <c r="D706" s="86"/>
      <c r="E706" s="84" t="s">
        <v>97</v>
      </c>
      <c r="G706" s="44">
        <v>1392341</v>
      </c>
      <c r="H706" s="44">
        <f t="shared" si="48"/>
        <v>-1392341</v>
      </c>
      <c r="L706" s="29" t="s">
        <v>10</v>
      </c>
      <c r="M706" s="29" t="s">
        <v>38</v>
      </c>
    </row>
    <row r="707" spans="1:15">
      <c r="A707" s="86">
        <v>44747</v>
      </c>
      <c r="B707" s="82">
        <f t="shared" si="47"/>
        <v>7</v>
      </c>
      <c r="C707">
        <f t="shared" si="46"/>
        <v>2022</v>
      </c>
      <c r="D707" s="86"/>
      <c r="E707" s="84" t="s">
        <v>150</v>
      </c>
      <c r="G707" s="44">
        <v>2420000</v>
      </c>
      <c r="H707" s="44">
        <f t="shared" si="48"/>
        <v>-2420000</v>
      </c>
      <c r="L707" t="s">
        <v>6</v>
      </c>
      <c r="M707" s="44" t="s">
        <v>124</v>
      </c>
    </row>
    <row r="708" spans="1:15">
      <c r="A708" s="86">
        <v>44747</v>
      </c>
      <c r="B708" s="82">
        <f t="shared" si="47"/>
        <v>7</v>
      </c>
      <c r="C708">
        <f t="shared" si="46"/>
        <v>2022</v>
      </c>
      <c r="E708" s="84" t="s">
        <v>150</v>
      </c>
      <c r="F708" s="44">
        <v>1392341</v>
      </c>
      <c r="H708" s="44">
        <f t="shared" si="48"/>
        <v>1392341</v>
      </c>
      <c r="L708" s="29" t="s">
        <v>10</v>
      </c>
      <c r="M708" s="29" t="s">
        <v>38</v>
      </c>
    </row>
    <row r="709" spans="1:15">
      <c r="A709" s="86">
        <v>44748</v>
      </c>
      <c r="B709" s="82">
        <f t="shared" si="47"/>
        <v>7</v>
      </c>
      <c r="C709">
        <f t="shared" si="46"/>
        <v>2022</v>
      </c>
      <c r="D709" s="86"/>
      <c r="E709" s="84" t="s">
        <v>97</v>
      </c>
      <c r="G709" s="44">
        <v>861150</v>
      </c>
      <c r="H709" s="44">
        <f t="shared" si="48"/>
        <v>-861150</v>
      </c>
      <c r="L709" s="29" t="s">
        <v>10</v>
      </c>
      <c r="M709" s="29" t="s">
        <v>36</v>
      </c>
    </row>
    <row r="710" spans="1:15">
      <c r="A710" s="86">
        <v>44748</v>
      </c>
      <c r="B710" s="82">
        <f t="shared" si="47"/>
        <v>7</v>
      </c>
      <c r="C710">
        <f t="shared" si="46"/>
        <v>2022</v>
      </c>
      <c r="E710" s="84" t="s">
        <v>150</v>
      </c>
      <c r="F710" s="44">
        <v>861150</v>
      </c>
      <c r="H710" s="44">
        <f t="shared" si="48"/>
        <v>861150</v>
      </c>
      <c r="L710" s="29" t="s">
        <v>10</v>
      </c>
      <c r="M710" s="29" t="s">
        <v>36</v>
      </c>
    </row>
    <row r="711" spans="1:15">
      <c r="A711" s="86">
        <v>44686</v>
      </c>
      <c r="B711" s="82">
        <f t="shared" si="47"/>
        <v>5</v>
      </c>
      <c r="C711">
        <f t="shared" si="46"/>
        <v>2022</v>
      </c>
      <c r="D711" s="86"/>
      <c r="E711" s="84" t="s">
        <v>97</v>
      </c>
      <c r="G711" s="44">
        <v>1217721</v>
      </c>
      <c r="H711" s="44">
        <f t="shared" si="48"/>
        <v>-1217721</v>
      </c>
      <c r="L711" s="29" t="s">
        <v>14</v>
      </c>
      <c r="M711" s="29" t="s">
        <v>40</v>
      </c>
    </row>
    <row r="712" spans="1:15">
      <c r="A712" s="86">
        <v>44752</v>
      </c>
      <c r="B712" s="82">
        <f t="shared" si="47"/>
        <v>7</v>
      </c>
      <c r="C712">
        <f t="shared" si="46"/>
        <v>2022</v>
      </c>
      <c r="E712" s="84" t="s">
        <v>150</v>
      </c>
      <c r="F712" s="44">
        <v>1466607</v>
      </c>
      <c r="H712" s="44">
        <f t="shared" si="48"/>
        <v>1466607</v>
      </c>
      <c r="L712" s="29" t="s">
        <v>14</v>
      </c>
      <c r="M712" s="29" t="s">
        <v>40</v>
      </c>
    </row>
    <row r="713" spans="1:15">
      <c r="A713" s="86">
        <v>44753</v>
      </c>
      <c r="B713" s="82">
        <f t="shared" si="47"/>
        <v>7</v>
      </c>
      <c r="C713">
        <f t="shared" si="46"/>
        <v>2022</v>
      </c>
      <c r="D713" s="86"/>
      <c r="E713" s="84" t="s">
        <v>68</v>
      </c>
      <c r="F713" s="44">
        <v>2420000</v>
      </c>
      <c r="H713" s="44">
        <f t="shared" si="48"/>
        <v>2420000</v>
      </c>
      <c r="L713" t="s">
        <v>6</v>
      </c>
      <c r="M713" s="44" t="s">
        <v>124</v>
      </c>
    </row>
    <row r="714" spans="1:15">
      <c r="A714" s="86">
        <v>44753</v>
      </c>
      <c r="B714" s="82">
        <f t="shared" si="47"/>
        <v>7</v>
      </c>
      <c r="C714">
        <f t="shared" si="46"/>
        <v>2022</v>
      </c>
      <c r="D714" s="86"/>
      <c r="E714" s="84" t="s">
        <v>97</v>
      </c>
      <c r="G714" s="44">
        <v>1250755</v>
      </c>
      <c r="H714" s="44">
        <f t="shared" si="48"/>
        <v>-1250755</v>
      </c>
      <c r="L714" s="29" t="s">
        <v>2</v>
      </c>
      <c r="M714" s="29" t="s">
        <v>32</v>
      </c>
    </row>
    <row r="715" spans="1:15">
      <c r="A715" s="86">
        <v>44753</v>
      </c>
      <c r="B715" s="82">
        <f t="shared" si="47"/>
        <v>7</v>
      </c>
      <c r="C715">
        <f t="shared" si="46"/>
        <v>2022</v>
      </c>
      <c r="D715" s="86"/>
      <c r="E715" s="84" t="s">
        <v>150</v>
      </c>
      <c r="G715" s="44">
        <v>2420000</v>
      </c>
      <c r="H715" s="44">
        <f t="shared" si="48"/>
        <v>-2420000</v>
      </c>
      <c r="L715" t="s">
        <v>6</v>
      </c>
      <c r="M715" s="44" t="s">
        <v>124</v>
      </c>
    </row>
    <row r="716" spans="1:15">
      <c r="A716" s="86">
        <v>44753</v>
      </c>
      <c r="B716" s="82">
        <f t="shared" si="47"/>
        <v>7</v>
      </c>
      <c r="C716">
        <f t="shared" si="46"/>
        <v>2022</v>
      </c>
      <c r="E716" s="84" t="s">
        <v>150</v>
      </c>
      <c r="F716" s="44">
        <v>1250755</v>
      </c>
      <c r="H716" s="44">
        <f t="shared" si="48"/>
        <v>1250755</v>
      </c>
      <c r="L716" s="29" t="s">
        <v>2</v>
      </c>
      <c r="M716" s="29" t="s">
        <v>32</v>
      </c>
    </row>
    <row r="717" spans="1:15">
      <c r="A717" s="86">
        <v>44753</v>
      </c>
      <c r="B717" s="82">
        <f t="shared" si="47"/>
        <v>7</v>
      </c>
      <c r="C717">
        <f t="shared" ref="C717:C780" si="49">YEAR(A717)</f>
        <v>2022</v>
      </c>
      <c r="E717" s="84" t="s">
        <v>81</v>
      </c>
      <c r="F717" s="44">
        <v>704544.79999999993</v>
      </c>
      <c r="H717" s="44">
        <f t="shared" si="48"/>
        <v>704544.79999999993</v>
      </c>
      <c r="L717" t="str">
        <f>VLOOKUP(M717,Reference!$A$16:$B$21,2,0)</f>
        <v>Supplier A</v>
      </c>
      <c r="M717" t="s">
        <v>3</v>
      </c>
      <c r="N717" t="str">
        <f t="shared" ref="N717:N722" si="50">L717</f>
        <v>Supplier A</v>
      </c>
      <c r="O717" t="str">
        <f t="shared" ref="O717:O722" si="51">M717</f>
        <v>Component 1</v>
      </c>
    </row>
    <row r="718" spans="1:15">
      <c r="A718" s="86">
        <v>44753</v>
      </c>
      <c r="B718" s="82">
        <f t="shared" si="47"/>
        <v>7</v>
      </c>
      <c r="C718">
        <f t="shared" si="49"/>
        <v>2022</v>
      </c>
      <c r="E718" s="84" t="s">
        <v>81</v>
      </c>
      <c r="F718" s="44">
        <v>934816.88000000012</v>
      </c>
      <c r="H718" s="44">
        <f t="shared" si="48"/>
        <v>934816.88000000012</v>
      </c>
      <c r="L718" t="str">
        <f>VLOOKUP(M718,Reference!$A$16:$B$21,2,0)</f>
        <v>Supplier A</v>
      </c>
      <c r="M718" t="s">
        <v>4</v>
      </c>
      <c r="N718" t="str">
        <f t="shared" si="50"/>
        <v>Supplier A</v>
      </c>
      <c r="O718" t="str">
        <f t="shared" si="51"/>
        <v>Component 2</v>
      </c>
    </row>
    <row r="719" spans="1:15">
      <c r="A719" s="86">
        <v>44753</v>
      </c>
      <c r="B719" s="82">
        <f t="shared" si="47"/>
        <v>7</v>
      </c>
      <c r="C719">
        <f t="shared" si="49"/>
        <v>2022</v>
      </c>
      <c r="E719" s="84" t="s">
        <v>81</v>
      </c>
      <c r="F719" s="44">
        <v>2350592.4800000004</v>
      </c>
      <c r="H719" s="44">
        <f t="shared" si="48"/>
        <v>2350592.4800000004</v>
      </c>
      <c r="L719" t="str">
        <f>VLOOKUP(M719,Reference!$A$16:$B$21,2,0)</f>
        <v>Supplier A</v>
      </c>
      <c r="M719" t="s">
        <v>5</v>
      </c>
      <c r="N719" t="str">
        <f t="shared" si="50"/>
        <v>Supplier A</v>
      </c>
      <c r="O719" t="str">
        <f t="shared" si="51"/>
        <v>Component 3</v>
      </c>
    </row>
    <row r="720" spans="1:15">
      <c r="A720" s="86">
        <v>44753</v>
      </c>
      <c r="B720" s="82">
        <f t="shared" si="47"/>
        <v>7</v>
      </c>
      <c r="C720">
        <f t="shared" si="49"/>
        <v>2022</v>
      </c>
      <c r="E720" s="84" t="s">
        <v>81</v>
      </c>
      <c r="F720" s="44">
        <v>1982123</v>
      </c>
      <c r="H720" s="44">
        <f t="shared" si="48"/>
        <v>1982123</v>
      </c>
      <c r="L720" t="str">
        <f>VLOOKUP(M720,Reference!$A$16:$B$21,2,0)</f>
        <v>Supplier B</v>
      </c>
      <c r="M720" t="s">
        <v>6</v>
      </c>
      <c r="N720" t="str">
        <f t="shared" si="50"/>
        <v>Supplier B</v>
      </c>
      <c r="O720" t="str">
        <f t="shared" si="51"/>
        <v>Component 4</v>
      </c>
    </row>
    <row r="721" spans="1:15">
      <c r="A721" s="86">
        <v>44753</v>
      </c>
      <c r="B721" s="82">
        <f t="shared" si="47"/>
        <v>7</v>
      </c>
      <c r="C721">
        <f t="shared" si="49"/>
        <v>2022</v>
      </c>
      <c r="E721" s="84" t="s">
        <v>81</v>
      </c>
      <c r="F721" s="44">
        <v>1144563.5999999999</v>
      </c>
      <c r="H721" s="44">
        <f t="shared" si="48"/>
        <v>1144563.5999999999</v>
      </c>
      <c r="L721" t="str">
        <f>VLOOKUP(M721,Reference!$A$16:$B$21,2,0)</f>
        <v>Supplier D</v>
      </c>
      <c r="M721" t="s">
        <v>11</v>
      </c>
      <c r="N721" t="str">
        <f t="shared" si="50"/>
        <v>Supplier D</v>
      </c>
      <c r="O721" t="str">
        <f t="shared" si="51"/>
        <v>Component 5</v>
      </c>
    </row>
    <row r="722" spans="1:15">
      <c r="A722" s="86">
        <v>44753</v>
      </c>
      <c r="B722" s="82">
        <f t="shared" si="47"/>
        <v>7</v>
      </c>
      <c r="C722">
        <f t="shared" si="49"/>
        <v>2022</v>
      </c>
      <c r="E722" s="84" t="s">
        <v>81</v>
      </c>
      <c r="F722" s="44">
        <v>2276895</v>
      </c>
      <c r="H722" s="44">
        <f t="shared" si="48"/>
        <v>2276895</v>
      </c>
      <c r="L722" t="str">
        <f>VLOOKUP(M722,Reference!$A$16:$B$21,2,0)</f>
        <v>Supplier D</v>
      </c>
      <c r="M722" t="s">
        <v>12</v>
      </c>
      <c r="N722" t="str">
        <f t="shared" si="50"/>
        <v>Supplier D</v>
      </c>
      <c r="O722" t="str">
        <f t="shared" si="51"/>
        <v>Component 6</v>
      </c>
    </row>
    <row r="723" spans="1:15">
      <c r="A723" s="86">
        <v>44753</v>
      </c>
      <c r="B723" s="82">
        <f t="shared" si="47"/>
        <v>7</v>
      </c>
      <c r="C723">
        <f t="shared" si="49"/>
        <v>2022</v>
      </c>
      <c r="E723" s="84" t="s">
        <v>143</v>
      </c>
      <c r="G723" s="44">
        <v>704544.79999999993</v>
      </c>
      <c r="H723" s="44">
        <f t="shared" si="48"/>
        <v>-704544.79999999993</v>
      </c>
      <c r="J723"/>
      <c r="M723" t="s">
        <v>3</v>
      </c>
    </row>
    <row r="724" spans="1:15">
      <c r="A724" s="86">
        <v>44753</v>
      </c>
      <c r="B724" s="82">
        <f t="shared" si="47"/>
        <v>7</v>
      </c>
      <c r="C724">
        <f t="shared" si="49"/>
        <v>2022</v>
      </c>
      <c r="E724" s="84" t="s">
        <v>143</v>
      </c>
      <c r="G724" s="44">
        <v>934816.88000000012</v>
      </c>
      <c r="H724" s="44">
        <f t="shared" si="48"/>
        <v>-934816.88000000012</v>
      </c>
      <c r="J724"/>
      <c r="M724" t="s">
        <v>4</v>
      </c>
    </row>
    <row r="725" spans="1:15">
      <c r="A725" s="86">
        <v>44753</v>
      </c>
      <c r="B725" s="82">
        <f t="shared" si="47"/>
        <v>7</v>
      </c>
      <c r="C725">
        <f t="shared" si="49"/>
        <v>2022</v>
      </c>
      <c r="E725" s="84" t="s">
        <v>143</v>
      </c>
      <c r="G725" s="44">
        <v>2350592.4800000004</v>
      </c>
      <c r="H725" s="44">
        <f t="shared" si="48"/>
        <v>-2350592.4800000004</v>
      </c>
      <c r="J725"/>
      <c r="M725" t="s">
        <v>5</v>
      </c>
    </row>
    <row r="726" spans="1:15">
      <c r="A726" s="86">
        <v>44753</v>
      </c>
      <c r="B726" s="82">
        <f t="shared" si="47"/>
        <v>7</v>
      </c>
      <c r="C726">
        <f t="shared" si="49"/>
        <v>2022</v>
      </c>
      <c r="E726" s="84" t="s">
        <v>143</v>
      </c>
      <c r="G726" s="44">
        <v>1982123</v>
      </c>
      <c r="H726" s="44">
        <f t="shared" si="48"/>
        <v>-1982123</v>
      </c>
      <c r="J726"/>
      <c r="M726" t="s">
        <v>6</v>
      </c>
    </row>
    <row r="727" spans="1:15">
      <c r="A727" s="86">
        <v>44753</v>
      </c>
      <c r="B727" s="82">
        <f t="shared" ref="B727:B790" si="52">MONTH(A727)</f>
        <v>7</v>
      </c>
      <c r="C727">
        <f t="shared" si="49"/>
        <v>2022</v>
      </c>
      <c r="E727" s="84" t="s">
        <v>143</v>
      </c>
      <c r="G727" s="44">
        <v>1144563.5999999999</v>
      </c>
      <c r="H727" s="44">
        <f t="shared" ref="H727:H790" si="53">F727-G727</f>
        <v>-1144563.5999999999</v>
      </c>
      <c r="J727"/>
      <c r="M727" t="s">
        <v>11</v>
      </c>
    </row>
    <row r="728" spans="1:15">
      <c r="A728" s="86">
        <v>44753</v>
      </c>
      <c r="B728" s="82">
        <f t="shared" si="52"/>
        <v>7</v>
      </c>
      <c r="C728">
        <f t="shared" si="49"/>
        <v>2022</v>
      </c>
      <c r="E728" s="84" t="s">
        <v>143</v>
      </c>
      <c r="G728" s="44">
        <v>2276895</v>
      </c>
      <c r="H728" s="44">
        <f t="shared" si="53"/>
        <v>-2276895</v>
      </c>
      <c r="J728"/>
      <c r="M728" t="s">
        <v>12</v>
      </c>
    </row>
    <row r="729" spans="1:15">
      <c r="A729" s="86">
        <v>44753</v>
      </c>
      <c r="B729" s="82">
        <f t="shared" si="52"/>
        <v>7</v>
      </c>
      <c r="C729">
        <f t="shared" si="49"/>
        <v>2022</v>
      </c>
      <c r="E729" s="84" t="s">
        <v>67</v>
      </c>
      <c r="G729" s="44">
        <v>704544.79999999993</v>
      </c>
      <c r="H729" s="44">
        <f t="shared" si="53"/>
        <v>-704544.79999999993</v>
      </c>
      <c r="L729" t="s">
        <v>3</v>
      </c>
      <c r="M729" s="44" t="s">
        <v>123</v>
      </c>
    </row>
    <row r="730" spans="1:15">
      <c r="A730" s="86">
        <v>44753</v>
      </c>
      <c r="B730" s="82">
        <f t="shared" si="52"/>
        <v>7</v>
      </c>
      <c r="C730">
        <f t="shared" si="49"/>
        <v>2022</v>
      </c>
      <c r="E730" s="84" t="s">
        <v>67</v>
      </c>
      <c r="G730" s="44">
        <v>934816.88000000012</v>
      </c>
      <c r="H730" s="44">
        <f t="shared" si="53"/>
        <v>-934816.88000000012</v>
      </c>
      <c r="L730" t="s">
        <v>4</v>
      </c>
      <c r="M730" s="44" t="s">
        <v>123</v>
      </c>
    </row>
    <row r="731" spans="1:15">
      <c r="A731" s="86">
        <v>44753</v>
      </c>
      <c r="B731" s="82">
        <f t="shared" si="52"/>
        <v>7</v>
      </c>
      <c r="C731">
        <f t="shared" si="49"/>
        <v>2022</v>
      </c>
      <c r="E731" s="84" t="s">
        <v>67</v>
      </c>
      <c r="G731" s="44">
        <v>2350592.4800000004</v>
      </c>
      <c r="H731" s="44">
        <f t="shared" si="53"/>
        <v>-2350592.4800000004</v>
      </c>
      <c r="L731" t="s">
        <v>5</v>
      </c>
      <c r="M731" s="44" t="s">
        <v>123</v>
      </c>
    </row>
    <row r="732" spans="1:15">
      <c r="A732" s="86">
        <v>44753</v>
      </c>
      <c r="B732" s="82">
        <f t="shared" si="52"/>
        <v>7</v>
      </c>
      <c r="C732">
        <f t="shared" si="49"/>
        <v>2022</v>
      </c>
      <c r="E732" s="84" t="s">
        <v>67</v>
      </c>
      <c r="G732" s="44">
        <v>1982123</v>
      </c>
      <c r="H732" s="44">
        <f t="shared" si="53"/>
        <v>-1982123</v>
      </c>
      <c r="L732" t="s">
        <v>6</v>
      </c>
      <c r="M732" s="44" t="s">
        <v>124</v>
      </c>
    </row>
    <row r="733" spans="1:15">
      <c r="A733" s="86">
        <v>44753</v>
      </c>
      <c r="B733" s="82">
        <f t="shared" si="52"/>
        <v>7</v>
      </c>
      <c r="C733">
        <f t="shared" si="49"/>
        <v>2022</v>
      </c>
      <c r="E733" s="84" t="s">
        <v>67</v>
      </c>
      <c r="G733" s="44">
        <v>1144563.5999999999</v>
      </c>
      <c r="H733" s="44">
        <f t="shared" si="53"/>
        <v>-1144563.5999999999</v>
      </c>
      <c r="L733" t="s">
        <v>11</v>
      </c>
      <c r="M733" s="44" t="s">
        <v>125</v>
      </c>
    </row>
    <row r="734" spans="1:15">
      <c r="A734" s="86">
        <v>44753</v>
      </c>
      <c r="B734" s="82">
        <f t="shared" si="52"/>
        <v>7</v>
      </c>
      <c r="C734">
        <f t="shared" si="49"/>
        <v>2022</v>
      </c>
      <c r="E734" s="84" t="s">
        <v>67</v>
      </c>
      <c r="G734" s="44">
        <v>2276895</v>
      </c>
      <c r="H734" s="44">
        <f t="shared" si="53"/>
        <v>-2276895</v>
      </c>
      <c r="L734" t="s">
        <v>12</v>
      </c>
      <c r="M734" s="44" t="s">
        <v>125</v>
      </c>
    </row>
    <row r="735" spans="1:15">
      <c r="A735" s="86">
        <v>44754</v>
      </c>
      <c r="B735" s="82">
        <f t="shared" si="52"/>
        <v>7</v>
      </c>
      <c r="C735">
        <f t="shared" si="49"/>
        <v>2022</v>
      </c>
      <c r="E735" s="84" t="s">
        <v>89</v>
      </c>
      <c r="F735" s="44">
        <v>3840368.0479999981</v>
      </c>
      <c r="H735" s="44">
        <f t="shared" si="53"/>
        <v>3840368.0479999981</v>
      </c>
      <c r="I735"/>
      <c r="J735"/>
      <c r="M735"/>
    </row>
    <row r="736" spans="1:15">
      <c r="A736" s="86">
        <v>44754</v>
      </c>
      <c r="B736" s="82">
        <f t="shared" si="52"/>
        <v>7</v>
      </c>
      <c r="C736">
        <f t="shared" si="49"/>
        <v>2022</v>
      </c>
      <c r="E736" s="84" t="s">
        <v>90</v>
      </c>
      <c r="F736" s="44">
        <v>2028074.3040000002</v>
      </c>
      <c r="H736" s="44">
        <f t="shared" si="53"/>
        <v>2028074.3040000002</v>
      </c>
      <c r="I736"/>
      <c r="J736"/>
      <c r="M736"/>
    </row>
    <row r="737" spans="1:13">
      <c r="A737" s="86">
        <v>44754</v>
      </c>
      <c r="B737" s="82">
        <f t="shared" si="52"/>
        <v>7</v>
      </c>
      <c r="C737">
        <f t="shared" si="49"/>
        <v>2022</v>
      </c>
      <c r="E737" s="84" t="s">
        <v>91</v>
      </c>
      <c r="F737" s="44">
        <v>3778490.6460000006</v>
      </c>
      <c r="H737" s="44">
        <f t="shared" si="53"/>
        <v>3778490.6460000006</v>
      </c>
      <c r="I737"/>
      <c r="J737"/>
      <c r="M737"/>
    </row>
    <row r="738" spans="1:13">
      <c r="A738" s="86">
        <v>44754</v>
      </c>
      <c r="B738" s="82">
        <f t="shared" si="52"/>
        <v>7</v>
      </c>
      <c r="C738">
        <f t="shared" si="49"/>
        <v>2022</v>
      </c>
      <c r="E738" s="84" t="s">
        <v>146</v>
      </c>
      <c r="G738" s="44">
        <v>253397.23799999998</v>
      </c>
      <c r="H738" s="44">
        <f t="shared" si="53"/>
        <v>-253397.23799999998</v>
      </c>
      <c r="I738"/>
      <c r="J738"/>
      <c r="M738"/>
    </row>
    <row r="739" spans="1:13">
      <c r="A739" s="86">
        <v>44756</v>
      </c>
      <c r="B739" s="82">
        <f t="shared" si="52"/>
        <v>7</v>
      </c>
      <c r="C739">
        <f t="shared" si="49"/>
        <v>2022</v>
      </c>
      <c r="D739" s="86"/>
      <c r="E739" s="84" t="s">
        <v>97</v>
      </c>
      <c r="G739" s="44">
        <v>1429818</v>
      </c>
      <c r="H739" s="44">
        <f t="shared" si="53"/>
        <v>-1429818</v>
      </c>
      <c r="L739" s="29" t="s">
        <v>2</v>
      </c>
      <c r="M739" s="29" t="s">
        <v>31</v>
      </c>
    </row>
    <row r="740" spans="1:13">
      <c r="A740" s="86">
        <v>44756</v>
      </c>
      <c r="B740" s="82">
        <f t="shared" si="52"/>
        <v>7</v>
      </c>
      <c r="C740">
        <f t="shared" si="49"/>
        <v>2022</v>
      </c>
      <c r="E740" s="84" t="s">
        <v>150</v>
      </c>
      <c r="F740" s="44">
        <v>1429818</v>
      </c>
      <c r="H740" s="44">
        <f t="shared" si="53"/>
        <v>1429818</v>
      </c>
      <c r="L740" s="29" t="s">
        <v>2</v>
      </c>
      <c r="M740" s="29" t="s">
        <v>31</v>
      </c>
    </row>
    <row r="741" spans="1:13">
      <c r="A741" s="86">
        <v>44757</v>
      </c>
      <c r="B741" s="82">
        <f t="shared" si="52"/>
        <v>7</v>
      </c>
      <c r="C741">
        <f t="shared" si="49"/>
        <v>2022</v>
      </c>
      <c r="D741" s="86"/>
      <c r="E741" s="84" t="s">
        <v>97</v>
      </c>
      <c r="G741" s="44">
        <v>567120</v>
      </c>
      <c r="H741" s="44">
        <f t="shared" si="53"/>
        <v>-567120</v>
      </c>
      <c r="L741" s="29" t="s">
        <v>2</v>
      </c>
      <c r="M741" s="29" t="s">
        <v>32</v>
      </c>
    </row>
    <row r="742" spans="1:13">
      <c r="A742" s="86">
        <v>44757</v>
      </c>
      <c r="B742" s="82">
        <f t="shared" si="52"/>
        <v>7</v>
      </c>
      <c r="C742">
        <f t="shared" si="49"/>
        <v>2022</v>
      </c>
      <c r="E742" s="84" t="s">
        <v>150</v>
      </c>
      <c r="F742" s="44">
        <v>567120</v>
      </c>
      <c r="H742" s="44">
        <f t="shared" si="53"/>
        <v>567120</v>
      </c>
      <c r="L742" s="29" t="s">
        <v>2</v>
      </c>
      <c r="M742" s="29" t="s">
        <v>32</v>
      </c>
    </row>
    <row r="743" spans="1:13">
      <c r="A743" s="86">
        <v>44758</v>
      </c>
      <c r="B743" s="82">
        <f t="shared" si="52"/>
        <v>7</v>
      </c>
      <c r="C743">
        <f t="shared" si="49"/>
        <v>2022</v>
      </c>
      <c r="E743" s="84" t="s">
        <v>97</v>
      </c>
      <c r="F743" s="44">
        <v>522000</v>
      </c>
      <c r="H743" s="44">
        <f t="shared" si="53"/>
        <v>522000</v>
      </c>
      <c r="L743" s="29" t="s">
        <v>10</v>
      </c>
      <c r="M743" s="29" t="s">
        <v>38</v>
      </c>
    </row>
    <row r="744" spans="1:13">
      <c r="A744" s="86">
        <v>44758</v>
      </c>
      <c r="B744" s="82">
        <f t="shared" si="52"/>
        <v>7</v>
      </c>
      <c r="C744">
        <f t="shared" si="49"/>
        <v>2022</v>
      </c>
      <c r="E744" s="84" t="s">
        <v>97</v>
      </c>
      <c r="F744" s="44">
        <v>907731</v>
      </c>
      <c r="H744" s="44">
        <f t="shared" si="53"/>
        <v>907731</v>
      </c>
      <c r="L744" s="29" t="s">
        <v>2</v>
      </c>
      <c r="M744" s="29" t="s">
        <v>34</v>
      </c>
    </row>
    <row r="745" spans="1:13">
      <c r="A745" s="86">
        <v>44758</v>
      </c>
      <c r="B745" s="82">
        <f t="shared" si="52"/>
        <v>7</v>
      </c>
      <c r="C745">
        <f t="shared" si="49"/>
        <v>2022</v>
      </c>
      <c r="E745" s="84" t="s">
        <v>143</v>
      </c>
      <c r="F745" s="44">
        <v>434913.00000000006</v>
      </c>
      <c r="H745" s="44">
        <f t="shared" si="53"/>
        <v>434913.00000000006</v>
      </c>
      <c r="I745"/>
      <c r="M745" t="s">
        <v>10</v>
      </c>
    </row>
    <row r="746" spans="1:13">
      <c r="A746" s="86">
        <v>44758</v>
      </c>
      <c r="B746" s="82">
        <f t="shared" si="52"/>
        <v>7</v>
      </c>
      <c r="C746">
        <f t="shared" si="49"/>
        <v>2022</v>
      </c>
      <c r="E746" s="84" t="s">
        <v>143</v>
      </c>
      <c r="F746" s="44">
        <v>748692.61066666595</v>
      </c>
      <c r="H746" s="44">
        <f t="shared" si="53"/>
        <v>748692.61066666595</v>
      </c>
      <c r="I746"/>
      <c r="M746" t="s">
        <v>2</v>
      </c>
    </row>
    <row r="747" spans="1:13">
      <c r="A747" s="86">
        <v>44758</v>
      </c>
      <c r="B747" s="82">
        <f t="shared" si="52"/>
        <v>7</v>
      </c>
      <c r="C747">
        <f t="shared" si="49"/>
        <v>2022</v>
      </c>
      <c r="E747" s="84" t="s">
        <v>89</v>
      </c>
      <c r="G747" s="44">
        <v>748692.61066666595</v>
      </c>
      <c r="H747" s="44">
        <f t="shared" si="53"/>
        <v>-748692.61066666595</v>
      </c>
      <c r="I747"/>
      <c r="M747" t="s">
        <v>2</v>
      </c>
    </row>
    <row r="748" spans="1:13">
      <c r="A748" s="86">
        <v>44758</v>
      </c>
      <c r="B748" s="82">
        <f t="shared" si="52"/>
        <v>7</v>
      </c>
      <c r="C748">
        <f t="shared" si="49"/>
        <v>2022</v>
      </c>
      <c r="E748" s="84" t="s">
        <v>90</v>
      </c>
      <c r="G748" s="44">
        <v>434913.00000000006</v>
      </c>
      <c r="H748" s="44">
        <f t="shared" si="53"/>
        <v>-434913.00000000006</v>
      </c>
      <c r="I748"/>
      <c r="M748" t="s">
        <v>10</v>
      </c>
    </row>
    <row r="749" spans="1:13">
      <c r="A749" s="86">
        <v>44758</v>
      </c>
      <c r="B749" s="82">
        <f t="shared" si="52"/>
        <v>7</v>
      </c>
      <c r="C749">
        <f t="shared" si="49"/>
        <v>2022</v>
      </c>
      <c r="E749" s="84" t="s">
        <v>98</v>
      </c>
      <c r="G749" s="44">
        <v>522000</v>
      </c>
      <c r="H749" s="44">
        <f t="shared" si="53"/>
        <v>-522000</v>
      </c>
      <c r="L749" s="29" t="s">
        <v>10</v>
      </c>
      <c r="M749" s="93" t="s">
        <v>38</v>
      </c>
    </row>
    <row r="750" spans="1:13">
      <c r="A750" s="86">
        <v>44758</v>
      </c>
      <c r="B750" s="82">
        <f t="shared" si="52"/>
        <v>7</v>
      </c>
      <c r="C750">
        <f t="shared" si="49"/>
        <v>2022</v>
      </c>
      <c r="E750" s="84" t="s">
        <v>98</v>
      </c>
      <c r="G750" s="44">
        <v>907731</v>
      </c>
      <c r="H750" s="44">
        <f t="shared" si="53"/>
        <v>-907731</v>
      </c>
      <c r="L750" s="29" t="s">
        <v>2</v>
      </c>
      <c r="M750" s="93" t="s">
        <v>34</v>
      </c>
    </row>
    <row r="751" spans="1:13">
      <c r="A751" s="86">
        <v>44760</v>
      </c>
      <c r="B751" s="82">
        <f t="shared" si="52"/>
        <v>7</v>
      </c>
      <c r="C751">
        <f t="shared" si="49"/>
        <v>2022</v>
      </c>
      <c r="E751" s="84" t="s">
        <v>97</v>
      </c>
      <c r="F751" s="44">
        <v>577216</v>
      </c>
      <c r="H751" s="44">
        <f t="shared" si="53"/>
        <v>577216</v>
      </c>
      <c r="L751" s="29" t="s">
        <v>2</v>
      </c>
      <c r="M751" s="29" t="s">
        <v>35</v>
      </c>
    </row>
    <row r="752" spans="1:13">
      <c r="A752" s="86">
        <v>44760</v>
      </c>
      <c r="B752" s="82">
        <f t="shared" si="52"/>
        <v>7</v>
      </c>
      <c r="C752">
        <f t="shared" si="49"/>
        <v>2022</v>
      </c>
      <c r="E752" s="84" t="s">
        <v>143</v>
      </c>
      <c r="F752" s="44">
        <v>395248.6746666659</v>
      </c>
      <c r="H752" s="44">
        <f t="shared" si="53"/>
        <v>395248.6746666659</v>
      </c>
      <c r="I752"/>
      <c r="M752" t="s">
        <v>2</v>
      </c>
    </row>
    <row r="753" spans="1:13">
      <c r="A753" s="86">
        <v>44760</v>
      </c>
      <c r="B753" s="82">
        <f t="shared" si="52"/>
        <v>7</v>
      </c>
      <c r="C753">
        <f t="shared" si="49"/>
        <v>2022</v>
      </c>
      <c r="E753" s="84" t="s">
        <v>89</v>
      </c>
      <c r="G753" s="44">
        <v>395248.6746666659</v>
      </c>
      <c r="H753" s="44">
        <f t="shared" si="53"/>
        <v>-395248.6746666659</v>
      </c>
      <c r="I753"/>
      <c r="M753" t="s">
        <v>2</v>
      </c>
    </row>
    <row r="754" spans="1:13">
      <c r="A754" s="86">
        <v>44760</v>
      </c>
      <c r="B754" s="82">
        <f t="shared" si="52"/>
        <v>7</v>
      </c>
      <c r="C754">
        <f t="shared" si="49"/>
        <v>2022</v>
      </c>
      <c r="E754" s="84" t="s">
        <v>98</v>
      </c>
      <c r="G754" s="44">
        <v>577216</v>
      </c>
      <c r="H754" s="44">
        <f t="shared" si="53"/>
        <v>-577216</v>
      </c>
      <c r="L754" s="29" t="s">
        <v>2</v>
      </c>
      <c r="M754" s="93" t="s">
        <v>35</v>
      </c>
    </row>
    <row r="755" spans="1:13">
      <c r="A755" s="86">
        <v>44761</v>
      </c>
      <c r="B755" s="82">
        <f t="shared" si="52"/>
        <v>7</v>
      </c>
      <c r="C755">
        <f t="shared" si="49"/>
        <v>2022</v>
      </c>
      <c r="D755" s="86"/>
      <c r="E755" s="84" t="s">
        <v>68</v>
      </c>
      <c r="F755" s="44">
        <v>720000</v>
      </c>
      <c r="H755" s="44">
        <f t="shared" si="53"/>
        <v>720000</v>
      </c>
      <c r="L755" t="s">
        <v>3</v>
      </c>
      <c r="M755" s="44" t="s">
        <v>123</v>
      </c>
    </row>
    <row r="756" spans="1:13">
      <c r="A756" s="86">
        <v>44761</v>
      </c>
      <c r="B756" s="82">
        <f t="shared" si="52"/>
        <v>7</v>
      </c>
      <c r="C756">
        <f t="shared" si="49"/>
        <v>2022</v>
      </c>
      <c r="D756" s="86"/>
      <c r="E756" s="84" t="s">
        <v>150</v>
      </c>
      <c r="G756" s="44">
        <v>720000</v>
      </c>
      <c r="H756" s="44">
        <f t="shared" si="53"/>
        <v>-720000</v>
      </c>
      <c r="L756" t="s">
        <v>3</v>
      </c>
      <c r="M756" s="44" t="s">
        <v>123</v>
      </c>
    </row>
    <row r="757" spans="1:13">
      <c r="A757" s="86">
        <v>44762</v>
      </c>
      <c r="B757" s="82">
        <f t="shared" si="52"/>
        <v>7</v>
      </c>
      <c r="C757">
        <f t="shared" si="49"/>
        <v>2022</v>
      </c>
      <c r="D757" s="86"/>
      <c r="E757" s="84" t="s">
        <v>97</v>
      </c>
      <c r="G757" s="44">
        <v>1658016</v>
      </c>
      <c r="H757" s="44">
        <f t="shared" si="53"/>
        <v>-1658016</v>
      </c>
      <c r="L757" s="29" t="s">
        <v>2</v>
      </c>
      <c r="M757" s="29" t="s">
        <v>34</v>
      </c>
    </row>
    <row r="758" spans="1:13">
      <c r="A758" s="86">
        <v>44762</v>
      </c>
      <c r="B758" s="82">
        <f t="shared" si="52"/>
        <v>7</v>
      </c>
      <c r="C758">
        <f t="shared" si="49"/>
        <v>2022</v>
      </c>
      <c r="E758" s="84" t="s">
        <v>150</v>
      </c>
      <c r="F758" s="44">
        <v>1658016</v>
      </c>
      <c r="H758" s="44">
        <f t="shared" si="53"/>
        <v>1658016</v>
      </c>
      <c r="L758" s="29" t="s">
        <v>2</v>
      </c>
      <c r="M758" s="29" t="s">
        <v>34</v>
      </c>
    </row>
    <row r="759" spans="1:13">
      <c r="A759" s="86">
        <v>44763</v>
      </c>
      <c r="B759" s="82">
        <f t="shared" si="52"/>
        <v>7</v>
      </c>
      <c r="C759">
        <f t="shared" si="49"/>
        <v>2022</v>
      </c>
      <c r="D759" s="86"/>
      <c r="E759" s="84" t="s">
        <v>97</v>
      </c>
      <c r="G759" s="44">
        <v>558195</v>
      </c>
      <c r="H759" s="44">
        <f t="shared" si="53"/>
        <v>-558195</v>
      </c>
      <c r="L759" s="29" t="s">
        <v>10</v>
      </c>
      <c r="M759" s="29" t="s">
        <v>37</v>
      </c>
    </row>
    <row r="760" spans="1:13">
      <c r="A760" s="86">
        <v>44763</v>
      </c>
      <c r="B760" s="82">
        <f t="shared" si="52"/>
        <v>7</v>
      </c>
      <c r="C760">
        <f t="shared" si="49"/>
        <v>2022</v>
      </c>
      <c r="D760" s="86"/>
      <c r="E760" s="84" t="s">
        <v>97</v>
      </c>
      <c r="G760" s="44">
        <v>902070</v>
      </c>
      <c r="H760" s="44">
        <f t="shared" si="53"/>
        <v>-902070</v>
      </c>
      <c r="L760" s="29" t="s">
        <v>2</v>
      </c>
      <c r="M760" s="29" t="s">
        <v>31</v>
      </c>
    </row>
    <row r="761" spans="1:13">
      <c r="A761" s="86">
        <v>44763</v>
      </c>
      <c r="B761" s="82">
        <f t="shared" si="52"/>
        <v>7</v>
      </c>
      <c r="C761">
        <f t="shared" si="49"/>
        <v>2022</v>
      </c>
      <c r="E761" s="84" t="s">
        <v>150</v>
      </c>
      <c r="F761" s="44">
        <v>558195</v>
      </c>
      <c r="H761" s="44">
        <f t="shared" si="53"/>
        <v>558195</v>
      </c>
      <c r="L761" s="29" t="s">
        <v>10</v>
      </c>
      <c r="M761" s="29" t="s">
        <v>37</v>
      </c>
    </row>
    <row r="762" spans="1:13">
      <c r="A762" s="86">
        <v>44763</v>
      </c>
      <c r="B762" s="82">
        <f t="shared" si="52"/>
        <v>7</v>
      </c>
      <c r="C762">
        <f t="shared" si="49"/>
        <v>2022</v>
      </c>
      <c r="E762" s="84" t="s">
        <v>150</v>
      </c>
      <c r="F762" s="44">
        <v>902070</v>
      </c>
      <c r="H762" s="44">
        <f t="shared" si="53"/>
        <v>902070</v>
      </c>
      <c r="L762" s="29" t="s">
        <v>2</v>
      </c>
      <c r="M762" s="29" t="s">
        <v>31</v>
      </c>
    </row>
    <row r="763" spans="1:13">
      <c r="A763" s="86">
        <v>44698</v>
      </c>
      <c r="B763" s="82">
        <f t="shared" si="52"/>
        <v>5</v>
      </c>
      <c r="C763">
        <f t="shared" si="49"/>
        <v>2022</v>
      </c>
      <c r="D763" s="86"/>
      <c r="E763" s="84" t="s">
        <v>97</v>
      </c>
      <c r="G763" s="44">
        <v>273400</v>
      </c>
      <c r="H763" s="44">
        <f t="shared" si="53"/>
        <v>-273400</v>
      </c>
      <c r="L763" s="29" t="s">
        <v>14</v>
      </c>
      <c r="M763" s="29" t="s">
        <v>40</v>
      </c>
    </row>
    <row r="764" spans="1:13">
      <c r="A764" s="86">
        <v>44764</v>
      </c>
      <c r="B764" s="82">
        <f t="shared" si="52"/>
        <v>7</v>
      </c>
      <c r="C764">
        <f t="shared" si="49"/>
        <v>2022</v>
      </c>
      <c r="E764" s="84" t="s">
        <v>97</v>
      </c>
      <c r="F764" s="44">
        <v>754700</v>
      </c>
      <c r="H764" s="44">
        <f t="shared" si="53"/>
        <v>754700</v>
      </c>
      <c r="L764" s="29" t="s">
        <v>2</v>
      </c>
      <c r="M764" s="29" t="s">
        <v>32</v>
      </c>
    </row>
    <row r="765" spans="1:13">
      <c r="A765" s="86">
        <v>44764</v>
      </c>
      <c r="B765" s="82">
        <f t="shared" si="52"/>
        <v>7</v>
      </c>
      <c r="C765">
        <f t="shared" si="49"/>
        <v>2022</v>
      </c>
      <c r="D765" s="86"/>
      <c r="E765" s="84" t="s">
        <v>97</v>
      </c>
      <c r="G765" s="44">
        <v>713388</v>
      </c>
      <c r="H765" s="44">
        <f t="shared" si="53"/>
        <v>-713388</v>
      </c>
      <c r="L765" s="29" t="s">
        <v>10</v>
      </c>
      <c r="M765" s="29" t="s">
        <v>37</v>
      </c>
    </row>
    <row r="766" spans="1:13">
      <c r="A766" s="86">
        <v>44764</v>
      </c>
      <c r="B766" s="82">
        <f t="shared" si="52"/>
        <v>7</v>
      </c>
      <c r="C766">
        <f t="shared" si="49"/>
        <v>2022</v>
      </c>
      <c r="E766" s="84" t="s">
        <v>150</v>
      </c>
      <c r="F766" s="44">
        <v>713388</v>
      </c>
      <c r="H766" s="44">
        <f t="shared" si="53"/>
        <v>713388</v>
      </c>
      <c r="L766" s="29" t="s">
        <v>10</v>
      </c>
      <c r="M766" s="29" t="s">
        <v>37</v>
      </c>
    </row>
    <row r="767" spans="1:13">
      <c r="A767" s="86">
        <v>44764</v>
      </c>
      <c r="B767" s="82">
        <f t="shared" si="52"/>
        <v>7</v>
      </c>
      <c r="C767">
        <f t="shared" si="49"/>
        <v>2022</v>
      </c>
      <c r="E767" s="84" t="s">
        <v>143</v>
      </c>
      <c r="F767" s="44">
        <v>1169056.0980000002</v>
      </c>
      <c r="H767" s="44">
        <f t="shared" si="53"/>
        <v>1169056.0980000002</v>
      </c>
      <c r="I767"/>
      <c r="M767" t="s">
        <v>14</v>
      </c>
    </row>
    <row r="768" spans="1:13">
      <c r="A768" s="86">
        <v>44764</v>
      </c>
      <c r="B768" s="82">
        <f t="shared" si="52"/>
        <v>7</v>
      </c>
      <c r="C768">
        <f t="shared" si="49"/>
        <v>2022</v>
      </c>
      <c r="E768" s="84" t="s">
        <v>143</v>
      </c>
      <c r="F768" s="44">
        <v>657977.64800000004</v>
      </c>
      <c r="H768" s="44">
        <f t="shared" si="53"/>
        <v>657977.64800000004</v>
      </c>
      <c r="I768"/>
      <c r="M768" t="s">
        <v>2</v>
      </c>
    </row>
    <row r="769" spans="1:13">
      <c r="A769" s="86">
        <v>44764</v>
      </c>
      <c r="B769" s="82">
        <f t="shared" si="52"/>
        <v>7</v>
      </c>
      <c r="C769">
        <f t="shared" si="49"/>
        <v>2022</v>
      </c>
      <c r="E769" s="84" t="s">
        <v>89</v>
      </c>
      <c r="G769" s="44">
        <v>657977.64800000004</v>
      </c>
      <c r="H769" s="44">
        <f t="shared" si="53"/>
        <v>-657977.64800000004</v>
      </c>
      <c r="I769"/>
      <c r="M769" t="s">
        <v>2</v>
      </c>
    </row>
    <row r="770" spans="1:13">
      <c r="A770" s="86">
        <v>44764</v>
      </c>
      <c r="B770" s="82">
        <f t="shared" si="52"/>
        <v>7</v>
      </c>
      <c r="C770">
        <f t="shared" si="49"/>
        <v>2022</v>
      </c>
      <c r="E770" s="84" t="s">
        <v>91</v>
      </c>
      <c r="G770" s="44">
        <v>1169056.0980000002</v>
      </c>
      <c r="H770" s="44">
        <f t="shared" si="53"/>
        <v>-1169056.0980000002</v>
      </c>
      <c r="I770"/>
      <c r="M770" t="s">
        <v>14</v>
      </c>
    </row>
    <row r="771" spans="1:13">
      <c r="A771" s="86">
        <v>44764</v>
      </c>
      <c r="B771" s="82">
        <f t="shared" si="52"/>
        <v>7</v>
      </c>
      <c r="C771">
        <f t="shared" si="49"/>
        <v>2022</v>
      </c>
      <c r="E771" s="84" t="s">
        <v>98</v>
      </c>
      <c r="G771" s="44">
        <v>1750932</v>
      </c>
      <c r="H771" s="44">
        <f t="shared" si="53"/>
        <v>-1750932</v>
      </c>
      <c r="L771" s="29" t="s">
        <v>14</v>
      </c>
      <c r="M771" s="93" t="s">
        <v>40</v>
      </c>
    </row>
    <row r="772" spans="1:13">
      <c r="A772" s="86">
        <v>44764</v>
      </c>
      <c r="B772" s="82">
        <f t="shared" si="52"/>
        <v>7</v>
      </c>
      <c r="C772">
        <f t="shared" si="49"/>
        <v>2022</v>
      </c>
      <c r="E772" s="84" t="s">
        <v>98</v>
      </c>
      <c r="G772" s="44">
        <v>754700</v>
      </c>
      <c r="H772" s="44">
        <f t="shared" si="53"/>
        <v>-754700</v>
      </c>
      <c r="L772" s="29" t="s">
        <v>2</v>
      </c>
      <c r="M772" s="93" t="s">
        <v>32</v>
      </c>
    </row>
    <row r="773" spans="1:13">
      <c r="A773" s="86">
        <v>44767</v>
      </c>
      <c r="B773" s="82">
        <f t="shared" si="52"/>
        <v>7</v>
      </c>
      <c r="C773">
        <f t="shared" si="49"/>
        <v>2022</v>
      </c>
      <c r="D773" s="86"/>
      <c r="E773" s="84" t="s">
        <v>68</v>
      </c>
      <c r="F773" s="44">
        <v>2200000</v>
      </c>
      <c r="H773" s="44">
        <f t="shared" si="53"/>
        <v>2200000</v>
      </c>
      <c r="L773" t="s">
        <v>5</v>
      </c>
      <c r="M773" s="44" t="s">
        <v>123</v>
      </c>
    </row>
    <row r="774" spans="1:13">
      <c r="A774" s="86">
        <v>44767</v>
      </c>
      <c r="B774" s="82">
        <f t="shared" si="52"/>
        <v>7</v>
      </c>
      <c r="C774">
        <f t="shared" si="49"/>
        <v>2022</v>
      </c>
      <c r="D774" s="86"/>
      <c r="E774" s="84" t="s">
        <v>150</v>
      </c>
      <c r="G774" s="44">
        <v>2200000</v>
      </c>
      <c r="H774" s="44">
        <f t="shared" si="53"/>
        <v>-2200000</v>
      </c>
      <c r="L774" t="s">
        <v>5</v>
      </c>
      <c r="M774" s="44" t="s">
        <v>123</v>
      </c>
    </row>
    <row r="775" spans="1:13">
      <c r="A775" s="86">
        <v>44768</v>
      </c>
      <c r="B775" s="82">
        <f t="shared" si="52"/>
        <v>7</v>
      </c>
      <c r="C775">
        <f t="shared" si="49"/>
        <v>2022</v>
      </c>
      <c r="E775" s="84" t="s">
        <v>97</v>
      </c>
      <c r="F775" s="44">
        <v>3161070</v>
      </c>
      <c r="H775" s="44">
        <f t="shared" si="53"/>
        <v>3161070</v>
      </c>
      <c r="L775" s="29" t="s">
        <v>14</v>
      </c>
      <c r="M775" s="29" t="s">
        <v>39</v>
      </c>
    </row>
    <row r="776" spans="1:13">
      <c r="A776" s="86">
        <v>44768</v>
      </c>
      <c r="B776" s="82">
        <f t="shared" si="52"/>
        <v>7</v>
      </c>
      <c r="C776">
        <f t="shared" si="49"/>
        <v>2022</v>
      </c>
      <c r="E776" s="84" t="s">
        <v>97</v>
      </c>
      <c r="F776" s="44">
        <v>1990443</v>
      </c>
      <c r="H776" s="44">
        <f t="shared" si="53"/>
        <v>1990443</v>
      </c>
      <c r="L776" s="29" t="s">
        <v>10</v>
      </c>
      <c r="M776" s="29" t="s">
        <v>36</v>
      </c>
    </row>
    <row r="777" spans="1:13">
      <c r="A777" s="86">
        <v>44768</v>
      </c>
      <c r="B777" s="82">
        <f t="shared" si="52"/>
        <v>7</v>
      </c>
      <c r="C777">
        <f t="shared" si="49"/>
        <v>2022</v>
      </c>
      <c r="E777" s="84" t="s">
        <v>143</v>
      </c>
      <c r="F777" s="44">
        <v>2609434.5480000004</v>
      </c>
      <c r="H777" s="44">
        <f t="shared" si="53"/>
        <v>2609434.5480000004</v>
      </c>
      <c r="I777"/>
      <c r="M777" t="s">
        <v>14</v>
      </c>
    </row>
    <row r="778" spans="1:13">
      <c r="A778" s="86">
        <v>44768</v>
      </c>
      <c r="B778" s="82">
        <f t="shared" si="52"/>
        <v>7</v>
      </c>
      <c r="C778">
        <f t="shared" si="49"/>
        <v>2022</v>
      </c>
      <c r="E778" s="84" t="s">
        <v>143</v>
      </c>
      <c r="F778" s="44">
        <v>1153649.2240000002</v>
      </c>
      <c r="H778" s="44">
        <f t="shared" si="53"/>
        <v>1153649.2240000002</v>
      </c>
      <c r="I778"/>
      <c r="M778" t="s">
        <v>10</v>
      </c>
    </row>
    <row r="779" spans="1:13">
      <c r="A779" s="86">
        <v>44768</v>
      </c>
      <c r="B779" s="82">
        <f t="shared" si="52"/>
        <v>7</v>
      </c>
      <c r="C779">
        <f t="shared" si="49"/>
        <v>2022</v>
      </c>
      <c r="E779" s="84" t="s">
        <v>90</v>
      </c>
      <c r="G779" s="44">
        <v>1153649.2240000002</v>
      </c>
      <c r="H779" s="44">
        <f t="shared" si="53"/>
        <v>-1153649.2240000002</v>
      </c>
      <c r="I779"/>
      <c r="M779" t="s">
        <v>10</v>
      </c>
    </row>
    <row r="780" spans="1:13">
      <c r="A780" s="86">
        <v>44768</v>
      </c>
      <c r="B780" s="82">
        <f t="shared" si="52"/>
        <v>7</v>
      </c>
      <c r="C780">
        <f t="shared" si="49"/>
        <v>2022</v>
      </c>
      <c r="E780" s="84" t="s">
        <v>91</v>
      </c>
      <c r="G780" s="44">
        <v>2609434.5480000004</v>
      </c>
      <c r="H780" s="44">
        <f t="shared" si="53"/>
        <v>-2609434.5480000004</v>
      </c>
      <c r="I780"/>
      <c r="M780" t="s">
        <v>14</v>
      </c>
    </row>
    <row r="781" spans="1:13">
      <c r="A781" s="86">
        <v>44768</v>
      </c>
      <c r="B781" s="82">
        <f t="shared" si="52"/>
        <v>7</v>
      </c>
      <c r="C781">
        <f t="shared" ref="C781:C844" si="54">YEAR(A781)</f>
        <v>2022</v>
      </c>
      <c r="E781" s="84" t="s">
        <v>98</v>
      </c>
      <c r="G781" s="44">
        <v>3161070</v>
      </c>
      <c r="H781" s="44">
        <f t="shared" si="53"/>
        <v>-3161070</v>
      </c>
      <c r="L781" s="29" t="s">
        <v>14</v>
      </c>
      <c r="M781" s="29" t="s">
        <v>39</v>
      </c>
    </row>
    <row r="782" spans="1:13">
      <c r="A782" s="86">
        <v>44768</v>
      </c>
      <c r="B782" s="82">
        <f t="shared" si="52"/>
        <v>7</v>
      </c>
      <c r="C782">
        <f t="shared" si="54"/>
        <v>2022</v>
      </c>
      <c r="E782" s="84" t="s">
        <v>98</v>
      </c>
      <c r="G782" s="44">
        <v>1990443</v>
      </c>
      <c r="H782" s="44">
        <f t="shared" si="53"/>
        <v>-1990443</v>
      </c>
      <c r="L782" s="29" t="s">
        <v>10</v>
      </c>
      <c r="M782" s="93" t="s">
        <v>36</v>
      </c>
    </row>
    <row r="783" spans="1:13">
      <c r="A783" s="86">
        <v>44771</v>
      </c>
      <c r="B783" s="82">
        <f t="shared" si="52"/>
        <v>7</v>
      </c>
      <c r="C783">
        <f t="shared" si="54"/>
        <v>2022</v>
      </c>
      <c r="E783" s="84" t="s">
        <v>97</v>
      </c>
      <c r="F783" s="44">
        <v>1764378</v>
      </c>
      <c r="H783" s="44">
        <f t="shared" si="53"/>
        <v>1764378</v>
      </c>
      <c r="L783" s="29" t="s">
        <v>2</v>
      </c>
      <c r="M783" s="29" t="s">
        <v>33</v>
      </c>
    </row>
    <row r="784" spans="1:13">
      <c r="A784" s="86">
        <v>44699</v>
      </c>
      <c r="B784" s="82">
        <f t="shared" si="52"/>
        <v>5</v>
      </c>
      <c r="C784">
        <f t="shared" si="54"/>
        <v>2022</v>
      </c>
      <c r="E784" s="84" t="s">
        <v>97</v>
      </c>
      <c r="F784" s="44">
        <v>173788</v>
      </c>
      <c r="H784" s="44">
        <f t="shared" si="53"/>
        <v>173788</v>
      </c>
      <c r="L784" s="29" t="s">
        <v>14</v>
      </c>
      <c r="M784" s="29" t="s">
        <v>40</v>
      </c>
    </row>
    <row r="785" spans="1:13">
      <c r="A785" s="86">
        <v>44771</v>
      </c>
      <c r="B785" s="82">
        <f t="shared" si="52"/>
        <v>7</v>
      </c>
      <c r="C785">
        <f t="shared" si="54"/>
        <v>2022</v>
      </c>
      <c r="E785" s="84" t="s">
        <v>150</v>
      </c>
      <c r="F785" s="44">
        <v>1584380</v>
      </c>
      <c r="H785" s="44">
        <f t="shared" si="53"/>
        <v>1584380</v>
      </c>
      <c r="L785" s="29" t="s">
        <v>14</v>
      </c>
      <c r="M785" s="29" t="s">
        <v>40</v>
      </c>
    </row>
    <row r="786" spans="1:13">
      <c r="A786" s="86">
        <v>44771</v>
      </c>
      <c r="B786" s="82">
        <f t="shared" si="52"/>
        <v>7</v>
      </c>
      <c r="C786">
        <f t="shared" si="54"/>
        <v>2022</v>
      </c>
      <c r="E786" s="84" t="s">
        <v>143</v>
      </c>
      <c r="F786" s="44">
        <v>1167437.362666666</v>
      </c>
      <c r="H786" s="44">
        <f t="shared" si="53"/>
        <v>1167437.362666666</v>
      </c>
      <c r="I786"/>
      <c r="M786" t="s">
        <v>2</v>
      </c>
    </row>
    <row r="787" spans="1:13">
      <c r="A787" s="86">
        <v>44771</v>
      </c>
      <c r="B787" s="82">
        <f t="shared" si="52"/>
        <v>7</v>
      </c>
      <c r="C787">
        <f t="shared" si="54"/>
        <v>2022</v>
      </c>
      <c r="E787" s="84" t="s">
        <v>89</v>
      </c>
      <c r="G787" s="44">
        <v>1167437.362666666</v>
      </c>
      <c r="H787" s="44">
        <f t="shared" si="53"/>
        <v>-1167437.362666666</v>
      </c>
      <c r="I787"/>
      <c r="M787" t="s">
        <v>2</v>
      </c>
    </row>
    <row r="788" spans="1:13">
      <c r="A788" s="86">
        <v>44771</v>
      </c>
      <c r="B788" s="82">
        <f t="shared" si="52"/>
        <v>7</v>
      </c>
      <c r="C788">
        <f t="shared" si="54"/>
        <v>2022</v>
      </c>
      <c r="E788" s="84" t="s">
        <v>98</v>
      </c>
      <c r="G788" s="44">
        <v>1764378</v>
      </c>
      <c r="H788" s="44">
        <f t="shared" si="53"/>
        <v>-1764378</v>
      </c>
      <c r="L788" s="29" t="s">
        <v>2</v>
      </c>
      <c r="M788" s="93" t="s">
        <v>33</v>
      </c>
    </row>
    <row r="789" spans="1:13">
      <c r="A789" s="86">
        <v>44772</v>
      </c>
      <c r="B789" s="82">
        <f t="shared" si="52"/>
        <v>7</v>
      </c>
      <c r="C789">
        <f t="shared" si="54"/>
        <v>2022</v>
      </c>
      <c r="E789" s="84" t="s">
        <v>97</v>
      </c>
      <c r="F789" s="44">
        <v>1019031</v>
      </c>
      <c r="H789" s="44">
        <f t="shared" si="53"/>
        <v>1019031</v>
      </c>
      <c r="L789" s="29" t="s">
        <v>2</v>
      </c>
      <c r="M789" s="29" t="s">
        <v>31</v>
      </c>
    </row>
    <row r="790" spans="1:13">
      <c r="A790" s="86">
        <v>44772</v>
      </c>
      <c r="B790" s="82">
        <f t="shared" si="52"/>
        <v>7</v>
      </c>
      <c r="C790">
        <f t="shared" si="54"/>
        <v>2022</v>
      </c>
      <c r="E790" s="84" t="s">
        <v>97</v>
      </c>
      <c r="F790" s="44">
        <v>670390</v>
      </c>
      <c r="H790" s="44">
        <f t="shared" si="53"/>
        <v>670390</v>
      </c>
      <c r="L790" s="29" t="s">
        <v>10</v>
      </c>
      <c r="M790" s="29" t="s">
        <v>37</v>
      </c>
    </row>
    <row r="791" spans="1:13">
      <c r="A791" s="86">
        <v>44772</v>
      </c>
      <c r="B791" s="82">
        <f t="shared" ref="B791:B854" si="55">MONTH(A791)</f>
        <v>7</v>
      </c>
      <c r="C791">
        <f t="shared" si="54"/>
        <v>2022</v>
      </c>
      <c r="E791" s="84" t="s">
        <v>143</v>
      </c>
      <c r="F791" s="44">
        <v>871011.75200000009</v>
      </c>
      <c r="H791" s="44">
        <f t="shared" ref="H791:H854" si="56">F791-G791</f>
        <v>871011.75200000009</v>
      </c>
      <c r="I791"/>
      <c r="M791" t="s">
        <v>2</v>
      </c>
    </row>
    <row r="792" spans="1:13">
      <c r="A792" s="86">
        <v>44772</v>
      </c>
      <c r="B792" s="82">
        <f t="shared" si="55"/>
        <v>7</v>
      </c>
      <c r="C792">
        <f t="shared" si="54"/>
        <v>2022</v>
      </c>
      <c r="E792" s="84" t="s">
        <v>143</v>
      </c>
      <c r="F792" s="44">
        <v>439512.08000000007</v>
      </c>
      <c r="H792" s="44">
        <f t="shared" si="56"/>
        <v>439512.08000000007</v>
      </c>
      <c r="I792"/>
      <c r="M792" t="s">
        <v>10</v>
      </c>
    </row>
    <row r="793" spans="1:13">
      <c r="A793" s="86">
        <v>44772</v>
      </c>
      <c r="B793" s="82">
        <f t="shared" si="55"/>
        <v>7</v>
      </c>
      <c r="C793">
        <f t="shared" si="54"/>
        <v>2022</v>
      </c>
      <c r="E793" s="84" t="s">
        <v>89</v>
      </c>
      <c r="G793" s="44">
        <v>871011.75200000009</v>
      </c>
      <c r="H793" s="44">
        <f t="shared" si="56"/>
        <v>-871011.75200000009</v>
      </c>
      <c r="I793"/>
      <c r="M793" t="s">
        <v>2</v>
      </c>
    </row>
    <row r="794" spans="1:13">
      <c r="A794" s="86">
        <v>44772</v>
      </c>
      <c r="B794" s="82">
        <f t="shared" si="55"/>
        <v>7</v>
      </c>
      <c r="C794">
        <f t="shared" si="54"/>
        <v>2022</v>
      </c>
      <c r="E794" s="84" t="s">
        <v>90</v>
      </c>
      <c r="G794" s="44">
        <v>439512.08000000007</v>
      </c>
      <c r="H794" s="44">
        <f t="shared" si="56"/>
        <v>-439512.08000000007</v>
      </c>
      <c r="I794"/>
      <c r="M794" t="s">
        <v>10</v>
      </c>
    </row>
    <row r="795" spans="1:13">
      <c r="A795" s="86">
        <v>44772</v>
      </c>
      <c r="B795" s="82">
        <f t="shared" si="55"/>
        <v>7</v>
      </c>
      <c r="C795">
        <f t="shared" si="54"/>
        <v>2022</v>
      </c>
      <c r="E795" s="84" t="s">
        <v>98</v>
      </c>
      <c r="G795" s="44">
        <v>1019031</v>
      </c>
      <c r="H795" s="44">
        <f t="shared" si="56"/>
        <v>-1019031</v>
      </c>
      <c r="L795" s="29" t="s">
        <v>2</v>
      </c>
      <c r="M795" s="93" t="s">
        <v>31</v>
      </c>
    </row>
    <row r="796" spans="1:13">
      <c r="A796" s="86">
        <v>44772</v>
      </c>
      <c r="B796" s="82">
        <f t="shared" si="55"/>
        <v>7</v>
      </c>
      <c r="C796">
        <f t="shared" si="54"/>
        <v>2022</v>
      </c>
      <c r="E796" s="84" t="s">
        <v>98</v>
      </c>
      <c r="G796" s="44">
        <v>670390</v>
      </c>
      <c r="H796" s="44">
        <f t="shared" si="56"/>
        <v>-670390</v>
      </c>
      <c r="L796" s="29" t="s">
        <v>10</v>
      </c>
      <c r="M796" s="93" t="s">
        <v>37</v>
      </c>
    </row>
    <row r="797" spans="1:13">
      <c r="A797" s="86">
        <v>44773</v>
      </c>
      <c r="B797" s="82">
        <f t="shared" si="55"/>
        <v>7</v>
      </c>
      <c r="C797">
        <f t="shared" si="54"/>
        <v>2022</v>
      </c>
      <c r="D797" s="86"/>
      <c r="E797" s="84" t="s">
        <v>97</v>
      </c>
      <c r="G797" s="44">
        <v>440505</v>
      </c>
      <c r="H797" s="44">
        <f t="shared" si="56"/>
        <v>-440505</v>
      </c>
      <c r="L797" s="29" t="s">
        <v>2</v>
      </c>
      <c r="M797" s="29" t="s">
        <v>33</v>
      </c>
    </row>
    <row r="798" spans="1:13">
      <c r="A798" s="86">
        <v>44773</v>
      </c>
      <c r="B798" s="82">
        <f t="shared" si="55"/>
        <v>7</v>
      </c>
      <c r="C798">
        <f t="shared" si="54"/>
        <v>2022</v>
      </c>
      <c r="E798" s="84" t="s">
        <v>155</v>
      </c>
      <c r="F798" s="44">
        <v>796511</v>
      </c>
      <c r="H798" s="44">
        <f t="shared" si="56"/>
        <v>796511</v>
      </c>
      <c r="M798"/>
    </row>
    <row r="799" spans="1:13">
      <c r="A799" s="86">
        <v>44773</v>
      </c>
      <c r="B799" s="82">
        <f t="shared" si="55"/>
        <v>7</v>
      </c>
      <c r="C799">
        <f t="shared" si="54"/>
        <v>2022</v>
      </c>
      <c r="D799" s="86"/>
      <c r="E799" s="84" t="s">
        <v>150</v>
      </c>
      <c r="G799" s="44">
        <v>253397.23799999998</v>
      </c>
      <c r="H799" s="44">
        <f t="shared" si="56"/>
        <v>-253397.23799999998</v>
      </c>
      <c r="M799"/>
    </row>
    <row r="800" spans="1:13">
      <c r="A800" s="86">
        <v>44773</v>
      </c>
      <c r="B800" s="82">
        <f t="shared" si="55"/>
        <v>7</v>
      </c>
      <c r="C800">
        <f t="shared" si="54"/>
        <v>2022</v>
      </c>
      <c r="E800" s="84" t="s">
        <v>150</v>
      </c>
      <c r="F800" s="44">
        <v>440505</v>
      </c>
      <c r="H800" s="44">
        <f t="shared" si="56"/>
        <v>440505</v>
      </c>
      <c r="L800" s="29" t="s">
        <v>2</v>
      </c>
      <c r="M800" s="29" t="s">
        <v>33</v>
      </c>
    </row>
    <row r="801" spans="1:13">
      <c r="A801" s="86">
        <v>44773</v>
      </c>
      <c r="B801" s="82">
        <f t="shared" si="55"/>
        <v>7</v>
      </c>
      <c r="C801">
        <f t="shared" si="54"/>
        <v>2022</v>
      </c>
      <c r="E801" s="84" t="s">
        <v>150</v>
      </c>
      <c r="G801" s="44">
        <v>1130206</v>
      </c>
      <c r="H801" s="44">
        <f t="shared" si="56"/>
        <v>-1130206</v>
      </c>
      <c r="M801"/>
    </row>
    <row r="802" spans="1:13">
      <c r="A802" s="86">
        <v>44773</v>
      </c>
      <c r="B802" s="82">
        <f t="shared" si="55"/>
        <v>7</v>
      </c>
      <c r="C802">
        <f t="shared" si="54"/>
        <v>2022</v>
      </c>
      <c r="E802" s="84" t="s">
        <v>150</v>
      </c>
      <c r="G802" s="44">
        <v>784848</v>
      </c>
      <c r="H802" s="44">
        <f t="shared" si="56"/>
        <v>-784848</v>
      </c>
      <c r="M802"/>
    </row>
    <row r="803" spans="1:13">
      <c r="A803" s="86">
        <v>44773</v>
      </c>
      <c r="B803" s="82">
        <f t="shared" si="55"/>
        <v>7</v>
      </c>
      <c r="C803">
        <f t="shared" si="54"/>
        <v>2022</v>
      </c>
      <c r="E803" s="84" t="s">
        <v>150</v>
      </c>
      <c r="G803" s="44">
        <v>796511</v>
      </c>
      <c r="H803" s="44">
        <f t="shared" si="56"/>
        <v>-796511</v>
      </c>
      <c r="M803"/>
    </row>
    <row r="804" spans="1:13">
      <c r="A804" s="86">
        <v>44773</v>
      </c>
      <c r="B804" s="82">
        <f t="shared" si="55"/>
        <v>7</v>
      </c>
      <c r="C804">
        <f t="shared" si="54"/>
        <v>2022</v>
      </c>
      <c r="E804" s="84" t="s">
        <v>150</v>
      </c>
      <c r="F804" s="44">
        <v>1218014</v>
      </c>
      <c r="H804" s="44">
        <f t="shared" si="56"/>
        <v>1218014</v>
      </c>
      <c r="M804"/>
    </row>
    <row r="805" spans="1:13">
      <c r="A805" s="86">
        <v>44773</v>
      </c>
      <c r="B805" s="82">
        <f t="shared" si="55"/>
        <v>7</v>
      </c>
      <c r="C805">
        <f t="shared" si="54"/>
        <v>2022</v>
      </c>
      <c r="E805" s="84" t="s">
        <v>150</v>
      </c>
      <c r="G805" s="44">
        <v>1209257</v>
      </c>
      <c r="H805" s="44">
        <f t="shared" si="56"/>
        <v>-1209257</v>
      </c>
      <c r="M805"/>
    </row>
    <row r="806" spans="1:13">
      <c r="A806" s="86">
        <v>44773</v>
      </c>
      <c r="B806" s="82">
        <f t="shared" si="55"/>
        <v>7</v>
      </c>
      <c r="C806">
        <f t="shared" si="54"/>
        <v>2022</v>
      </c>
      <c r="E806" s="84" t="s">
        <v>154</v>
      </c>
      <c r="F806" s="44">
        <v>784848</v>
      </c>
      <c r="H806" s="44">
        <f t="shared" si="56"/>
        <v>784848</v>
      </c>
      <c r="M806"/>
    </row>
    <row r="807" spans="1:13">
      <c r="A807" s="86">
        <v>44773</v>
      </c>
      <c r="B807" s="82">
        <f t="shared" si="55"/>
        <v>7</v>
      </c>
      <c r="C807">
        <f t="shared" si="54"/>
        <v>2022</v>
      </c>
      <c r="D807" s="26"/>
      <c r="E807" s="84" t="s">
        <v>159</v>
      </c>
      <c r="F807" s="44">
        <v>1209257</v>
      </c>
      <c r="H807" s="44">
        <f t="shared" si="56"/>
        <v>1209257</v>
      </c>
      <c r="M807"/>
    </row>
    <row r="808" spans="1:13">
      <c r="A808" s="86">
        <v>44773</v>
      </c>
      <c r="B808" s="82">
        <f t="shared" si="55"/>
        <v>7</v>
      </c>
      <c r="C808">
        <f t="shared" si="54"/>
        <v>2022</v>
      </c>
      <c r="D808" s="26"/>
      <c r="E808" s="84" t="s">
        <v>158</v>
      </c>
      <c r="G808" s="44">
        <v>1218014</v>
      </c>
      <c r="H808" s="44">
        <f t="shared" si="56"/>
        <v>-1218014</v>
      </c>
      <c r="M808"/>
    </row>
    <row r="809" spans="1:13">
      <c r="A809" s="86">
        <v>44773</v>
      </c>
      <c r="B809" s="82">
        <f t="shared" si="55"/>
        <v>7</v>
      </c>
      <c r="C809">
        <f t="shared" si="54"/>
        <v>2022</v>
      </c>
      <c r="E809" s="84" t="s">
        <v>157</v>
      </c>
      <c r="F809" s="44">
        <v>1130206</v>
      </c>
      <c r="H809" s="44">
        <f t="shared" si="56"/>
        <v>1130206</v>
      </c>
      <c r="M809"/>
    </row>
    <row r="810" spans="1:13">
      <c r="A810" s="86">
        <v>44773</v>
      </c>
      <c r="B810" s="82">
        <f t="shared" si="55"/>
        <v>7</v>
      </c>
      <c r="C810">
        <f t="shared" si="54"/>
        <v>2022</v>
      </c>
      <c r="D810" s="86"/>
      <c r="E810" s="84" t="s">
        <v>146</v>
      </c>
      <c r="F810" s="44">
        <v>253397.23799999998</v>
      </c>
      <c r="H810" s="44">
        <f t="shared" si="56"/>
        <v>253397.23799999998</v>
      </c>
      <c r="M810"/>
    </row>
    <row r="811" spans="1:13">
      <c r="A811" s="86">
        <v>44774</v>
      </c>
      <c r="B811" s="82">
        <f t="shared" si="55"/>
        <v>8</v>
      </c>
      <c r="C811">
        <f t="shared" si="54"/>
        <v>2022</v>
      </c>
      <c r="D811" s="86"/>
      <c r="E811" s="84" t="s">
        <v>68</v>
      </c>
      <c r="G811" s="44">
        <v>800000</v>
      </c>
      <c r="H811" s="44">
        <f t="shared" si="56"/>
        <v>-800000</v>
      </c>
      <c r="L811" t="s">
        <v>3</v>
      </c>
      <c r="M811" s="44" t="s">
        <v>123</v>
      </c>
    </row>
    <row r="812" spans="1:13">
      <c r="A812" s="86">
        <v>44774</v>
      </c>
      <c r="B812" s="82">
        <f t="shared" si="55"/>
        <v>8</v>
      </c>
      <c r="C812">
        <f t="shared" si="54"/>
        <v>2022</v>
      </c>
      <c r="D812" s="86"/>
      <c r="E812" s="84" t="s">
        <v>68</v>
      </c>
      <c r="G812" s="44">
        <v>810000</v>
      </c>
      <c r="H812" s="44">
        <f t="shared" si="56"/>
        <v>-810000</v>
      </c>
      <c r="L812" t="s">
        <v>4</v>
      </c>
      <c r="M812" s="44" t="s">
        <v>123</v>
      </c>
    </row>
    <row r="813" spans="1:13">
      <c r="A813" s="86">
        <v>44774</v>
      </c>
      <c r="B813" s="82">
        <f t="shared" si="55"/>
        <v>8</v>
      </c>
      <c r="C813">
        <f t="shared" si="54"/>
        <v>2022</v>
      </c>
      <c r="D813" s="86"/>
      <c r="E813" s="84" t="s">
        <v>68</v>
      </c>
      <c r="G813" s="44">
        <v>2000000</v>
      </c>
      <c r="H813" s="44">
        <f t="shared" si="56"/>
        <v>-2000000</v>
      </c>
      <c r="L813" t="s">
        <v>5</v>
      </c>
      <c r="M813" s="44" t="s">
        <v>123</v>
      </c>
    </row>
    <row r="814" spans="1:13">
      <c r="A814" s="86">
        <v>44774</v>
      </c>
      <c r="B814" s="82">
        <f t="shared" si="55"/>
        <v>8</v>
      </c>
      <c r="C814">
        <f t="shared" si="54"/>
        <v>2022</v>
      </c>
      <c r="D814" s="86"/>
      <c r="E814" s="84" t="s">
        <v>68</v>
      </c>
      <c r="G814" s="44">
        <v>2090000</v>
      </c>
      <c r="H814" s="44">
        <f t="shared" si="56"/>
        <v>-2090000</v>
      </c>
      <c r="L814" t="s">
        <v>6</v>
      </c>
      <c r="M814" s="44" t="s">
        <v>124</v>
      </c>
    </row>
    <row r="815" spans="1:13">
      <c r="A815" s="86">
        <v>44774</v>
      </c>
      <c r="B815" s="82">
        <f t="shared" si="55"/>
        <v>8</v>
      </c>
      <c r="C815">
        <f t="shared" si="54"/>
        <v>2022</v>
      </c>
      <c r="D815" s="86"/>
      <c r="E815" s="84" t="s">
        <v>68</v>
      </c>
      <c r="G815" s="44">
        <v>880000</v>
      </c>
      <c r="H815" s="44">
        <f t="shared" si="56"/>
        <v>-880000</v>
      </c>
      <c r="L815" t="s">
        <v>11</v>
      </c>
      <c r="M815" s="44" t="s">
        <v>125</v>
      </c>
    </row>
    <row r="816" spans="1:13">
      <c r="A816" s="86">
        <v>44774</v>
      </c>
      <c r="B816" s="82">
        <f t="shared" si="55"/>
        <v>8</v>
      </c>
      <c r="C816">
        <f t="shared" si="54"/>
        <v>2022</v>
      </c>
      <c r="D816" s="86"/>
      <c r="E816" s="84" t="s">
        <v>68</v>
      </c>
      <c r="G816" s="44">
        <v>2192505</v>
      </c>
      <c r="H816" s="44">
        <f t="shared" si="56"/>
        <v>-2192505</v>
      </c>
      <c r="L816" t="s">
        <v>12</v>
      </c>
      <c r="M816" s="44" t="s">
        <v>125</v>
      </c>
    </row>
    <row r="817" spans="1:13">
      <c r="A817" s="86">
        <v>44774</v>
      </c>
      <c r="B817" s="82">
        <f t="shared" si="55"/>
        <v>8</v>
      </c>
      <c r="C817">
        <f t="shared" si="54"/>
        <v>2022</v>
      </c>
      <c r="E817" s="44" t="s">
        <v>191</v>
      </c>
      <c r="F817" s="44">
        <v>6455000</v>
      </c>
      <c r="H817" s="44">
        <f t="shared" si="56"/>
        <v>6455000</v>
      </c>
      <c r="M817"/>
    </row>
    <row r="818" spans="1:13">
      <c r="A818" s="86">
        <v>44774</v>
      </c>
      <c r="B818" s="82">
        <f t="shared" si="55"/>
        <v>8</v>
      </c>
      <c r="C818">
        <f t="shared" si="54"/>
        <v>2022</v>
      </c>
      <c r="E818" s="44" t="s">
        <v>190</v>
      </c>
      <c r="F818" s="44">
        <v>9045000</v>
      </c>
      <c r="H818" s="44">
        <f t="shared" si="56"/>
        <v>9045000</v>
      </c>
      <c r="M818"/>
    </row>
    <row r="819" spans="1:13">
      <c r="A819" s="86">
        <v>44774</v>
      </c>
      <c r="B819" s="82">
        <f t="shared" si="55"/>
        <v>8</v>
      </c>
      <c r="C819">
        <f t="shared" si="54"/>
        <v>2022</v>
      </c>
      <c r="E819" t="s">
        <v>189</v>
      </c>
      <c r="F819" s="44">
        <v>45000000</v>
      </c>
      <c r="H819" s="44">
        <f t="shared" si="56"/>
        <v>45000000</v>
      </c>
      <c r="M819"/>
    </row>
    <row r="820" spans="1:13">
      <c r="A820" s="86">
        <v>44774</v>
      </c>
      <c r="B820" s="82">
        <f t="shared" si="55"/>
        <v>8</v>
      </c>
      <c r="C820">
        <f t="shared" si="54"/>
        <v>2022</v>
      </c>
      <c r="D820" s="86"/>
      <c r="E820" s="84" t="s">
        <v>67</v>
      </c>
      <c r="F820" s="44">
        <v>800000</v>
      </c>
      <c r="H820" s="44">
        <f t="shared" si="56"/>
        <v>800000</v>
      </c>
      <c r="L820" t="s">
        <v>3</v>
      </c>
      <c r="M820" s="44" t="s">
        <v>123</v>
      </c>
    </row>
    <row r="821" spans="1:13">
      <c r="A821" s="86">
        <v>44774</v>
      </c>
      <c r="B821" s="82">
        <f t="shared" si="55"/>
        <v>8</v>
      </c>
      <c r="C821">
        <f t="shared" si="54"/>
        <v>2022</v>
      </c>
      <c r="D821" s="86"/>
      <c r="E821" s="84" t="s">
        <v>67</v>
      </c>
      <c r="F821" s="44">
        <v>810000</v>
      </c>
      <c r="H821" s="44">
        <f t="shared" si="56"/>
        <v>810000</v>
      </c>
      <c r="L821" t="s">
        <v>4</v>
      </c>
      <c r="M821" s="44" t="s">
        <v>123</v>
      </c>
    </row>
    <row r="822" spans="1:13">
      <c r="A822" s="86">
        <v>44774</v>
      </c>
      <c r="B822" s="82">
        <f t="shared" si="55"/>
        <v>8</v>
      </c>
      <c r="C822">
        <f t="shared" si="54"/>
        <v>2022</v>
      </c>
      <c r="D822" s="86"/>
      <c r="E822" s="84" t="s">
        <v>67</v>
      </c>
      <c r="F822" s="44">
        <v>2000000</v>
      </c>
      <c r="H822" s="44">
        <f t="shared" si="56"/>
        <v>2000000</v>
      </c>
      <c r="L822" t="s">
        <v>5</v>
      </c>
      <c r="M822" s="44" t="s">
        <v>123</v>
      </c>
    </row>
    <row r="823" spans="1:13">
      <c r="A823" s="86">
        <v>44774</v>
      </c>
      <c r="B823" s="82">
        <f t="shared" si="55"/>
        <v>8</v>
      </c>
      <c r="C823">
        <f t="shared" si="54"/>
        <v>2022</v>
      </c>
      <c r="D823" s="86"/>
      <c r="E823" s="84" t="s">
        <v>67</v>
      </c>
      <c r="F823" s="44">
        <v>2090000</v>
      </c>
      <c r="H823" s="44">
        <f t="shared" si="56"/>
        <v>2090000</v>
      </c>
      <c r="L823" t="s">
        <v>6</v>
      </c>
      <c r="M823" s="44" t="s">
        <v>124</v>
      </c>
    </row>
    <row r="824" spans="1:13">
      <c r="A824" s="86">
        <v>44774</v>
      </c>
      <c r="B824" s="82">
        <f t="shared" si="55"/>
        <v>8</v>
      </c>
      <c r="C824">
        <f t="shared" si="54"/>
        <v>2022</v>
      </c>
      <c r="D824" s="86"/>
      <c r="E824" s="84" t="s">
        <v>67</v>
      </c>
      <c r="F824" s="44">
        <v>880000</v>
      </c>
      <c r="H824" s="44">
        <f t="shared" si="56"/>
        <v>880000</v>
      </c>
      <c r="L824" t="s">
        <v>11</v>
      </c>
      <c r="M824" s="44" t="s">
        <v>125</v>
      </c>
    </row>
    <row r="825" spans="1:13">
      <c r="A825" s="86">
        <v>44774</v>
      </c>
      <c r="B825" s="82">
        <f t="shared" si="55"/>
        <v>8</v>
      </c>
      <c r="C825">
        <f t="shared" si="54"/>
        <v>2022</v>
      </c>
      <c r="D825" s="86"/>
      <c r="E825" s="84" t="s">
        <v>67</v>
      </c>
      <c r="F825" s="44">
        <v>2192505</v>
      </c>
      <c r="H825" s="44">
        <f t="shared" si="56"/>
        <v>2192505</v>
      </c>
      <c r="L825" t="s">
        <v>12</v>
      </c>
      <c r="M825" s="44" t="s">
        <v>125</v>
      </c>
    </row>
    <row r="826" spans="1:13">
      <c r="A826" s="86">
        <v>44774</v>
      </c>
      <c r="B826" s="82">
        <f t="shared" si="55"/>
        <v>8</v>
      </c>
      <c r="C826">
        <f t="shared" si="54"/>
        <v>2022</v>
      </c>
      <c r="E826" s="44" t="s">
        <v>156</v>
      </c>
      <c r="G826" s="44">
        <v>50000000</v>
      </c>
      <c r="H826" s="44">
        <f t="shared" si="56"/>
        <v>-50000000</v>
      </c>
      <c r="M826"/>
    </row>
    <row r="827" spans="1:13">
      <c r="A827" s="86">
        <v>44774</v>
      </c>
      <c r="B827" s="82">
        <f t="shared" si="55"/>
        <v>8</v>
      </c>
      <c r="C827">
        <f t="shared" si="54"/>
        <v>2022</v>
      </c>
      <c r="E827" s="44" t="s">
        <v>192</v>
      </c>
      <c r="G827" s="44">
        <v>10500000</v>
      </c>
      <c r="H827" s="44">
        <f t="shared" si="56"/>
        <v>-10500000</v>
      </c>
      <c r="M827"/>
    </row>
    <row r="828" spans="1:13">
      <c r="A828" s="86">
        <v>44775</v>
      </c>
      <c r="B828" s="82">
        <f t="shared" si="55"/>
        <v>8</v>
      </c>
      <c r="C828">
        <f t="shared" si="54"/>
        <v>2022</v>
      </c>
      <c r="D828" s="86"/>
      <c r="E828" s="84" t="s">
        <v>68</v>
      </c>
      <c r="F828" s="44">
        <v>945000</v>
      </c>
      <c r="H828" s="44">
        <f t="shared" si="56"/>
        <v>945000</v>
      </c>
      <c r="L828" t="s">
        <v>4</v>
      </c>
      <c r="M828" s="44" t="s">
        <v>123</v>
      </c>
    </row>
    <row r="829" spans="1:13">
      <c r="A829" s="86">
        <v>44775</v>
      </c>
      <c r="B829" s="82">
        <f t="shared" si="55"/>
        <v>8</v>
      </c>
      <c r="C829">
        <f t="shared" si="54"/>
        <v>2022</v>
      </c>
      <c r="D829" s="86"/>
      <c r="E829" s="84" t="s">
        <v>68</v>
      </c>
      <c r="F829" s="44">
        <v>800000</v>
      </c>
      <c r="H829" s="44">
        <f t="shared" si="56"/>
        <v>800000</v>
      </c>
      <c r="L829" t="s">
        <v>3</v>
      </c>
      <c r="M829" s="44" t="s">
        <v>123</v>
      </c>
    </row>
    <row r="830" spans="1:13">
      <c r="A830" s="86">
        <v>44775</v>
      </c>
      <c r="B830" s="82">
        <f t="shared" si="55"/>
        <v>8</v>
      </c>
      <c r="C830">
        <f t="shared" si="54"/>
        <v>2022</v>
      </c>
      <c r="D830" s="86"/>
      <c r="E830" s="84" t="s">
        <v>97</v>
      </c>
      <c r="G830" s="44">
        <v>515645</v>
      </c>
      <c r="H830" s="44">
        <f t="shared" si="56"/>
        <v>-515645</v>
      </c>
      <c r="L830" s="29" t="s">
        <v>2</v>
      </c>
      <c r="M830" s="29" t="s">
        <v>31</v>
      </c>
    </row>
    <row r="831" spans="1:13">
      <c r="A831" s="86">
        <v>44775</v>
      </c>
      <c r="B831" s="82">
        <f t="shared" si="55"/>
        <v>8</v>
      </c>
      <c r="C831">
        <f t="shared" si="54"/>
        <v>2022</v>
      </c>
      <c r="D831" s="86"/>
      <c r="E831" s="84" t="s">
        <v>150</v>
      </c>
      <c r="G831" s="44">
        <v>945000</v>
      </c>
      <c r="H831" s="44">
        <f t="shared" si="56"/>
        <v>-945000</v>
      </c>
      <c r="L831" t="s">
        <v>4</v>
      </c>
      <c r="M831" s="44" t="s">
        <v>123</v>
      </c>
    </row>
    <row r="832" spans="1:13">
      <c r="A832" s="86">
        <v>44775</v>
      </c>
      <c r="B832" s="82">
        <f t="shared" si="55"/>
        <v>8</v>
      </c>
      <c r="C832">
        <f t="shared" si="54"/>
        <v>2022</v>
      </c>
      <c r="D832" s="86"/>
      <c r="E832" s="84" t="s">
        <v>150</v>
      </c>
      <c r="G832" s="44">
        <v>800000</v>
      </c>
      <c r="H832" s="44">
        <f t="shared" si="56"/>
        <v>-800000</v>
      </c>
      <c r="L832" t="s">
        <v>3</v>
      </c>
      <c r="M832" s="44" t="s">
        <v>123</v>
      </c>
    </row>
    <row r="833" spans="1:15">
      <c r="A833" s="86">
        <v>44775</v>
      </c>
      <c r="B833" s="82">
        <f t="shared" si="55"/>
        <v>8</v>
      </c>
      <c r="C833">
        <f t="shared" si="54"/>
        <v>2022</v>
      </c>
      <c r="E833" s="84" t="s">
        <v>150</v>
      </c>
      <c r="F833" s="44">
        <v>515645</v>
      </c>
      <c r="H833" s="44">
        <f t="shared" si="56"/>
        <v>515645</v>
      </c>
      <c r="L833" s="29" t="s">
        <v>2</v>
      </c>
      <c r="M833" s="29" t="s">
        <v>31</v>
      </c>
    </row>
    <row r="834" spans="1:15">
      <c r="A834" s="86">
        <v>44781</v>
      </c>
      <c r="B834" s="82">
        <f t="shared" si="55"/>
        <v>8</v>
      </c>
      <c r="C834">
        <f t="shared" si="54"/>
        <v>2022</v>
      </c>
      <c r="D834" s="86"/>
      <c r="E834" s="84" t="s">
        <v>97</v>
      </c>
      <c r="G834" s="44">
        <v>2832624</v>
      </c>
      <c r="H834" s="44">
        <f t="shared" si="56"/>
        <v>-2832624</v>
      </c>
      <c r="L834" s="29" t="s">
        <v>14</v>
      </c>
      <c r="M834" s="29" t="s">
        <v>39</v>
      </c>
    </row>
    <row r="835" spans="1:15">
      <c r="A835" s="86">
        <v>44781</v>
      </c>
      <c r="B835" s="82">
        <f t="shared" si="55"/>
        <v>8</v>
      </c>
      <c r="C835">
        <f t="shared" si="54"/>
        <v>2022</v>
      </c>
      <c r="E835" s="84" t="s">
        <v>150</v>
      </c>
      <c r="F835" s="44">
        <v>2832624</v>
      </c>
      <c r="H835" s="44">
        <f t="shared" si="56"/>
        <v>2832624</v>
      </c>
      <c r="L835" s="29" t="s">
        <v>14</v>
      </c>
      <c r="M835" s="29" t="s">
        <v>39</v>
      </c>
    </row>
    <row r="836" spans="1:15">
      <c r="A836" s="86">
        <v>44781</v>
      </c>
      <c r="B836" s="82">
        <f t="shared" si="55"/>
        <v>8</v>
      </c>
      <c r="C836">
        <f t="shared" si="54"/>
        <v>2022</v>
      </c>
      <c r="E836" s="84" t="s">
        <v>81</v>
      </c>
      <c r="F836" s="44">
        <v>729079.2</v>
      </c>
      <c r="H836" s="44">
        <f t="shared" si="56"/>
        <v>729079.2</v>
      </c>
      <c r="L836" t="str">
        <f>VLOOKUP(M836,Reference!$A$16:$B$21,2,0)</f>
        <v>Supplier A</v>
      </c>
      <c r="M836" t="s">
        <v>3</v>
      </c>
      <c r="N836" t="str">
        <f t="shared" ref="N836:N841" si="57">L836</f>
        <v>Supplier A</v>
      </c>
      <c r="O836" t="str">
        <f t="shared" ref="O836:O841" si="58">M836</f>
        <v>Component 1</v>
      </c>
    </row>
    <row r="837" spans="1:15">
      <c r="A837" s="86">
        <v>44781</v>
      </c>
      <c r="B837" s="82">
        <f t="shared" si="55"/>
        <v>8</v>
      </c>
      <c r="C837">
        <f t="shared" si="54"/>
        <v>2022</v>
      </c>
      <c r="E837" s="84" t="s">
        <v>81</v>
      </c>
      <c r="F837" s="44">
        <v>822659.91999999993</v>
      </c>
      <c r="H837" s="44">
        <f t="shared" si="56"/>
        <v>822659.91999999993</v>
      </c>
      <c r="L837" t="str">
        <f>VLOOKUP(M837,Reference!$A$16:$B$21,2,0)</f>
        <v>Supplier A</v>
      </c>
      <c r="M837" t="s">
        <v>4</v>
      </c>
      <c r="N837" t="str">
        <f t="shared" si="57"/>
        <v>Supplier A</v>
      </c>
      <c r="O837" t="str">
        <f t="shared" si="58"/>
        <v>Component 2</v>
      </c>
    </row>
    <row r="838" spans="1:15">
      <c r="A838" s="86">
        <v>44781</v>
      </c>
      <c r="B838" s="82">
        <f t="shared" si="55"/>
        <v>8</v>
      </c>
      <c r="C838">
        <f t="shared" si="54"/>
        <v>2022</v>
      </c>
      <c r="E838" s="84" t="s">
        <v>81</v>
      </c>
      <c r="F838" s="44">
        <v>1968576.92</v>
      </c>
      <c r="H838" s="44">
        <f t="shared" si="56"/>
        <v>1968576.92</v>
      </c>
      <c r="L838" t="str">
        <f>VLOOKUP(M838,Reference!$A$16:$B$21,2,0)</f>
        <v>Supplier A</v>
      </c>
      <c r="M838" t="s">
        <v>5</v>
      </c>
      <c r="N838" t="str">
        <f t="shared" si="57"/>
        <v>Supplier A</v>
      </c>
      <c r="O838" t="str">
        <f t="shared" si="58"/>
        <v>Component 3</v>
      </c>
    </row>
    <row r="839" spans="1:15">
      <c r="A839" s="86">
        <v>44781</v>
      </c>
      <c r="B839" s="82">
        <f t="shared" si="55"/>
        <v>8</v>
      </c>
      <c r="C839">
        <f t="shared" si="54"/>
        <v>2022</v>
      </c>
      <c r="E839" s="84" t="s">
        <v>81</v>
      </c>
      <c r="F839" s="44">
        <v>2143001</v>
      </c>
      <c r="H839" s="44">
        <f t="shared" si="56"/>
        <v>2143001</v>
      </c>
      <c r="L839" t="str">
        <f>VLOOKUP(M839,Reference!$A$16:$B$21,2,0)</f>
        <v>Supplier B</v>
      </c>
      <c r="M839" t="s">
        <v>6</v>
      </c>
      <c r="N839" t="str">
        <f t="shared" si="57"/>
        <v>Supplier B</v>
      </c>
      <c r="O839" t="str">
        <f t="shared" si="58"/>
        <v>Component 4</v>
      </c>
    </row>
    <row r="840" spans="1:15">
      <c r="A840" s="86">
        <v>44781</v>
      </c>
      <c r="B840" s="82">
        <f t="shared" si="55"/>
        <v>8</v>
      </c>
      <c r="C840">
        <f t="shared" si="54"/>
        <v>2022</v>
      </c>
      <c r="E840" s="84" t="s">
        <v>81</v>
      </c>
      <c r="F840" s="44">
        <v>917779.70000000007</v>
      </c>
      <c r="H840" s="44">
        <f t="shared" si="56"/>
        <v>917779.70000000007</v>
      </c>
      <c r="L840" t="str">
        <f>VLOOKUP(M840,Reference!$A$16:$B$21,2,0)</f>
        <v>Supplier D</v>
      </c>
      <c r="M840" t="s">
        <v>11</v>
      </c>
      <c r="N840" t="str">
        <f t="shared" si="57"/>
        <v>Supplier D</v>
      </c>
      <c r="O840" t="str">
        <f t="shared" si="58"/>
        <v>Component 5</v>
      </c>
    </row>
    <row r="841" spans="1:15">
      <c r="A841" s="86">
        <v>44781</v>
      </c>
      <c r="B841" s="82">
        <f t="shared" si="55"/>
        <v>8</v>
      </c>
      <c r="C841">
        <f t="shared" si="54"/>
        <v>2022</v>
      </c>
      <c r="E841" s="84" t="s">
        <v>81</v>
      </c>
      <c r="F841" s="44">
        <v>2131550</v>
      </c>
      <c r="H841" s="44">
        <f t="shared" si="56"/>
        <v>2131550</v>
      </c>
      <c r="L841" t="str">
        <f>VLOOKUP(M841,Reference!$A$16:$B$21,2,0)</f>
        <v>Supplier D</v>
      </c>
      <c r="M841" t="s">
        <v>12</v>
      </c>
      <c r="N841" t="str">
        <f t="shared" si="57"/>
        <v>Supplier D</v>
      </c>
      <c r="O841" t="str">
        <f t="shared" si="58"/>
        <v>Component 6</v>
      </c>
    </row>
    <row r="842" spans="1:15">
      <c r="A842" s="86">
        <v>44781</v>
      </c>
      <c r="B842" s="82">
        <f t="shared" si="55"/>
        <v>8</v>
      </c>
      <c r="C842">
        <f t="shared" si="54"/>
        <v>2022</v>
      </c>
      <c r="E842" s="84" t="s">
        <v>143</v>
      </c>
      <c r="G842" s="44">
        <v>729079.2</v>
      </c>
      <c r="H842" s="44">
        <f t="shared" si="56"/>
        <v>-729079.2</v>
      </c>
      <c r="J842"/>
      <c r="M842" t="s">
        <v>3</v>
      </c>
    </row>
    <row r="843" spans="1:15">
      <c r="A843" s="86">
        <v>44781</v>
      </c>
      <c r="B843" s="82">
        <f t="shared" si="55"/>
        <v>8</v>
      </c>
      <c r="C843">
        <f t="shared" si="54"/>
        <v>2022</v>
      </c>
      <c r="E843" s="84" t="s">
        <v>143</v>
      </c>
      <c r="G843" s="44">
        <v>822659.91999999993</v>
      </c>
      <c r="H843" s="44">
        <f t="shared" si="56"/>
        <v>-822659.91999999993</v>
      </c>
      <c r="J843"/>
      <c r="M843" t="s">
        <v>4</v>
      </c>
    </row>
    <row r="844" spans="1:15">
      <c r="A844" s="86">
        <v>44781</v>
      </c>
      <c r="B844" s="82">
        <f t="shared" si="55"/>
        <v>8</v>
      </c>
      <c r="C844">
        <f t="shared" si="54"/>
        <v>2022</v>
      </c>
      <c r="E844" s="84" t="s">
        <v>143</v>
      </c>
      <c r="G844" s="44">
        <v>1968576.92</v>
      </c>
      <c r="H844" s="44">
        <f t="shared" si="56"/>
        <v>-1968576.92</v>
      </c>
      <c r="J844"/>
      <c r="M844" t="s">
        <v>5</v>
      </c>
    </row>
    <row r="845" spans="1:15">
      <c r="A845" s="86">
        <v>44781</v>
      </c>
      <c r="B845" s="82">
        <f t="shared" si="55"/>
        <v>8</v>
      </c>
      <c r="C845">
        <f t="shared" ref="C845:C908" si="59">YEAR(A845)</f>
        <v>2022</v>
      </c>
      <c r="E845" s="84" t="s">
        <v>143</v>
      </c>
      <c r="G845" s="44">
        <v>2143001</v>
      </c>
      <c r="H845" s="44">
        <f t="shared" si="56"/>
        <v>-2143001</v>
      </c>
      <c r="J845"/>
      <c r="M845" t="s">
        <v>6</v>
      </c>
    </row>
    <row r="846" spans="1:15">
      <c r="A846" s="86">
        <v>44781</v>
      </c>
      <c r="B846" s="82">
        <f t="shared" si="55"/>
        <v>8</v>
      </c>
      <c r="C846">
        <f t="shared" si="59"/>
        <v>2022</v>
      </c>
      <c r="E846" s="84" t="s">
        <v>143</v>
      </c>
      <c r="G846" s="44">
        <v>917779.70000000007</v>
      </c>
      <c r="H846" s="44">
        <f t="shared" si="56"/>
        <v>-917779.70000000007</v>
      </c>
      <c r="J846"/>
      <c r="M846" t="s">
        <v>11</v>
      </c>
    </row>
    <row r="847" spans="1:15">
      <c r="A847" s="86">
        <v>44781</v>
      </c>
      <c r="B847" s="82">
        <f t="shared" si="55"/>
        <v>8</v>
      </c>
      <c r="C847">
        <f t="shared" si="59"/>
        <v>2022</v>
      </c>
      <c r="E847" s="84" t="s">
        <v>143</v>
      </c>
      <c r="G847" s="44">
        <v>2131550</v>
      </c>
      <c r="H847" s="44">
        <f t="shared" si="56"/>
        <v>-2131550</v>
      </c>
      <c r="J847"/>
      <c r="M847" t="s">
        <v>12</v>
      </c>
    </row>
    <row r="848" spans="1:15">
      <c r="A848" s="86">
        <v>44781</v>
      </c>
      <c r="B848" s="82">
        <f t="shared" si="55"/>
        <v>8</v>
      </c>
      <c r="C848">
        <f t="shared" si="59"/>
        <v>2022</v>
      </c>
      <c r="E848" s="84" t="s">
        <v>67</v>
      </c>
      <c r="G848" s="44">
        <v>729079.2</v>
      </c>
      <c r="H848" s="44">
        <f t="shared" si="56"/>
        <v>-729079.2</v>
      </c>
      <c r="L848" t="s">
        <v>3</v>
      </c>
      <c r="M848" s="44" t="s">
        <v>123</v>
      </c>
    </row>
    <row r="849" spans="1:13">
      <c r="A849" s="86">
        <v>44781</v>
      </c>
      <c r="B849" s="82">
        <f t="shared" si="55"/>
        <v>8</v>
      </c>
      <c r="C849">
        <f t="shared" si="59"/>
        <v>2022</v>
      </c>
      <c r="E849" s="84" t="s">
        <v>67</v>
      </c>
      <c r="G849" s="44">
        <v>822659.91999999993</v>
      </c>
      <c r="H849" s="44">
        <f t="shared" si="56"/>
        <v>-822659.91999999993</v>
      </c>
      <c r="L849" t="s">
        <v>4</v>
      </c>
      <c r="M849" s="44" t="s">
        <v>123</v>
      </c>
    </row>
    <row r="850" spans="1:13">
      <c r="A850" s="86">
        <v>44781</v>
      </c>
      <c r="B850" s="82">
        <f t="shared" si="55"/>
        <v>8</v>
      </c>
      <c r="C850">
        <f t="shared" si="59"/>
        <v>2022</v>
      </c>
      <c r="E850" s="84" t="s">
        <v>67</v>
      </c>
      <c r="G850" s="44">
        <v>1968576.92</v>
      </c>
      <c r="H850" s="44">
        <f t="shared" si="56"/>
        <v>-1968576.92</v>
      </c>
      <c r="L850" t="s">
        <v>5</v>
      </c>
      <c r="M850" s="44" t="s">
        <v>123</v>
      </c>
    </row>
    <row r="851" spans="1:13">
      <c r="A851" s="86">
        <v>44781</v>
      </c>
      <c r="B851" s="82">
        <f t="shared" si="55"/>
        <v>8</v>
      </c>
      <c r="C851">
        <f t="shared" si="59"/>
        <v>2022</v>
      </c>
      <c r="E851" s="84" t="s">
        <v>67</v>
      </c>
      <c r="G851" s="44">
        <v>2143001</v>
      </c>
      <c r="H851" s="44">
        <f t="shared" si="56"/>
        <v>-2143001</v>
      </c>
      <c r="L851" t="s">
        <v>6</v>
      </c>
      <c r="M851" s="44" t="s">
        <v>124</v>
      </c>
    </row>
    <row r="852" spans="1:13">
      <c r="A852" s="86">
        <v>44781</v>
      </c>
      <c r="B852" s="82">
        <f t="shared" si="55"/>
        <v>8</v>
      </c>
      <c r="C852">
        <f t="shared" si="59"/>
        <v>2022</v>
      </c>
      <c r="E852" s="84" t="s">
        <v>67</v>
      </c>
      <c r="G852" s="44">
        <v>917779.70000000007</v>
      </c>
      <c r="H852" s="44">
        <f t="shared" si="56"/>
        <v>-917779.70000000007</v>
      </c>
      <c r="L852" t="s">
        <v>11</v>
      </c>
      <c r="M852" s="44" t="s">
        <v>125</v>
      </c>
    </row>
    <row r="853" spans="1:13">
      <c r="A853" s="86">
        <v>44781</v>
      </c>
      <c r="B853" s="82">
        <f t="shared" si="55"/>
        <v>8</v>
      </c>
      <c r="C853">
        <f t="shared" si="59"/>
        <v>2022</v>
      </c>
      <c r="E853" s="84" t="s">
        <v>67</v>
      </c>
      <c r="G853" s="44">
        <v>2131550</v>
      </c>
      <c r="H853" s="44">
        <f t="shared" si="56"/>
        <v>-2131550</v>
      </c>
      <c r="L853" t="s">
        <v>12</v>
      </c>
      <c r="M853" s="44" t="s">
        <v>125</v>
      </c>
    </row>
    <row r="854" spans="1:13">
      <c r="A854" s="86">
        <v>44782</v>
      </c>
      <c r="B854" s="82">
        <f t="shared" si="55"/>
        <v>8</v>
      </c>
      <c r="C854">
        <f t="shared" si="59"/>
        <v>2022</v>
      </c>
      <c r="E854" s="84" t="s">
        <v>97</v>
      </c>
      <c r="F854" s="44">
        <v>1654350</v>
      </c>
      <c r="H854" s="44">
        <f t="shared" si="56"/>
        <v>1654350</v>
      </c>
      <c r="L854" s="29" t="s">
        <v>14</v>
      </c>
      <c r="M854" s="29" t="s">
        <v>39</v>
      </c>
    </row>
    <row r="855" spans="1:13">
      <c r="A855" s="86">
        <v>44782</v>
      </c>
      <c r="B855" s="82">
        <f t="shared" ref="B855:B918" si="60">MONTH(A855)</f>
        <v>8</v>
      </c>
      <c r="C855">
        <f t="shared" si="59"/>
        <v>2022</v>
      </c>
      <c r="E855" s="84" t="s">
        <v>143</v>
      </c>
      <c r="F855" s="44">
        <v>1627946.5740000003</v>
      </c>
      <c r="H855" s="44">
        <f t="shared" ref="H855:H918" si="61">F855-G855</f>
        <v>1627946.5740000003</v>
      </c>
      <c r="I855"/>
      <c r="M855" t="s">
        <v>14</v>
      </c>
    </row>
    <row r="856" spans="1:13">
      <c r="A856" s="86">
        <v>44782</v>
      </c>
      <c r="B856" s="82">
        <f t="shared" si="60"/>
        <v>8</v>
      </c>
      <c r="C856">
        <f t="shared" si="59"/>
        <v>2022</v>
      </c>
      <c r="E856" s="84" t="s">
        <v>89</v>
      </c>
      <c r="F856" s="44">
        <v>4212716.9779999983</v>
      </c>
      <c r="H856" s="44">
        <f t="shared" si="61"/>
        <v>4212716.9779999983</v>
      </c>
      <c r="I856"/>
      <c r="J856"/>
      <c r="M856"/>
    </row>
    <row r="857" spans="1:13">
      <c r="A857" s="86">
        <v>44782</v>
      </c>
      <c r="B857" s="82">
        <f t="shared" si="60"/>
        <v>8</v>
      </c>
      <c r="C857">
        <f t="shared" si="59"/>
        <v>2022</v>
      </c>
      <c r="E857" s="84" t="s">
        <v>90</v>
      </c>
      <c r="F857" s="44">
        <v>2796030.5760000004</v>
      </c>
      <c r="H857" s="44">
        <f t="shared" si="61"/>
        <v>2796030.5760000004</v>
      </c>
      <c r="I857"/>
      <c r="J857"/>
      <c r="M857"/>
    </row>
    <row r="858" spans="1:13">
      <c r="A858" s="86">
        <v>44782</v>
      </c>
      <c r="B858" s="82">
        <f t="shared" si="60"/>
        <v>8</v>
      </c>
      <c r="C858">
        <f t="shared" si="59"/>
        <v>2022</v>
      </c>
      <c r="E858" s="84" t="s">
        <v>91</v>
      </c>
      <c r="F858" s="44">
        <v>1931375.3080000002</v>
      </c>
      <c r="H858" s="44">
        <f t="shared" si="61"/>
        <v>1931375.3080000002</v>
      </c>
      <c r="I858"/>
      <c r="J858"/>
      <c r="M858"/>
    </row>
    <row r="859" spans="1:13">
      <c r="A859" s="86">
        <v>44782</v>
      </c>
      <c r="B859" s="82">
        <f t="shared" si="60"/>
        <v>8</v>
      </c>
      <c r="C859">
        <f t="shared" si="59"/>
        <v>2022</v>
      </c>
      <c r="E859" s="84" t="s">
        <v>91</v>
      </c>
      <c r="G859" s="44">
        <v>1627946.5740000003</v>
      </c>
      <c r="H859" s="44">
        <f t="shared" si="61"/>
        <v>-1627946.5740000003</v>
      </c>
      <c r="I859"/>
      <c r="M859" t="s">
        <v>14</v>
      </c>
    </row>
    <row r="860" spans="1:13">
      <c r="A860" s="86">
        <v>44782</v>
      </c>
      <c r="B860" s="82">
        <f t="shared" si="60"/>
        <v>8</v>
      </c>
      <c r="C860">
        <f t="shared" si="59"/>
        <v>2022</v>
      </c>
      <c r="E860" s="84" t="s">
        <v>98</v>
      </c>
      <c r="G860" s="44">
        <v>1654350</v>
      </c>
      <c r="H860" s="44">
        <f t="shared" si="61"/>
        <v>-1654350</v>
      </c>
      <c r="L860" s="29" t="s">
        <v>14</v>
      </c>
      <c r="M860" s="29" t="s">
        <v>39</v>
      </c>
    </row>
    <row r="861" spans="1:13">
      <c r="A861" s="86">
        <v>44782</v>
      </c>
      <c r="B861" s="82">
        <f t="shared" si="60"/>
        <v>8</v>
      </c>
      <c r="C861">
        <f t="shared" si="59"/>
        <v>2022</v>
      </c>
      <c r="E861" s="84" t="s">
        <v>146</v>
      </c>
      <c r="G861" s="44">
        <v>227476.122</v>
      </c>
      <c r="H861" s="44">
        <f t="shared" si="61"/>
        <v>-227476.122</v>
      </c>
      <c r="I861"/>
      <c r="J861"/>
      <c r="M861"/>
    </row>
    <row r="862" spans="1:13">
      <c r="A862" s="86">
        <v>44784</v>
      </c>
      <c r="B862" s="82">
        <f t="shared" si="60"/>
        <v>8</v>
      </c>
      <c r="C862">
        <f t="shared" si="59"/>
        <v>2022</v>
      </c>
      <c r="E862" s="84" t="s">
        <v>97</v>
      </c>
      <c r="F862" s="44">
        <v>1299942</v>
      </c>
      <c r="H862" s="44">
        <f t="shared" si="61"/>
        <v>1299942</v>
      </c>
      <c r="L862" s="29" t="s">
        <v>2</v>
      </c>
      <c r="M862" s="29" t="s">
        <v>34</v>
      </c>
    </row>
    <row r="863" spans="1:13">
      <c r="A863" s="86">
        <v>44784</v>
      </c>
      <c r="B863" s="82">
        <f t="shared" si="60"/>
        <v>8</v>
      </c>
      <c r="C863">
        <f t="shared" si="59"/>
        <v>2022</v>
      </c>
      <c r="E863" s="84" t="s">
        <v>143</v>
      </c>
      <c r="F863" s="44">
        <v>1075011.9726666661</v>
      </c>
      <c r="H863" s="44">
        <f t="shared" si="61"/>
        <v>1075011.9726666661</v>
      </c>
      <c r="I863"/>
      <c r="M863" t="s">
        <v>2</v>
      </c>
    </row>
    <row r="864" spans="1:13">
      <c r="A864" s="86">
        <v>44784</v>
      </c>
      <c r="B864" s="82">
        <f t="shared" si="60"/>
        <v>8</v>
      </c>
      <c r="C864">
        <f t="shared" si="59"/>
        <v>2022</v>
      </c>
      <c r="E864" s="84" t="s">
        <v>89</v>
      </c>
      <c r="G864" s="44">
        <v>1075011.9726666661</v>
      </c>
      <c r="H864" s="44">
        <f t="shared" si="61"/>
        <v>-1075011.9726666661</v>
      </c>
      <c r="I864"/>
      <c r="M864" t="s">
        <v>2</v>
      </c>
    </row>
    <row r="865" spans="1:13">
      <c r="A865" s="86">
        <v>44784</v>
      </c>
      <c r="B865" s="82">
        <f t="shared" si="60"/>
        <v>8</v>
      </c>
      <c r="C865">
        <f t="shared" si="59"/>
        <v>2022</v>
      </c>
      <c r="E865" s="84" t="s">
        <v>98</v>
      </c>
      <c r="G865" s="44">
        <v>1299942</v>
      </c>
      <c r="H865" s="44">
        <f t="shared" si="61"/>
        <v>-1299942</v>
      </c>
      <c r="L865" s="29" t="s">
        <v>2</v>
      </c>
      <c r="M865" s="93" t="s">
        <v>34</v>
      </c>
    </row>
    <row r="866" spans="1:13">
      <c r="A866" s="86">
        <v>44785</v>
      </c>
      <c r="B866" s="82">
        <f t="shared" si="60"/>
        <v>8</v>
      </c>
      <c r="C866">
        <f t="shared" si="59"/>
        <v>2022</v>
      </c>
      <c r="D866" s="86"/>
      <c r="E866" s="84" t="s">
        <v>97</v>
      </c>
      <c r="G866" s="44">
        <v>804344</v>
      </c>
      <c r="H866" s="44">
        <f t="shared" si="61"/>
        <v>-804344</v>
      </c>
      <c r="L866" s="29" t="s">
        <v>2</v>
      </c>
      <c r="M866" s="29" t="s">
        <v>32</v>
      </c>
    </row>
    <row r="867" spans="1:13">
      <c r="A867" s="86">
        <v>44785</v>
      </c>
      <c r="B867" s="82">
        <f t="shared" si="60"/>
        <v>8</v>
      </c>
      <c r="C867">
        <f t="shared" si="59"/>
        <v>2022</v>
      </c>
      <c r="E867" s="84" t="s">
        <v>150</v>
      </c>
      <c r="F867" s="44">
        <v>804344</v>
      </c>
      <c r="H867" s="44">
        <f t="shared" si="61"/>
        <v>804344</v>
      </c>
      <c r="L867" s="29" t="s">
        <v>2</v>
      </c>
      <c r="M867" s="29" t="s">
        <v>32</v>
      </c>
    </row>
    <row r="868" spans="1:13">
      <c r="A868" s="86">
        <v>44787</v>
      </c>
      <c r="B868" s="82">
        <f t="shared" si="60"/>
        <v>8</v>
      </c>
      <c r="C868">
        <f t="shared" si="59"/>
        <v>2022</v>
      </c>
      <c r="E868" s="84" t="s">
        <v>97</v>
      </c>
      <c r="F868" s="44">
        <v>708324</v>
      </c>
      <c r="H868" s="44">
        <f t="shared" si="61"/>
        <v>708324</v>
      </c>
      <c r="L868" s="29" t="s">
        <v>10</v>
      </c>
      <c r="M868" s="29" t="s">
        <v>37</v>
      </c>
    </row>
    <row r="869" spans="1:13">
      <c r="A869" s="86">
        <v>44787</v>
      </c>
      <c r="B869" s="82">
        <f t="shared" si="60"/>
        <v>8</v>
      </c>
      <c r="C869">
        <f t="shared" si="59"/>
        <v>2022</v>
      </c>
      <c r="E869" s="84" t="s">
        <v>97</v>
      </c>
      <c r="F869" s="44">
        <v>1618086</v>
      </c>
      <c r="H869" s="44">
        <f t="shared" si="61"/>
        <v>1618086</v>
      </c>
      <c r="L869" s="29" t="s">
        <v>10</v>
      </c>
      <c r="M869" s="29" t="s">
        <v>38</v>
      </c>
    </row>
    <row r="870" spans="1:13">
      <c r="A870" s="86">
        <v>44787</v>
      </c>
      <c r="B870" s="82">
        <f t="shared" si="60"/>
        <v>8</v>
      </c>
      <c r="C870">
        <f t="shared" si="59"/>
        <v>2022</v>
      </c>
      <c r="E870" s="84" t="s">
        <v>143</v>
      </c>
      <c r="F870" s="44">
        <v>303428.73400000005</v>
      </c>
      <c r="H870" s="44">
        <f t="shared" si="61"/>
        <v>303428.73400000005</v>
      </c>
      <c r="I870"/>
      <c r="M870" t="s">
        <v>14</v>
      </c>
    </row>
    <row r="871" spans="1:13">
      <c r="A871" s="86">
        <v>44787</v>
      </c>
      <c r="B871" s="82">
        <f t="shared" si="60"/>
        <v>8</v>
      </c>
      <c r="C871">
        <f t="shared" si="59"/>
        <v>2022</v>
      </c>
      <c r="E871" s="84" t="s">
        <v>143</v>
      </c>
      <c r="F871" s="44">
        <v>464131.94400000008</v>
      </c>
      <c r="H871" s="44">
        <f t="shared" si="61"/>
        <v>464131.94400000008</v>
      </c>
      <c r="I871"/>
      <c r="M871" t="s">
        <v>10</v>
      </c>
    </row>
    <row r="872" spans="1:13">
      <c r="A872" s="86">
        <v>44787</v>
      </c>
      <c r="B872" s="82">
        <f t="shared" si="60"/>
        <v>8</v>
      </c>
      <c r="C872">
        <f t="shared" si="59"/>
        <v>2022</v>
      </c>
      <c r="E872" s="84" t="s">
        <v>143</v>
      </c>
      <c r="F872" s="44">
        <v>1164544.4520000003</v>
      </c>
      <c r="H872" s="44">
        <f t="shared" si="61"/>
        <v>1164544.4520000003</v>
      </c>
      <c r="I872"/>
      <c r="M872" t="s">
        <v>10</v>
      </c>
    </row>
    <row r="873" spans="1:13">
      <c r="A873" s="86">
        <v>44787</v>
      </c>
      <c r="B873" s="82">
        <f t="shared" si="60"/>
        <v>8</v>
      </c>
      <c r="C873">
        <f t="shared" si="59"/>
        <v>2022</v>
      </c>
      <c r="E873" s="84" t="s">
        <v>90</v>
      </c>
      <c r="G873" s="44">
        <v>464131.94400000008</v>
      </c>
      <c r="H873" s="44">
        <f t="shared" si="61"/>
        <v>-464131.94400000008</v>
      </c>
      <c r="I873"/>
      <c r="M873" t="s">
        <v>10</v>
      </c>
    </row>
    <row r="874" spans="1:13">
      <c r="A874" s="86">
        <v>44787</v>
      </c>
      <c r="B874" s="82">
        <f t="shared" si="60"/>
        <v>8</v>
      </c>
      <c r="C874">
        <f t="shared" si="59"/>
        <v>2022</v>
      </c>
      <c r="E874" s="84" t="s">
        <v>90</v>
      </c>
      <c r="G874" s="44">
        <v>1164544.4520000003</v>
      </c>
      <c r="H874" s="44">
        <f t="shared" si="61"/>
        <v>-1164544.4520000003</v>
      </c>
      <c r="I874"/>
      <c r="M874" t="s">
        <v>10</v>
      </c>
    </row>
    <row r="875" spans="1:13">
      <c r="A875" s="86">
        <v>44787</v>
      </c>
      <c r="B875" s="82">
        <f t="shared" si="60"/>
        <v>8</v>
      </c>
      <c r="C875">
        <f t="shared" si="59"/>
        <v>2022</v>
      </c>
      <c r="E875" s="84" t="s">
        <v>91</v>
      </c>
      <c r="G875" s="44">
        <v>303428.73400000005</v>
      </c>
      <c r="H875" s="44">
        <f t="shared" si="61"/>
        <v>-303428.73400000005</v>
      </c>
      <c r="I875"/>
      <c r="M875" t="s">
        <v>14</v>
      </c>
    </row>
    <row r="876" spans="1:13">
      <c r="A876" s="86">
        <v>44787</v>
      </c>
      <c r="B876" s="82">
        <f t="shared" si="60"/>
        <v>8</v>
      </c>
      <c r="C876">
        <f t="shared" si="59"/>
        <v>2022</v>
      </c>
      <c r="E876" s="84" t="s">
        <v>98</v>
      </c>
      <c r="G876" s="44">
        <v>444024</v>
      </c>
      <c r="H876" s="44">
        <f t="shared" si="61"/>
        <v>-444024</v>
      </c>
      <c r="L876" s="29" t="s">
        <v>14</v>
      </c>
      <c r="M876" s="93" t="s">
        <v>40</v>
      </c>
    </row>
    <row r="877" spans="1:13">
      <c r="A877" s="86">
        <v>44787</v>
      </c>
      <c r="B877" s="82">
        <f t="shared" si="60"/>
        <v>8</v>
      </c>
      <c r="C877">
        <f t="shared" si="59"/>
        <v>2022</v>
      </c>
      <c r="E877" s="84" t="s">
        <v>98</v>
      </c>
      <c r="G877" s="44">
        <v>708324</v>
      </c>
      <c r="H877" s="44">
        <f t="shared" si="61"/>
        <v>-708324</v>
      </c>
      <c r="L877" s="29" t="s">
        <v>10</v>
      </c>
      <c r="M877" s="93" t="s">
        <v>37</v>
      </c>
    </row>
    <row r="878" spans="1:13">
      <c r="A878" s="86">
        <v>44787</v>
      </c>
      <c r="B878" s="82">
        <f t="shared" si="60"/>
        <v>8</v>
      </c>
      <c r="C878">
        <f t="shared" si="59"/>
        <v>2022</v>
      </c>
      <c r="E878" s="84" t="s">
        <v>98</v>
      </c>
      <c r="G878" s="44">
        <v>1618086</v>
      </c>
      <c r="H878" s="44">
        <f t="shared" si="61"/>
        <v>-1618086</v>
      </c>
      <c r="L878" s="29" t="s">
        <v>10</v>
      </c>
      <c r="M878" s="93" t="s">
        <v>38</v>
      </c>
    </row>
    <row r="879" spans="1:13">
      <c r="A879" s="86">
        <v>44788</v>
      </c>
      <c r="B879" s="82">
        <f t="shared" si="60"/>
        <v>8</v>
      </c>
      <c r="C879">
        <f t="shared" si="59"/>
        <v>2022</v>
      </c>
      <c r="D879" s="86"/>
      <c r="E879" s="84" t="s">
        <v>68</v>
      </c>
      <c r="F879" s="44">
        <v>1870000</v>
      </c>
      <c r="H879" s="44">
        <f t="shared" si="61"/>
        <v>1870000</v>
      </c>
      <c r="L879" t="s">
        <v>12</v>
      </c>
      <c r="M879" s="44" t="s">
        <v>125</v>
      </c>
    </row>
    <row r="880" spans="1:13">
      <c r="A880" s="86">
        <v>44788</v>
      </c>
      <c r="B880" s="82">
        <f t="shared" si="60"/>
        <v>8</v>
      </c>
      <c r="C880">
        <f t="shared" si="59"/>
        <v>2022</v>
      </c>
      <c r="E880" s="84" t="s">
        <v>97</v>
      </c>
      <c r="F880" s="44">
        <v>1462450</v>
      </c>
      <c r="H880" s="44">
        <f t="shared" si="61"/>
        <v>1462450</v>
      </c>
      <c r="L880" s="29" t="s">
        <v>10</v>
      </c>
      <c r="M880" s="29" t="s">
        <v>36</v>
      </c>
    </row>
    <row r="881" spans="1:13">
      <c r="A881" s="86">
        <v>44788</v>
      </c>
      <c r="B881" s="82">
        <f t="shared" si="60"/>
        <v>8</v>
      </c>
      <c r="C881">
        <f t="shared" si="59"/>
        <v>2022</v>
      </c>
      <c r="E881" s="84" t="s">
        <v>97</v>
      </c>
      <c r="F881" s="44">
        <v>756884</v>
      </c>
      <c r="H881" s="44">
        <f t="shared" si="61"/>
        <v>756884</v>
      </c>
      <c r="L881" s="29" t="s">
        <v>2</v>
      </c>
      <c r="M881" s="29" t="s">
        <v>32</v>
      </c>
    </row>
    <row r="882" spans="1:13">
      <c r="A882" s="86">
        <v>44788</v>
      </c>
      <c r="B882" s="82">
        <f t="shared" si="60"/>
        <v>8</v>
      </c>
      <c r="C882">
        <f t="shared" si="59"/>
        <v>2022</v>
      </c>
      <c r="D882" s="86"/>
      <c r="E882" s="84" t="s">
        <v>150</v>
      </c>
      <c r="G882" s="44">
        <v>1870000</v>
      </c>
      <c r="H882" s="44">
        <f t="shared" si="61"/>
        <v>-1870000</v>
      </c>
      <c r="L882" t="s">
        <v>12</v>
      </c>
      <c r="M882" s="44" t="s">
        <v>125</v>
      </c>
    </row>
    <row r="883" spans="1:13">
      <c r="A883" s="86">
        <v>44788</v>
      </c>
      <c r="B883" s="82">
        <f t="shared" si="60"/>
        <v>8</v>
      </c>
      <c r="C883">
        <f t="shared" si="59"/>
        <v>2022</v>
      </c>
      <c r="E883" s="84" t="s">
        <v>143</v>
      </c>
      <c r="F883" s="44">
        <v>1167354.1800000002</v>
      </c>
      <c r="H883" s="44">
        <f t="shared" si="61"/>
        <v>1167354.1800000002</v>
      </c>
      <c r="I883"/>
      <c r="M883" t="s">
        <v>10</v>
      </c>
    </row>
    <row r="884" spans="1:13">
      <c r="A884" s="86">
        <v>44788</v>
      </c>
      <c r="B884" s="82">
        <f t="shared" si="60"/>
        <v>8</v>
      </c>
      <c r="C884">
        <f t="shared" si="59"/>
        <v>2022</v>
      </c>
      <c r="E884" s="84" t="s">
        <v>143</v>
      </c>
      <c r="F884" s="44">
        <v>676292.30800000008</v>
      </c>
      <c r="H884" s="44">
        <f t="shared" si="61"/>
        <v>676292.30800000008</v>
      </c>
      <c r="I884"/>
      <c r="M884" t="s">
        <v>2</v>
      </c>
    </row>
    <row r="885" spans="1:13">
      <c r="A885" s="86">
        <v>44788</v>
      </c>
      <c r="B885" s="82">
        <f t="shared" si="60"/>
        <v>8</v>
      </c>
      <c r="C885">
        <f t="shared" si="59"/>
        <v>2022</v>
      </c>
      <c r="E885" s="84" t="s">
        <v>89</v>
      </c>
      <c r="G885" s="44">
        <v>676292.30800000008</v>
      </c>
      <c r="H885" s="44">
        <f t="shared" si="61"/>
        <v>-676292.30800000008</v>
      </c>
      <c r="I885"/>
      <c r="M885" t="s">
        <v>2</v>
      </c>
    </row>
    <row r="886" spans="1:13">
      <c r="A886" s="86">
        <v>44788</v>
      </c>
      <c r="B886" s="82">
        <f t="shared" si="60"/>
        <v>8</v>
      </c>
      <c r="C886">
        <f t="shared" si="59"/>
        <v>2022</v>
      </c>
      <c r="E886" s="84" t="s">
        <v>90</v>
      </c>
      <c r="G886" s="44">
        <v>1167354.1800000002</v>
      </c>
      <c r="H886" s="44">
        <f t="shared" si="61"/>
        <v>-1167354.1800000002</v>
      </c>
      <c r="I886"/>
      <c r="M886" t="s">
        <v>10</v>
      </c>
    </row>
    <row r="887" spans="1:13">
      <c r="A887" s="86">
        <v>44788</v>
      </c>
      <c r="B887" s="82">
        <f t="shared" si="60"/>
        <v>8</v>
      </c>
      <c r="C887">
        <f t="shared" si="59"/>
        <v>2022</v>
      </c>
      <c r="E887" s="84" t="s">
        <v>98</v>
      </c>
      <c r="G887" s="44">
        <v>1462450</v>
      </c>
      <c r="H887" s="44">
        <f t="shared" si="61"/>
        <v>-1462450</v>
      </c>
      <c r="L887" s="29" t="s">
        <v>10</v>
      </c>
      <c r="M887" s="93" t="s">
        <v>36</v>
      </c>
    </row>
    <row r="888" spans="1:13">
      <c r="A888" s="86">
        <v>44788</v>
      </c>
      <c r="B888" s="82">
        <f t="shared" si="60"/>
        <v>8</v>
      </c>
      <c r="C888">
        <f t="shared" si="59"/>
        <v>2022</v>
      </c>
      <c r="E888" s="84" t="s">
        <v>98</v>
      </c>
      <c r="G888" s="44">
        <v>756884</v>
      </c>
      <c r="H888" s="44">
        <f t="shared" si="61"/>
        <v>-756884</v>
      </c>
      <c r="L888" s="29" t="s">
        <v>2</v>
      </c>
      <c r="M888" s="93" t="s">
        <v>32</v>
      </c>
    </row>
    <row r="889" spans="1:13">
      <c r="A889" s="86">
        <v>44790</v>
      </c>
      <c r="B889" s="82">
        <f t="shared" si="60"/>
        <v>8</v>
      </c>
      <c r="C889">
        <f t="shared" si="59"/>
        <v>2022</v>
      </c>
      <c r="E889" s="84" t="s">
        <v>97</v>
      </c>
      <c r="F889" s="44">
        <v>605178</v>
      </c>
      <c r="H889" s="44">
        <f t="shared" si="61"/>
        <v>605178</v>
      </c>
      <c r="L889" s="29" t="s">
        <v>2</v>
      </c>
      <c r="M889" s="29" t="s">
        <v>35</v>
      </c>
    </row>
    <row r="890" spans="1:13">
      <c r="A890" s="86">
        <v>44790</v>
      </c>
      <c r="B890" s="82">
        <f t="shared" si="60"/>
        <v>8</v>
      </c>
      <c r="C890">
        <f t="shared" si="59"/>
        <v>2022</v>
      </c>
      <c r="D890" s="86"/>
      <c r="E890" s="84" t="s">
        <v>97</v>
      </c>
      <c r="G890" s="44">
        <v>3504204</v>
      </c>
      <c r="H890" s="44">
        <f t="shared" si="61"/>
        <v>-3504204</v>
      </c>
      <c r="L890" s="29" t="s">
        <v>14</v>
      </c>
      <c r="M890" s="29" t="s">
        <v>39</v>
      </c>
    </row>
    <row r="891" spans="1:13">
      <c r="A891" s="86">
        <v>44790</v>
      </c>
      <c r="B891" s="82">
        <f t="shared" si="60"/>
        <v>8</v>
      </c>
      <c r="C891">
        <f t="shared" si="59"/>
        <v>2022</v>
      </c>
      <c r="D891" s="86"/>
      <c r="E891" s="84" t="s">
        <v>97</v>
      </c>
      <c r="G891" s="44">
        <v>600600</v>
      </c>
      <c r="H891" s="44">
        <f t="shared" si="61"/>
        <v>-600600</v>
      </c>
      <c r="L891" s="29" t="s">
        <v>2</v>
      </c>
      <c r="M891" s="29" t="s">
        <v>35</v>
      </c>
    </row>
    <row r="892" spans="1:13">
      <c r="A892" s="86">
        <v>44790</v>
      </c>
      <c r="B892" s="82">
        <f t="shared" si="60"/>
        <v>8</v>
      </c>
      <c r="C892">
        <f t="shared" si="59"/>
        <v>2022</v>
      </c>
      <c r="E892" s="84" t="s">
        <v>150</v>
      </c>
      <c r="F892" s="44">
        <v>3504204</v>
      </c>
      <c r="H892" s="44">
        <f t="shared" si="61"/>
        <v>3504204</v>
      </c>
      <c r="L892" s="29" t="s">
        <v>14</v>
      </c>
      <c r="M892" s="29" t="s">
        <v>39</v>
      </c>
    </row>
    <row r="893" spans="1:13">
      <c r="A893" s="86">
        <v>44790</v>
      </c>
      <c r="B893" s="82">
        <f t="shared" si="60"/>
        <v>8</v>
      </c>
      <c r="C893">
        <f t="shared" si="59"/>
        <v>2022</v>
      </c>
      <c r="E893" s="84" t="s">
        <v>150</v>
      </c>
      <c r="F893" s="44">
        <v>600600</v>
      </c>
      <c r="H893" s="44">
        <f t="shared" si="61"/>
        <v>600600</v>
      </c>
      <c r="L893" s="29" t="s">
        <v>2</v>
      </c>
      <c r="M893" s="29" t="s">
        <v>35</v>
      </c>
    </row>
    <row r="894" spans="1:13">
      <c r="A894" s="86">
        <v>44790</v>
      </c>
      <c r="B894" s="82">
        <f t="shared" si="60"/>
        <v>8</v>
      </c>
      <c r="C894">
        <f t="shared" si="59"/>
        <v>2022</v>
      </c>
      <c r="E894" s="84" t="s">
        <v>143</v>
      </c>
      <c r="F894" s="44">
        <v>480389.33866666612</v>
      </c>
      <c r="H894" s="44">
        <f t="shared" si="61"/>
        <v>480389.33866666612</v>
      </c>
      <c r="I894"/>
      <c r="M894" t="s">
        <v>2</v>
      </c>
    </row>
    <row r="895" spans="1:13">
      <c r="A895" s="86">
        <v>44790</v>
      </c>
      <c r="B895" s="82">
        <f t="shared" si="60"/>
        <v>8</v>
      </c>
      <c r="C895">
        <f t="shared" si="59"/>
        <v>2022</v>
      </c>
      <c r="E895" s="84" t="s">
        <v>89</v>
      </c>
      <c r="G895" s="44">
        <v>480389.33866666612</v>
      </c>
      <c r="H895" s="44">
        <f t="shared" si="61"/>
        <v>-480389.33866666612</v>
      </c>
      <c r="I895"/>
      <c r="M895" t="s">
        <v>2</v>
      </c>
    </row>
    <row r="896" spans="1:13">
      <c r="A896" s="86">
        <v>44790</v>
      </c>
      <c r="B896" s="82">
        <f t="shared" si="60"/>
        <v>8</v>
      </c>
      <c r="C896">
        <f t="shared" si="59"/>
        <v>2022</v>
      </c>
      <c r="E896" s="84" t="s">
        <v>98</v>
      </c>
      <c r="G896" s="44">
        <v>605178</v>
      </c>
      <c r="H896" s="44">
        <f t="shared" si="61"/>
        <v>-605178</v>
      </c>
      <c r="L896" s="29" t="s">
        <v>2</v>
      </c>
      <c r="M896" s="93" t="s">
        <v>35</v>
      </c>
    </row>
    <row r="897" spans="1:13">
      <c r="A897" s="86">
        <v>44791</v>
      </c>
      <c r="B897" s="82">
        <f t="shared" si="60"/>
        <v>8</v>
      </c>
      <c r="C897">
        <f t="shared" si="59"/>
        <v>2022</v>
      </c>
      <c r="D897" s="86"/>
      <c r="E897" s="84" t="s">
        <v>68</v>
      </c>
      <c r="F897" s="44">
        <v>900000</v>
      </c>
      <c r="H897" s="44">
        <f t="shared" si="61"/>
        <v>900000</v>
      </c>
      <c r="L897" t="s">
        <v>4</v>
      </c>
      <c r="M897" s="44" t="s">
        <v>123</v>
      </c>
    </row>
    <row r="898" spans="1:13">
      <c r="A898" s="86">
        <v>44791</v>
      </c>
      <c r="B898" s="82">
        <f t="shared" si="60"/>
        <v>8</v>
      </c>
      <c r="C898">
        <f t="shared" si="59"/>
        <v>2022</v>
      </c>
      <c r="D898" s="86"/>
      <c r="E898" s="84" t="s">
        <v>97</v>
      </c>
      <c r="G898" s="44">
        <v>846009</v>
      </c>
      <c r="H898" s="44">
        <f t="shared" si="61"/>
        <v>-846009</v>
      </c>
      <c r="L898" s="29" t="s">
        <v>10</v>
      </c>
      <c r="M898" s="29" t="s">
        <v>36</v>
      </c>
    </row>
    <row r="899" spans="1:13">
      <c r="A899" s="86">
        <v>44791</v>
      </c>
      <c r="B899" s="82">
        <f t="shared" si="60"/>
        <v>8</v>
      </c>
      <c r="C899">
        <f t="shared" si="59"/>
        <v>2022</v>
      </c>
      <c r="D899" s="86"/>
      <c r="E899" s="84" t="s">
        <v>150</v>
      </c>
      <c r="G899" s="44">
        <v>900000</v>
      </c>
      <c r="H899" s="44">
        <f t="shared" si="61"/>
        <v>-900000</v>
      </c>
      <c r="L899" t="s">
        <v>4</v>
      </c>
      <c r="M899" s="44" t="s">
        <v>123</v>
      </c>
    </row>
    <row r="900" spans="1:13">
      <c r="A900" s="86">
        <v>44791</v>
      </c>
      <c r="B900" s="82">
        <f t="shared" si="60"/>
        <v>8</v>
      </c>
      <c r="C900">
        <f t="shared" si="59"/>
        <v>2022</v>
      </c>
      <c r="E900" s="84" t="s">
        <v>150</v>
      </c>
      <c r="F900" s="44">
        <v>846009</v>
      </c>
      <c r="H900" s="44">
        <f t="shared" si="61"/>
        <v>846009</v>
      </c>
      <c r="L900" s="29" t="s">
        <v>10</v>
      </c>
      <c r="M900" s="29" t="s">
        <v>36</v>
      </c>
    </row>
    <row r="901" spans="1:13">
      <c r="A901" s="86">
        <v>44793</v>
      </c>
      <c r="B901" s="82">
        <f t="shared" si="60"/>
        <v>8</v>
      </c>
      <c r="C901">
        <f t="shared" si="59"/>
        <v>2022</v>
      </c>
      <c r="D901" s="86"/>
      <c r="E901" s="84" t="s">
        <v>68</v>
      </c>
      <c r="F901" s="44">
        <v>810000</v>
      </c>
      <c r="H901" s="44">
        <f t="shared" si="61"/>
        <v>810000</v>
      </c>
      <c r="L901" t="s">
        <v>4</v>
      </c>
      <c r="M901" s="44" t="s">
        <v>123</v>
      </c>
    </row>
    <row r="902" spans="1:13">
      <c r="A902" s="86">
        <v>44793</v>
      </c>
      <c r="B902" s="82">
        <f t="shared" si="60"/>
        <v>8</v>
      </c>
      <c r="C902">
        <f t="shared" si="59"/>
        <v>2022</v>
      </c>
      <c r="D902" s="86"/>
      <c r="E902" s="84" t="s">
        <v>150</v>
      </c>
      <c r="G902" s="44">
        <v>810000</v>
      </c>
      <c r="H902" s="44">
        <f t="shared" si="61"/>
        <v>-810000</v>
      </c>
      <c r="L902" t="s">
        <v>4</v>
      </c>
      <c r="M902" s="44" t="s">
        <v>123</v>
      </c>
    </row>
    <row r="903" spans="1:13">
      <c r="A903" s="86">
        <v>44798</v>
      </c>
      <c r="B903" s="82">
        <f t="shared" si="60"/>
        <v>8</v>
      </c>
      <c r="C903">
        <f t="shared" si="59"/>
        <v>2022</v>
      </c>
      <c r="E903" s="84" t="s">
        <v>97</v>
      </c>
      <c r="F903" s="44">
        <v>1355424</v>
      </c>
      <c r="H903" s="44">
        <f t="shared" si="61"/>
        <v>1355424</v>
      </c>
      <c r="L903" s="29" t="s">
        <v>2</v>
      </c>
      <c r="M903" s="29" t="s">
        <v>31</v>
      </c>
    </row>
    <row r="904" spans="1:13">
      <c r="A904" s="86">
        <v>44741</v>
      </c>
      <c r="B904" s="82">
        <f t="shared" si="60"/>
        <v>6</v>
      </c>
      <c r="C904">
        <f t="shared" si="59"/>
        <v>2022</v>
      </c>
      <c r="E904" s="84" t="s">
        <v>97</v>
      </c>
      <c r="F904" s="44">
        <v>1584380</v>
      </c>
      <c r="H904" s="44">
        <f t="shared" si="61"/>
        <v>1584380</v>
      </c>
      <c r="L904" s="29" t="s">
        <v>14</v>
      </c>
      <c r="M904" s="29" t="s">
        <v>40</v>
      </c>
    </row>
    <row r="905" spans="1:13">
      <c r="A905" s="86">
        <v>44798</v>
      </c>
      <c r="B905" s="82">
        <f t="shared" si="60"/>
        <v>8</v>
      </c>
      <c r="C905">
        <f t="shared" si="59"/>
        <v>2022</v>
      </c>
      <c r="E905" s="84" t="s">
        <v>150</v>
      </c>
      <c r="F905" s="44">
        <v>173788</v>
      </c>
      <c r="H905" s="44">
        <f t="shared" si="61"/>
        <v>173788</v>
      </c>
      <c r="L905" s="29" t="s">
        <v>14</v>
      </c>
      <c r="M905" s="29" t="s">
        <v>40</v>
      </c>
    </row>
    <row r="906" spans="1:13">
      <c r="A906" s="86">
        <v>44798</v>
      </c>
      <c r="B906" s="82">
        <f t="shared" si="60"/>
        <v>8</v>
      </c>
      <c r="C906">
        <f t="shared" si="59"/>
        <v>2022</v>
      </c>
      <c r="E906" s="84" t="s">
        <v>143</v>
      </c>
      <c r="F906" s="44">
        <v>1160638.2760000001</v>
      </c>
      <c r="H906" s="44">
        <f t="shared" si="61"/>
        <v>1160638.2760000001</v>
      </c>
      <c r="I906"/>
      <c r="M906" t="s">
        <v>2</v>
      </c>
    </row>
    <row r="907" spans="1:13">
      <c r="A907" s="86">
        <v>44798</v>
      </c>
      <c r="B907" s="82">
        <f t="shared" si="60"/>
        <v>8</v>
      </c>
      <c r="C907">
        <f t="shared" si="59"/>
        <v>2022</v>
      </c>
      <c r="E907" s="84" t="s">
        <v>89</v>
      </c>
      <c r="G907" s="44">
        <v>1160638.2760000001</v>
      </c>
      <c r="H907" s="44">
        <f t="shared" si="61"/>
        <v>-1160638.2760000001</v>
      </c>
      <c r="I907"/>
      <c r="M907" t="s">
        <v>2</v>
      </c>
    </row>
    <row r="908" spans="1:13">
      <c r="A908" s="86">
        <v>44798</v>
      </c>
      <c r="B908" s="82">
        <f t="shared" si="60"/>
        <v>8</v>
      </c>
      <c r="C908">
        <f t="shared" si="59"/>
        <v>2022</v>
      </c>
      <c r="E908" s="84" t="s">
        <v>98</v>
      </c>
      <c r="G908" s="44">
        <v>1355424</v>
      </c>
      <c r="H908" s="44">
        <f t="shared" si="61"/>
        <v>-1355424</v>
      </c>
      <c r="L908" s="29" t="s">
        <v>2</v>
      </c>
      <c r="M908" s="93" t="s">
        <v>31</v>
      </c>
    </row>
    <row r="909" spans="1:13">
      <c r="A909" s="86">
        <v>44800</v>
      </c>
      <c r="B909" s="82">
        <f t="shared" si="60"/>
        <v>8</v>
      </c>
      <c r="C909">
        <f t="shared" ref="C909:C972" si="62">YEAR(A909)</f>
        <v>2022</v>
      </c>
      <c r="E909" s="84" t="s">
        <v>97</v>
      </c>
      <c r="F909" s="44">
        <v>1162070</v>
      </c>
      <c r="H909" s="44">
        <f t="shared" si="61"/>
        <v>1162070</v>
      </c>
      <c r="L909" s="29" t="s">
        <v>2</v>
      </c>
      <c r="M909" s="29" t="s">
        <v>33</v>
      </c>
    </row>
    <row r="910" spans="1:13">
      <c r="A910" s="86">
        <v>44800</v>
      </c>
      <c r="B910" s="82">
        <f t="shared" si="60"/>
        <v>8</v>
      </c>
      <c r="C910">
        <f t="shared" si="62"/>
        <v>2022</v>
      </c>
      <c r="D910" s="86"/>
      <c r="E910" s="84" t="s">
        <v>97</v>
      </c>
      <c r="G910" s="44">
        <v>1338336</v>
      </c>
      <c r="H910" s="44">
        <f t="shared" si="61"/>
        <v>-1338336</v>
      </c>
      <c r="L910" s="29" t="s">
        <v>2</v>
      </c>
      <c r="M910" s="29" t="s">
        <v>35</v>
      </c>
    </row>
    <row r="911" spans="1:13">
      <c r="A911" s="86">
        <v>44800</v>
      </c>
      <c r="B911" s="82">
        <f t="shared" si="60"/>
        <v>8</v>
      </c>
      <c r="C911">
        <f t="shared" si="62"/>
        <v>2022</v>
      </c>
      <c r="E911" s="84" t="s">
        <v>150</v>
      </c>
      <c r="F911" s="44">
        <v>1338336</v>
      </c>
      <c r="H911" s="44">
        <f t="shared" si="61"/>
        <v>1338336</v>
      </c>
      <c r="L911" s="29" t="s">
        <v>2</v>
      </c>
      <c r="M911" s="29" t="s">
        <v>35</v>
      </c>
    </row>
    <row r="912" spans="1:13">
      <c r="A912" s="86">
        <v>44800</v>
      </c>
      <c r="B912" s="82">
        <f t="shared" si="60"/>
        <v>8</v>
      </c>
      <c r="C912">
        <f t="shared" si="62"/>
        <v>2022</v>
      </c>
      <c r="E912" s="84" t="s">
        <v>143</v>
      </c>
      <c r="F912" s="44">
        <v>820385.08266666613</v>
      </c>
      <c r="H912" s="44">
        <f t="shared" si="61"/>
        <v>820385.08266666613</v>
      </c>
      <c r="I912"/>
      <c r="M912" t="s">
        <v>2</v>
      </c>
    </row>
    <row r="913" spans="1:13">
      <c r="A913" s="86">
        <v>44800</v>
      </c>
      <c r="B913" s="82">
        <f t="shared" si="60"/>
        <v>8</v>
      </c>
      <c r="C913">
        <f t="shared" si="62"/>
        <v>2022</v>
      </c>
      <c r="E913" s="84" t="s">
        <v>89</v>
      </c>
      <c r="G913" s="44">
        <v>820385.08266666613</v>
      </c>
      <c r="H913" s="44">
        <f t="shared" si="61"/>
        <v>-820385.08266666613</v>
      </c>
      <c r="I913"/>
      <c r="M913" t="s">
        <v>2</v>
      </c>
    </row>
    <row r="914" spans="1:13">
      <c r="A914" s="86">
        <v>44800</v>
      </c>
      <c r="B914" s="82">
        <f t="shared" si="60"/>
        <v>8</v>
      </c>
      <c r="C914">
        <f t="shared" si="62"/>
        <v>2022</v>
      </c>
      <c r="E914" s="84" t="s">
        <v>98</v>
      </c>
      <c r="G914" s="44">
        <v>1162070</v>
      </c>
      <c r="H914" s="44">
        <f t="shared" si="61"/>
        <v>-1162070</v>
      </c>
      <c r="L914" s="29" t="s">
        <v>2</v>
      </c>
      <c r="M914" s="93" t="s">
        <v>33</v>
      </c>
    </row>
    <row r="915" spans="1:13">
      <c r="A915" s="86">
        <v>44802</v>
      </c>
      <c r="B915" s="82">
        <f t="shared" si="60"/>
        <v>8</v>
      </c>
      <c r="C915">
        <f t="shared" si="62"/>
        <v>2022</v>
      </c>
      <c r="D915" s="86"/>
      <c r="E915" s="84" t="s">
        <v>68</v>
      </c>
      <c r="F915" s="44">
        <v>884000</v>
      </c>
      <c r="H915" s="44">
        <f t="shared" si="61"/>
        <v>884000</v>
      </c>
      <c r="L915" t="s">
        <v>11</v>
      </c>
      <c r="M915" s="44" t="s">
        <v>125</v>
      </c>
    </row>
    <row r="916" spans="1:13">
      <c r="A916" s="86">
        <v>44802</v>
      </c>
      <c r="B916" s="82">
        <f t="shared" si="60"/>
        <v>8</v>
      </c>
      <c r="C916">
        <f t="shared" si="62"/>
        <v>2022</v>
      </c>
      <c r="D916" s="86"/>
      <c r="E916" s="84" t="s">
        <v>150</v>
      </c>
      <c r="G916" s="44">
        <v>884000</v>
      </c>
      <c r="H916" s="44">
        <f t="shared" si="61"/>
        <v>-884000</v>
      </c>
      <c r="L916" t="s">
        <v>11</v>
      </c>
      <c r="M916" s="44" t="s">
        <v>125</v>
      </c>
    </row>
    <row r="917" spans="1:13">
      <c r="A917" s="86">
        <v>44804</v>
      </c>
      <c r="B917" s="82">
        <f t="shared" si="60"/>
        <v>8</v>
      </c>
      <c r="C917">
        <f t="shared" si="62"/>
        <v>2022</v>
      </c>
      <c r="E917" s="84" t="s">
        <v>155</v>
      </c>
      <c r="F917" s="44">
        <v>803857</v>
      </c>
      <c r="H917" s="44">
        <f t="shared" si="61"/>
        <v>803857</v>
      </c>
      <c r="M917"/>
    </row>
    <row r="918" spans="1:13">
      <c r="A918" s="86">
        <v>44804</v>
      </c>
      <c r="B918" s="82">
        <f t="shared" si="60"/>
        <v>8</v>
      </c>
      <c r="C918">
        <f t="shared" si="62"/>
        <v>2022</v>
      </c>
      <c r="D918" s="86"/>
      <c r="E918" s="84" t="s">
        <v>150</v>
      </c>
      <c r="G918" s="44">
        <v>227476.122</v>
      </c>
      <c r="H918" s="44">
        <f t="shared" si="61"/>
        <v>-227476.122</v>
      </c>
      <c r="M918"/>
    </row>
    <row r="919" spans="1:13">
      <c r="A919" s="86">
        <v>44804</v>
      </c>
      <c r="B919" s="82">
        <f t="shared" ref="B919:B982" si="63">MONTH(A919)</f>
        <v>8</v>
      </c>
      <c r="C919">
        <f t="shared" si="62"/>
        <v>2022</v>
      </c>
      <c r="E919" s="84" t="s">
        <v>150</v>
      </c>
      <c r="G919" s="44">
        <v>1034305</v>
      </c>
      <c r="H919" s="44">
        <f t="shared" ref="H919:H982" si="64">F919-G919</f>
        <v>-1034305</v>
      </c>
      <c r="M919"/>
    </row>
    <row r="920" spans="1:13">
      <c r="A920" s="86">
        <v>44804</v>
      </c>
      <c r="B920" s="82">
        <f t="shared" si="63"/>
        <v>8</v>
      </c>
      <c r="C920">
        <f t="shared" si="62"/>
        <v>2022</v>
      </c>
      <c r="E920" s="84" t="s">
        <v>150</v>
      </c>
      <c r="G920" s="44">
        <v>804178</v>
      </c>
      <c r="H920" s="44">
        <f t="shared" si="64"/>
        <v>-804178</v>
      </c>
      <c r="M920"/>
    </row>
    <row r="921" spans="1:13">
      <c r="A921" s="86">
        <v>44804</v>
      </c>
      <c r="B921" s="82">
        <f t="shared" si="63"/>
        <v>8</v>
      </c>
      <c r="C921">
        <f t="shared" si="62"/>
        <v>2022</v>
      </c>
      <c r="E921" s="84" t="s">
        <v>150</v>
      </c>
      <c r="G921" s="44">
        <v>803857</v>
      </c>
      <c r="H921" s="44">
        <f t="shared" si="64"/>
        <v>-803857</v>
      </c>
      <c r="M921"/>
    </row>
    <row r="922" spans="1:13">
      <c r="A922" s="86">
        <v>44804</v>
      </c>
      <c r="B922" s="82">
        <f t="shared" si="63"/>
        <v>8</v>
      </c>
      <c r="C922">
        <f t="shared" si="62"/>
        <v>2022</v>
      </c>
      <c r="E922" s="84" t="s">
        <v>150</v>
      </c>
      <c r="F922" s="44">
        <v>1214125</v>
      </c>
      <c r="H922" s="44">
        <f t="shared" si="64"/>
        <v>1214125</v>
      </c>
      <c r="M922"/>
    </row>
    <row r="923" spans="1:13">
      <c r="A923" s="86">
        <v>44804</v>
      </c>
      <c r="B923" s="82">
        <f t="shared" si="63"/>
        <v>8</v>
      </c>
      <c r="C923">
        <f t="shared" si="62"/>
        <v>2022</v>
      </c>
      <c r="E923" s="84" t="s">
        <v>150</v>
      </c>
      <c r="G923" s="44">
        <v>1200455</v>
      </c>
      <c r="H923" s="44">
        <f t="shared" si="64"/>
        <v>-1200455</v>
      </c>
      <c r="M923"/>
    </row>
    <row r="924" spans="1:13">
      <c r="A924" s="86">
        <v>44804</v>
      </c>
      <c r="B924" s="82">
        <f t="shared" si="63"/>
        <v>8</v>
      </c>
      <c r="C924">
        <f t="shared" si="62"/>
        <v>2022</v>
      </c>
      <c r="E924" s="84" t="s">
        <v>154</v>
      </c>
      <c r="F924" s="44">
        <v>804178</v>
      </c>
      <c r="H924" s="44">
        <f t="shared" si="64"/>
        <v>804178</v>
      </c>
      <c r="M924"/>
    </row>
    <row r="925" spans="1:13">
      <c r="A925" s="86">
        <v>44804</v>
      </c>
      <c r="B925" s="82">
        <f t="shared" si="63"/>
        <v>8</v>
      </c>
      <c r="C925">
        <f t="shared" si="62"/>
        <v>2022</v>
      </c>
      <c r="E925" s="84" t="s">
        <v>159</v>
      </c>
      <c r="F925" s="44">
        <v>1200455</v>
      </c>
      <c r="H925" s="44">
        <f t="shared" si="64"/>
        <v>1200455</v>
      </c>
      <c r="M925"/>
    </row>
    <row r="926" spans="1:13">
      <c r="A926" s="86">
        <v>44804</v>
      </c>
      <c r="B926" s="82">
        <f t="shared" si="63"/>
        <v>8</v>
      </c>
      <c r="C926">
        <f t="shared" si="62"/>
        <v>2022</v>
      </c>
      <c r="E926" s="84" t="s">
        <v>158</v>
      </c>
      <c r="G926" s="44">
        <v>1214125</v>
      </c>
      <c r="H926" s="44">
        <f t="shared" si="64"/>
        <v>-1214125</v>
      </c>
      <c r="M926"/>
    </row>
    <row r="927" spans="1:13">
      <c r="A927" s="86">
        <v>44804</v>
      </c>
      <c r="B927" s="82">
        <f t="shared" si="63"/>
        <v>8</v>
      </c>
      <c r="C927">
        <f t="shared" si="62"/>
        <v>2022</v>
      </c>
      <c r="E927" s="84" t="s">
        <v>157</v>
      </c>
      <c r="F927" s="44">
        <v>1034305</v>
      </c>
      <c r="H927" s="44">
        <f t="shared" si="64"/>
        <v>1034305</v>
      </c>
      <c r="M927"/>
    </row>
    <row r="928" spans="1:13">
      <c r="A928" s="86">
        <v>44804</v>
      </c>
      <c r="B928" s="82">
        <f t="shared" si="63"/>
        <v>8</v>
      </c>
      <c r="C928">
        <f t="shared" si="62"/>
        <v>2022</v>
      </c>
      <c r="D928" s="86"/>
      <c r="E928" s="84" t="s">
        <v>146</v>
      </c>
      <c r="F928" s="44">
        <v>227476.122</v>
      </c>
      <c r="H928" s="44">
        <f t="shared" si="64"/>
        <v>227476.122</v>
      </c>
      <c r="M928"/>
    </row>
    <row r="929" spans="1:13">
      <c r="A929" s="86">
        <v>44805</v>
      </c>
      <c r="B929" s="82">
        <f t="shared" si="63"/>
        <v>9</v>
      </c>
      <c r="C929">
        <f t="shared" si="62"/>
        <v>2022</v>
      </c>
      <c r="D929" s="86"/>
      <c r="E929" s="84" t="s">
        <v>68</v>
      </c>
      <c r="F929" s="44">
        <v>2310000</v>
      </c>
      <c r="H929" s="44">
        <f t="shared" si="64"/>
        <v>2310000</v>
      </c>
      <c r="L929" t="s">
        <v>6</v>
      </c>
      <c r="M929" s="44" t="s">
        <v>124</v>
      </c>
    </row>
    <row r="930" spans="1:13">
      <c r="A930" s="86">
        <v>44805</v>
      </c>
      <c r="B930" s="82">
        <f t="shared" si="63"/>
        <v>9</v>
      </c>
      <c r="C930">
        <f t="shared" si="62"/>
        <v>2022</v>
      </c>
      <c r="D930" s="86"/>
      <c r="E930" s="84" t="s">
        <v>97</v>
      </c>
      <c r="G930" s="44">
        <v>1233648</v>
      </c>
      <c r="H930" s="44">
        <f t="shared" si="64"/>
        <v>-1233648</v>
      </c>
      <c r="L930" s="29" t="s">
        <v>2</v>
      </c>
      <c r="M930" s="29" t="s">
        <v>34</v>
      </c>
    </row>
    <row r="931" spans="1:13">
      <c r="A931" s="86">
        <v>44805</v>
      </c>
      <c r="B931" s="82">
        <f t="shared" si="63"/>
        <v>9</v>
      </c>
      <c r="C931">
        <f t="shared" si="62"/>
        <v>2022</v>
      </c>
      <c r="D931" s="86"/>
      <c r="E931" s="84" t="s">
        <v>150</v>
      </c>
      <c r="G931" s="44">
        <v>2310000</v>
      </c>
      <c r="H931" s="44">
        <f t="shared" si="64"/>
        <v>-2310000</v>
      </c>
      <c r="L931" t="s">
        <v>6</v>
      </c>
      <c r="M931" s="44" t="s">
        <v>124</v>
      </c>
    </row>
    <row r="932" spans="1:13">
      <c r="A932" s="86">
        <v>44805</v>
      </c>
      <c r="B932" s="82">
        <f t="shared" si="63"/>
        <v>9</v>
      </c>
      <c r="C932">
        <f t="shared" si="62"/>
        <v>2022</v>
      </c>
      <c r="E932" s="84" t="s">
        <v>150</v>
      </c>
      <c r="F932" s="44">
        <v>1233648</v>
      </c>
      <c r="H932" s="44">
        <f t="shared" si="64"/>
        <v>1233648</v>
      </c>
      <c r="L932" s="29" t="s">
        <v>2</v>
      </c>
      <c r="M932" s="29" t="s">
        <v>34</v>
      </c>
    </row>
    <row r="933" spans="1:13">
      <c r="A933" s="86">
        <v>44805</v>
      </c>
      <c r="B933" s="82">
        <f t="shared" si="63"/>
        <v>9</v>
      </c>
      <c r="C933">
        <f t="shared" si="62"/>
        <v>2022</v>
      </c>
      <c r="E933" s="44" t="s">
        <v>191</v>
      </c>
      <c r="F933" s="44">
        <v>6455000</v>
      </c>
      <c r="H933" s="44">
        <f t="shared" si="64"/>
        <v>6455000</v>
      </c>
      <c r="M933"/>
    </row>
    <row r="934" spans="1:13">
      <c r="A934" s="86">
        <v>44805</v>
      </c>
      <c r="B934" s="82">
        <f t="shared" si="63"/>
        <v>9</v>
      </c>
      <c r="C934">
        <f t="shared" si="62"/>
        <v>2022</v>
      </c>
      <c r="E934" s="44" t="s">
        <v>190</v>
      </c>
      <c r="F934" s="44">
        <v>9045000</v>
      </c>
      <c r="H934" s="44">
        <f t="shared" si="64"/>
        <v>9045000</v>
      </c>
      <c r="M934"/>
    </row>
    <row r="935" spans="1:13">
      <c r="A935" s="86">
        <v>44805</v>
      </c>
      <c r="B935" s="82">
        <f t="shared" si="63"/>
        <v>9</v>
      </c>
      <c r="C935">
        <f t="shared" si="62"/>
        <v>2022</v>
      </c>
      <c r="E935" t="s">
        <v>189</v>
      </c>
      <c r="F935" s="44">
        <v>45000000</v>
      </c>
      <c r="H935" s="44">
        <f t="shared" si="64"/>
        <v>45000000</v>
      </c>
      <c r="M935"/>
    </row>
    <row r="936" spans="1:13">
      <c r="A936" s="86">
        <v>44805</v>
      </c>
      <c r="B936" s="82">
        <f t="shared" si="63"/>
        <v>9</v>
      </c>
      <c r="C936">
        <f t="shared" si="62"/>
        <v>2022</v>
      </c>
      <c r="E936" s="44" t="s">
        <v>156</v>
      </c>
      <c r="G936" s="44">
        <v>50000000</v>
      </c>
      <c r="H936" s="44">
        <f t="shared" si="64"/>
        <v>-50000000</v>
      </c>
      <c r="M936"/>
    </row>
    <row r="937" spans="1:13">
      <c r="A937" s="86">
        <v>44805</v>
      </c>
      <c r="B937" s="82">
        <f t="shared" si="63"/>
        <v>9</v>
      </c>
      <c r="C937">
        <f t="shared" si="62"/>
        <v>2022</v>
      </c>
      <c r="E937" s="44" t="s">
        <v>192</v>
      </c>
      <c r="G937" s="44">
        <v>10500000</v>
      </c>
      <c r="H937" s="44">
        <f t="shared" si="64"/>
        <v>-10500000</v>
      </c>
      <c r="M937"/>
    </row>
    <row r="938" spans="1:13">
      <c r="A938" s="86">
        <v>44806</v>
      </c>
      <c r="B938" s="82">
        <f t="shared" si="63"/>
        <v>9</v>
      </c>
      <c r="C938">
        <f t="shared" si="62"/>
        <v>2022</v>
      </c>
      <c r="D938" s="86"/>
      <c r="E938" s="84" t="s">
        <v>68</v>
      </c>
      <c r="F938" s="44">
        <v>2210000</v>
      </c>
      <c r="H938" s="44">
        <f t="shared" si="64"/>
        <v>2210000</v>
      </c>
      <c r="L938" t="s">
        <v>5</v>
      </c>
      <c r="M938" s="44" t="s">
        <v>123</v>
      </c>
    </row>
    <row r="939" spans="1:13">
      <c r="A939" s="86">
        <v>44806</v>
      </c>
      <c r="B939" s="82">
        <f t="shared" si="63"/>
        <v>9</v>
      </c>
      <c r="C939">
        <f t="shared" si="62"/>
        <v>2022</v>
      </c>
      <c r="D939" s="86"/>
      <c r="E939" s="84" t="s">
        <v>68</v>
      </c>
      <c r="F939" s="44">
        <v>880000</v>
      </c>
      <c r="H939" s="44">
        <f t="shared" si="64"/>
        <v>880000</v>
      </c>
      <c r="L939" t="s">
        <v>11</v>
      </c>
      <c r="M939" s="44" t="s">
        <v>125</v>
      </c>
    </row>
    <row r="940" spans="1:13">
      <c r="A940" s="86">
        <v>44806</v>
      </c>
      <c r="B940" s="82">
        <f t="shared" si="63"/>
        <v>9</v>
      </c>
      <c r="C940">
        <f t="shared" si="62"/>
        <v>2022</v>
      </c>
      <c r="D940" s="86"/>
      <c r="E940" s="84" t="s">
        <v>150</v>
      </c>
      <c r="G940" s="44">
        <v>2210000</v>
      </c>
      <c r="H940" s="44">
        <f t="shared" si="64"/>
        <v>-2210000</v>
      </c>
      <c r="L940" t="s">
        <v>5</v>
      </c>
      <c r="M940" s="44" t="s">
        <v>123</v>
      </c>
    </row>
    <row r="941" spans="1:13">
      <c r="A941" s="86">
        <v>44806</v>
      </c>
      <c r="B941" s="82">
        <f t="shared" si="63"/>
        <v>9</v>
      </c>
      <c r="C941">
        <f t="shared" si="62"/>
        <v>2022</v>
      </c>
      <c r="D941" s="86"/>
      <c r="E941" s="84" t="s">
        <v>150</v>
      </c>
      <c r="G941" s="44">
        <v>880000</v>
      </c>
      <c r="H941" s="44">
        <f t="shared" si="64"/>
        <v>-880000</v>
      </c>
      <c r="L941" t="s">
        <v>11</v>
      </c>
      <c r="M941" s="44" t="s">
        <v>125</v>
      </c>
    </row>
    <row r="942" spans="1:13">
      <c r="A942" s="86">
        <v>44809</v>
      </c>
      <c r="B942" s="82">
        <f t="shared" si="63"/>
        <v>9</v>
      </c>
      <c r="C942">
        <f t="shared" si="62"/>
        <v>2022</v>
      </c>
      <c r="D942" s="86"/>
      <c r="E942" s="84" t="s">
        <v>68</v>
      </c>
      <c r="F942" s="44">
        <v>800000</v>
      </c>
      <c r="H942" s="44">
        <f t="shared" si="64"/>
        <v>800000</v>
      </c>
      <c r="L942" t="s">
        <v>3</v>
      </c>
      <c r="M942" s="44" t="s">
        <v>123</v>
      </c>
    </row>
    <row r="943" spans="1:13">
      <c r="A943" s="86">
        <v>44809</v>
      </c>
      <c r="B943" s="82">
        <f t="shared" si="63"/>
        <v>9</v>
      </c>
      <c r="C943">
        <f t="shared" si="62"/>
        <v>2022</v>
      </c>
      <c r="D943" s="86"/>
      <c r="E943" s="84" t="s">
        <v>97</v>
      </c>
      <c r="G943" s="44">
        <v>933504</v>
      </c>
      <c r="H943" s="44">
        <f t="shared" si="64"/>
        <v>-933504</v>
      </c>
      <c r="L943" s="29" t="s">
        <v>2</v>
      </c>
      <c r="M943" s="29" t="s">
        <v>33</v>
      </c>
    </row>
    <row r="944" spans="1:13">
      <c r="A944" s="86">
        <v>44809</v>
      </c>
      <c r="B944" s="82">
        <f t="shared" si="63"/>
        <v>9</v>
      </c>
      <c r="C944">
        <f t="shared" si="62"/>
        <v>2022</v>
      </c>
      <c r="D944" s="86"/>
      <c r="E944" s="84" t="s">
        <v>150</v>
      </c>
      <c r="G944" s="44">
        <v>800000</v>
      </c>
      <c r="H944" s="44">
        <f t="shared" si="64"/>
        <v>-800000</v>
      </c>
      <c r="L944" t="s">
        <v>3</v>
      </c>
      <c r="M944" s="44" t="s">
        <v>123</v>
      </c>
    </row>
    <row r="945" spans="1:13">
      <c r="A945" s="86">
        <v>44809</v>
      </c>
      <c r="B945" s="82">
        <f t="shared" si="63"/>
        <v>9</v>
      </c>
      <c r="C945">
        <f t="shared" si="62"/>
        <v>2022</v>
      </c>
      <c r="E945" s="84" t="s">
        <v>150</v>
      </c>
      <c r="F945" s="44">
        <v>933504</v>
      </c>
      <c r="H945" s="44">
        <f t="shared" si="64"/>
        <v>933504</v>
      </c>
      <c r="L945" s="29" t="s">
        <v>2</v>
      </c>
      <c r="M945" s="29" t="s">
        <v>33</v>
      </c>
    </row>
    <row r="946" spans="1:13">
      <c r="A946" s="86">
        <v>44810</v>
      </c>
      <c r="B946" s="82">
        <f t="shared" si="63"/>
        <v>9</v>
      </c>
      <c r="C946">
        <f t="shared" si="62"/>
        <v>2022</v>
      </c>
      <c r="D946" s="86"/>
      <c r="E946" s="84" t="s">
        <v>68</v>
      </c>
      <c r="G946" s="44">
        <v>840000</v>
      </c>
      <c r="H946" s="44">
        <f t="shared" si="64"/>
        <v>-840000</v>
      </c>
      <c r="L946" t="s">
        <v>3</v>
      </c>
      <c r="M946" s="44" t="s">
        <v>123</v>
      </c>
    </row>
    <row r="947" spans="1:13">
      <c r="A947" s="86">
        <v>44810</v>
      </c>
      <c r="B947" s="82">
        <f t="shared" si="63"/>
        <v>9</v>
      </c>
      <c r="C947">
        <f t="shared" si="62"/>
        <v>2022</v>
      </c>
      <c r="D947" s="86"/>
      <c r="E947" s="84" t="s">
        <v>68</v>
      </c>
      <c r="G947" s="44">
        <v>945000</v>
      </c>
      <c r="H947" s="44">
        <f t="shared" si="64"/>
        <v>-945000</v>
      </c>
      <c r="L947" t="s">
        <v>4</v>
      </c>
      <c r="M947" s="44" t="s">
        <v>123</v>
      </c>
    </row>
    <row r="948" spans="1:13">
      <c r="A948" s="86">
        <v>44810</v>
      </c>
      <c r="B948" s="82">
        <f t="shared" si="63"/>
        <v>9</v>
      </c>
      <c r="C948">
        <f t="shared" si="62"/>
        <v>2022</v>
      </c>
      <c r="D948" s="86"/>
      <c r="E948" s="84" t="s">
        <v>68</v>
      </c>
      <c r="G948" s="44">
        <v>2200000</v>
      </c>
      <c r="H948" s="44">
        <f t="shared" si="64"/>
        <v>-2200000</v>
      </c>
      <c r="L948" t="s">
        <v>5</v>
      </c>
      <c r="M948" s="44" t="s">
        <v>123</v>
      </c>
    </row>
    <row r="949" spans="1:13">
      <c r="A949" s="86">
        <v>44810</v>
      </c>
      <c r="B949" s="82">
        <f t="shared" si="63"/>
        <v>9</v>
      </c>
      <c r="C949">
        <f t="shared" si="62"/>
        <v>2022</v>
      </c>
      <c r="D949" s="86"/>
      <c r="E949" s="84" t="s">
        <v>68</v>
      </c>
      <c r="G949" s="44">
        <v>2200000</v>
      </c>
      <c r="H949" s="44">
        <f t="shared" si="64"/>
        <v>-2200000</v>
      </c>
      <c r="L949" t="s">
        <v>6</v>
      </c>
      <c r="M949" s="44" t="s">
        <v>124</v>
      </c>
    </row>
    <row r="950" spans="1:13">
      <c r="A950" s="86">
        <v>44810</v>
      </c>
      <c r="B950" s="82">
        <f t="shared" si="63"/>
        <v>9</v>
      </c>
      <c r="C950">
        <f t="shared" si="62"/>
        <v>2022</v>
      </c>
      <c r="D950" s="86"/>
      <c r="E950" s="84" t="s">
        <v>68</v>
      </c>
      <c r="G950" s="44">
        <v>720000</v>
      </c>
      <c r="H950" s="44">
        <f t="shared" si="64"/>
        <v>-720000</v>
      </c>
      <c r="L950" t="s">
        <v>11</v>
      </c>
      <c r="M950" s="44" t="s">
        <v>125</v>
      </c>
    </row>
    <row r="951" spans="1:13">
      <c r="A951" s="86">
        <v>44810</v>
      </c>
      <c r="B951" s="82">
        <f t="shared" si="63"/>
        <v>9</v>
      </c>
      <c r="C951">
        <f t="shared" si="62"/>
        <v>2022</v>
      </c>
      <c r="D951" s="86"/>
      <c r="E951" s="84" t="s">
        <v>68</v>
      </c>
      <c r="G951" s="44">
        <v>1774885</v>
      </c>
      <c r="H951" s="44">
        <f t="shared" si="64"/>
        <v>-1774885</v>
      </c>
      <c r="L951" t="s">
        <v>12</v>
      </c>
      <c r="M951" s="44" t="s">
        <v>125</v>
      </c>
    </row>
    <row r="952" spans="1:13">
      <c r="A952" s="86">
        <v>44810</v>
      </c>
      <c r="B952" s="82">
        <f t="shared" si="63"/>
        <v>9</v>
      </c>
      <c r="C952">
        <f t="shared" si="62"/>
        <v>2022</v>
      </c>
      <c r="D952" s="86"/>
      <c r="E952" s="84" t="s">
        <v>68</v>
      </c>
      <c r="F952" s="44">
        <v>2192505</v>
      </c>
      <c r="H952" s="44">
        <f t="shared" si="64"/>
        <v>2192505</v>
      </c>
      <c r="L952" t="s">
        <v>12</v>
      </c>
      <c r="M952" s="44" t="s">
        <v>125</v>
      </c>
    </row>
    <row r="953" spans="1:13">
      <c r="A953" s="86">
        <v>44810</v>
      </c>
      <c r="B953" s="82">
        <f t="shared" si="63"/>
        <v>9</v>
      </c>
      <c r="C953">
        <f t="shared" si="62"/>
        <v>2022</v>
      </c>
      <c r="D953" s="86"/>
      <c r="E953" s="84" t="s">
        <v>150</v>
      </c>
      <c r="G953" s="44">
        <v>2192505</v>
      </c>
      <c r="H953" s="44">
        <f t="shared" si="64"/>
        <v>-2192505</v>
      </c>
      <c r="L953" t="s">
        <v>12</v>
      </c>
      <c r="M953" s="44" t="s">
        <v>125</v>
      </c>
    </row>
    <row r="954" spans="1:13">
      <c r="A954" s="86">
        <v>44810</v>
      </c>
      <c r="B954" s="82">
        <f t="shared" si="63"/>
        <v>9</v>
      </c>
      <c r="C954">
        <f t="shared" si="62"/>
        <v>2022</v>
      </c>
      <c r="D954" s="86"/>
      <c r="E954" s="84" t="s">
        <v>67</v>
      </c>
      <c r="F954" s="44">
        <v>840000</v>
      </c>
      <c r="H954" s="44">
        <f t="shared" si="64"/>
        <v>840000</v>
      </c>
      <c r="L954" t="s">
        <v>3</v>
      </c>
      <c r="M954" s="44" t="s">
        <v>123</v>
      </c>
    </row>
    <row r="955" spans="1:13">
      <c r="A955" s="86">
        <v>44810</v>
      </c>
      <c r="B955" s="82">
        <f t="shared" si="63"/>
        <v>9</v>
      </c>
      <c r="C955">
        <f t="shared" si="62"/>
        <v>2022</v>
      </c>
      <c r="D955" s="86"/>
      <c r="E955" s="84" t="s">
        <v>67</v>
      </c>
      <c r="F955" s="44">
        <v>945000</v>
      </c>
      <c r="H955" s="44">
        <f t="shared" si="64"/>
        <v>945000</v>
      </c>
      <c r="L955" t="s">
        <v>4</v>
      </c>
      <c r="M955" s="44" t="s">
        <v>123</v>
      </c>
    </row>
    <row r="956" spans="1:13">
      <c r="A956" s="86">
        <v>44810</v>
      </c>
      <c r="B956" s="82">
        <f t="shared" si="63"/>
        <v>9</v>
      </c>
      <c r="C956">
        <f t="shared" si="62"/>
        <v>2022</v>
      </c>
      <c r="D956" s="86"/>
      <c r="E956" s="84" t="s">
        <v>67</v>
      </c>
      <c r="F956" s="44">
        <v>2200000</v>
      </c>
      <c r="H956" s="44">
        <f t="shared" si="64"/>
        <v>2200000</v>
      </c>
      <c r="L956" t="s">
        <v>5</v>
      </c>
      <c r="M956" s="44" t="s">
        <v>123</v>
      </c>
    </row>
    <row r="957" spans="1:13">
      <c r="A957" s="86">
        <v>44810</v>
      </c>
      <c r="B957" s="82">
        <f t="shared" si="63"/>
        <v>9</v>
      </c>
      <c r="C957">
        <f t="shared" si="62"/>
        <v>2022</v>
      </c>
      <c r="D957" s="86"/>
      <c r="E957" s="84" t="s">
        <v>67</v>
      </c>
      <c r="F957" s="44">
        <v>2200000</v>
      </c>
      <c r="H957" s="44">
        <f t="shared" si="64"/>
        <v>2200000</v>
      </c>
      <c r="L957" t="s">
        <v>6</v>
      </c>
      <c r="M957" s="44" t="s">
        <v>124</v>
      </c>
    </row>
    <row r="958" spans="1:13">
      <c r="A958" s="86">
        <v>44810</v>
      </c>
      <c r="B958" s="82">
        <f t="shared" si="63"/>
        <v>9</v>
      </c>
      <c r="C958">
        <f t="shared" si="62"/>
        <v>2022</v>
      </c>
      <c r="D958" s="86"/>
      <c r="E958" s="84" t="s">
        <v>67</v>
      </c>
      <c r="F958" s="44">
        <v>720000</v>
      </c>
      <c r="H958" s="44">
        <f t="shared" si="64"/>
        <v>720000</v>
      </c>
      <c r="L958" t="s">
        <v>11</v>
      </c>
      <c r="M958" s="44" t="s">
        <v>125</v>
      </c>
    </row>
    <row r="959" spans="1:13">
      <c r="A959" s="86">
        <v>44810</v>
      </c>
      <c r="B959" s="82">
        <f t="shared" si="63"/>
        <v>9</v>
      </c>
      <c r="C959">
        <f t="shared" si="62"/>
        <v>2022</v>
      </c>
      <c r="D959" s="86"/>
      <c r="E959" s="84" t="s">
        <v>67</v>
      </c>
      <c r="F959" s="44">
        <v>1774885</v>
      </c>
      <c r="H959" s="44">
        <f t="shared" si="64"/>
        <v>1774885</v>
      </c>
      <c r="L959" t="s">
        <v>12</v>
      </c>
      <c r="M959" s="44" t="s">
        <v>125</v>
      </c>
    </row>
    <row r="960" spans="1:13">
      <c r="A960" s="86">
        <v>44812</v>
      </c>
      <c r="B960" s="82">
        <f t="shared" si="63"/>
        <v>9</v>
      </c>
      <c r="C960">
        <f t="shared" si="62"/>
        <v>2022</v>
      </c>
      <c r="D960" s="86"/>
      <c r="E960" s="84" t="s">
        <v>97</v>
      </c>
      <c r="G960" s="44">
        <v>1641031</v>
      </c>
      <c r="H960" s="44">
        <f t="shared" si="64"/>
        <v>-1641031</v>
      </c>
      <c r="L960" s="29" t="s">
        <v>2</v>
      </c>
      <c r="M960" s="29" t="s">
        <v>34</v>
      </c>
    </row>
    <row r="961" spans="1:15">
      <c r="A961" s="86">
        <v>44812</v>
      </c>
      <c r="B961" s="82">
        <f t="shared" si="63"/>
        <v>9</v>
      </c>
      <c r="C961">
        <f t="shared" si="62"/>
        <v>2022</v>
      </c>
      <c r="E961" s="84" t="s">
        <v>150</v>
      </c>
      <c r="F961" s="44">
        <v>1641031</v>
      </c>
      <c r="H961" s="44">
        <f t="shared" si="64"/>
        <v>1641031</v>
      </c>
      <c r="L961" s="29" t="s">
        <v>2</v>
      </c>
      <c r="M961" s="29" t="s">
        <v>34</v>
      </c>
    </row>
    <row r="962" spans="1:15">
      <c r="A962" s="86">
        <v>44813</v>
      </c>
      <c r="B962" s="82">
        <f t="shared" si="63"/>
        <v>9</v>
      </c>
      <c r="C962">
        <f t="shared" si="62"/>
        <v>2022</v>
      </c>
      <c r="D962" s="86"/>
      <c r="E962" s="84" t="s">
        <v>97</v>
      </c>
      <c r="G962" s="44">
        <v>522000</v>
      </c>
      <c r="H962" s="44">
        <f t="shared" si="64"/>
        <v>-522000</v>
      </c>
      <c r="L962" s="29" t="s">
        <v>10</v>
      </c>
      <c r="M962" s="29" t="s">
        <v>38</v>
      </c>
    </row>
    <row r="963" spans="1:15">
      <c r="A963" s="86">
        <v>44813</v>
      </c>
      <c r="B963" s="82">
        <f t="shared" si="63"/>
        <v>9</v>
      </c>
      <c r="C963">
        <f t="shared" si="62"/>
        <v>2022</v>
      </c>
      <c r="E963" s="84" t="s">
        <v>150</v>
      </c>
      <c r="F963" s="44">
        <v>522000</v>
      </c>
      <c r="H963" s="44">
        <f t="shared" si="64"/>
        <v>522000</v>
      </c>
      <c r="L963" s="29" t="s">
        <v>10</v>
      </c>
      <c r="M963" s="29" t="s">
        <v>38</v>
      </c>
    </row>
    <row r="964" spans="1:15">
      <c r="A964" s="86">
        <v>44814</v>
      </c>
      <c r="B964" s="82">
        <f t="shared" si="63"/>
        <v>9</v>
      </c>
      <c r="C964">
        <f t="shared" si="62"/>
        <v>2022</v>
      </c>
      <c r="D964" s="86"/>
      <c r="E964" s="84" t="s">
        <v>68</v>
      </c>
      <c r="F964" s="44">
        <v>760000</v>
      </c>
      <c r="H964" s="44">
        <f t="shared" si="64"/>
        <v>760000</v>
      </c>
      <c r="L964" t="s">
        <v>3</v>
      </c>
      <c r="M964" s="44" t="s">
        <v>123</v>
      </c>
    </row>
    <row r="965" spans="1:15">
      <c r="A965" s="86">
        <v>44814</v>
      </c>
      <c r="B965" s="82">
        <f t="shared" si="63"/>
        <v>9</v>
      </c>
      <c r="C965">
        <f t="shared" si="62"/>
        <v>2022</v>
      </c>
      <c r="D965" s="86"/>
      <c r="E965" s="84" t="s">
        <v>150</v>
      </c>
      <c r="G965" s="44">
        <v>760000</v>
      </c>
      <c r="H965" s="44">
        <f t="shared" si="64"/>
        <v>-760000</v>
      </c>
      <c r="L965" t="s">
        <v>3</v>
      </c>
      <c r="M965" s="44" t="s">
        <v>123</v>
      </c>
    </row>
    <row r="966" spans="1:15">
      <c r="A966" s="86">
        <v>44817</v>
      </c>
      <c r="B966" s="82">
        <f t="shared" si="63"/>
        <v>9</v>
      </c>
      <c r="C966">
        <f t="shared" si="62"/>
        <v>2022</v>
      </c>
      <c r="D966" s="86"/>
      <c r="E966" s="84" t="s">
        <v>68</v>
      </c>
      <c r="F966" s="44">
        <v>2100000</v>
      </c>
      <c r="H966" s="44">
        <f t="shared" si="64"/>
        <v>2100000</v>
      </c>
      <c r="L966" t="s">
        <v>5</v>
      </c>
      <c r="M966" s="44" t="s">
        <v>123</v>
      </c>
    </row>
    <row r="967" spans="1:15">
      <c r="A967" s="86">
        <v>44817</v>
      </c>
      <c r="B967" s="82">
        <f t="shared" si="63"/>
        <v>9</v>
      </c>
      <c r="C967">
        <f t="shared" si="62"/>
        <v>2022</v>
      </c>
      <c r="D967" s="86"/>
      <c r="E967" s="84" t="s">
        <v>150</v>
      </c>
      <c r="G967" s="44">
        <v>2100000</v>
      </c>
      <c r="H967" s="44">
        <f t="shared" si="64"/>
        <v>-2100000</v>
      </c>
      <c r="L967" t="s">
        <v>5</v>
      </c>
      <c r="M967" s="44" t="s">
        <v>123</v>
      </c>
    </row>
    <row r="968" spans="1:15">
      <c r="A968" s="86">
        <v>44817</v>
      </c>
      <c r="B968" s="82">
        <f t="shared" si="63"/>
        <v>9</v>
      </c>
      <c r="C968">
        <f t="shared" si="62"/>
        <v>2022</v>
      </c>
      <c r="E968" s="84" t="s">
        <v>81</v>
      </c>
      <c r="F968" s="44">
        <v>715560.8</v>
      </c>
      <c r="H968" s="44">
        <f t="shared" si="64"/>
        <v>715560.8</v>
      </c>
      <c r="L968" t="str">
        <f>VLOOKUP(M968,Reference!$A$16:$B$21,2,0)</f>
        <v>Supplier A</v>
      </c>
      <c r="M968" t="s">
        <v>3</v>
      </c>
      <c r="N968" t="str">
        <f t="shared" ref="N968:N973" si="65">L968</f>
        <v>Supplier A</v>
      </c>
      <c r="O968" t="str">
        <f t="shared" ref="O968:O973" si="66">M968</f>
        <v>Component 1</v>
      </c>
    </row>
    <row r="969" spans="1:15">
      <c r="A969" s="86">
        <v>44817</v>
      </c>
      <c r="B969" s="82">
        <f t="shared" si="63"/>
        <v>9</v>
      </c>
      <c r="C969">
        <f t="shared" si="62"/>
        <v>2022</v>
      </c>
      <c r="E969" s="84" t="s">
        <v>81</v>
      </c>
      <c r="F969" s="44">
        <v>843424.5</v>
      </c>
      <c r="H969" s="44">
        <f t="shared" si="64"/>
        <v>843424.5</v>
      </c>
      <c r="L969" t="str">
        <f>VLOOKUP(M969,Reference!$A$16:$B$21,2,0)</f>
        <v>Supplier A</v>
      </c>
      <c r="M969" t="s">
        <v>4</v>
      </c>
      <c r="N969" t="str">
        <f t="shared" si="65"/>
        <v>Supplier A</v>
      </c>
      <c r="O969" t="str">
        <f t="shared" si="66"/>
        <v>Component 2</v>
      </c>
    </row>
    <row r="970" spans="1:15">
      <c r="A970" s="86">
        <v>44817</v>
      </c>
      <c r="B970" s="82">
        <f t="shared" si="63"/>
        <v>9</v>
      </c>
      <c r="C970">
        <f t="shared" si="62"/>
        <v>2022</v>
      </c>
      <c r="E970" s="84" t="s">
        <v>81</v>
      </c>
      <c r="F970" s="44">
        <v>2132295.12</v>
      </c>
      <c r="H970" s="44">
        <f t="shared" si="64"/>
        <v>2132295.12</v>
      </c>
      <c r="L970" t="str">
        <f>VLOOKUP(M970,Reference!$A$16:$B$21,2,0)</f>
        <v>Supplier A</v>
      </c>
      <c r="M970" t="s">
        <v>5</v>
      </c>
      <c r="N970" t="str">
        <f t="shared" si="65"/>
        <v>Supplier A</v>
      </c>
      <c r="O970" t="str">
        <f t="shared" si="66"/>
        <v>Component 3</v>
      </c>
    </row>
    <row r="971" spans="1:15">
      <c r="A971" s="86">
        <v>44817</v>
      </c>
      <c r="B971" s="82">
        <f t="shared" si="63"/>
        <v>9</v>
      </c>
      <c r="C971">
        <f t="shared" si="62"/>
        <v>2022</v>
      </c>
      <c r="E971" s="84" t="s">
        <v>81</v>
      </c>
      <c r="F971" s="44">
        <v>1633814</v>
      </c>
      <c r="H971" s="44">
        <f t="shared" si="64"/>
        <v>1633814</v>
      </c>
      <c r="L971" t="str">
        <f>VLOOKUP(M971,Reference!$A$16:$B$21,2,0)</f>
        <v>Supplier B</v>
      </c>
      <c r="M971" t="s">
        <v>6</v>
      </c>
      <c r="N971" t="str">
        <f t="shared" si="65"/>
        <v>Supplier B</v>
      </c>
      <c r="O971" t="str">
        <f t="shared" si="66"/>
        <v>Component 4</v>
      </c>
    </row>
    <row r="972" spans="1:15">
      <c r="A972" s="86">
        <v>44817</v>
      </c>
      <c r="B972" s="82">
        <f t="shared" si="63"/>
        <v>9</v>
      </c>
      <c r="C972">
        <f t="shared" si="62"/>
        <v>2022</v>
      </c>
      <c r="E972" s="84" t="s">
        <v>81</v>
      </c>
      <c r="F972" s="44">
        <v>845158</v>
      </c>
      <c r="H972" s="44">
        <f t="shared" si="64"/>
        <v>845158</v>
      </c>
      <c r="L972" t="str">
        <f>VLOOKUP(M972,Reference!$A$16:$B$21,2,0)</f>
        <v>Supplier D</v>
      </c>
      <c r="M972" t="s">
        <v>11</v>
      </c>
      <c r="N972" t="str">
        <f t="shared" si="65"/>
        <v>Supplier D</v>
      </c>
      <c r="O972" t="str">
        <f t="shared" si="66"/>
        <v>Component 5</v>
      </c>
    </row>
    <row r="973" spans="1:15">
      <c r="A973" s="86">
        <v>44817</v>
      </c>
      <c r="B973" s="82">
        <f t="shared" si="63"/>
        <v>9</v>
      </c>
      <c r="C973">
        <f t="shared" ref="C973:C1036" si="67">YEAR(A973)</f>
        <v>2022</v>
      </c>
      <c r="E973" s="84" t="s">
        <v>81</v>
      </c>
      <c r="F973" s="44">
        <v>1805512</v>
      </c>
      <c r="H973" s="44">
        <f t="shared" si="64"/>
        <v>1805512</v>
      </c>
      <c r="L973" t="str">
        <f>VLOOKUP(M973,Reference!$A$16:$B$21,2,0)</f>
        <v>Supplier D</v>
      </c>
      <c r="M973" t="s">
        <v>12</v>
      </c>
      <c r="N973" t="str">
        <f t="shared" si="65"/>
        <v>Supplier D</v>
      </c>
      <c r="O973" t="str">
        <f t="shared" si="66"/>
        <v>Component 6</v>
      </c>
    </row>
    <row r="974" spans="1:15">
      <c r="A974" s="86">
        <v>44817</v>
      </c>
      <c r="B974" s="82">
        <f t="shared" si="63"/>
        <v>9</v>
      </c>
      <c r="C974">
        <f t="shared" si="67"/>
        <v>2022</v>
      </c>
      <c r="E974" s="84" t="s">
        <v>143</v>
      </c>
      <c r="G974" s="44">
        <v>715560.8</v>
      </c>
      <c r="H974" s="44">
        <f t="shared" si="64"/>
        <v>-715560.8</v>
      </c>
      <c r="J974"/>
      <c r="M974" t="s">
        <v>3</v>
      </c>
    </row>
    <row r="975" spans="1:15">
      <c r="A975" s="86">
        <v>44817</v>
      </c>
      <c r="B975" s="82">
        <f t="shared" si="63"/>
        <v>9</v>
      </c>
      <c r="C975">
        <f t="shared" si="67"/>
        <v>2022</v>
      </c>
      <c r="E975" s="84" t="s">
        <v>143</v>
      </c>
      <c r="G975" s="44">
        <v>843424.5</v>
      </c>
      <c r="H975" s="44">
        <f t="shared" si="64"/>
        <v>-843424.5</v>
      </c>
      <c r="J975"/>
      <c r="M975" t="s">
        <v>4</v>
      </c>
    </row>
    <row r="976" spans="1:15">
      <c r="A976" s="86">
        <v>44817</v>
      </c>
      <c r="B976" s="82">
        <f t="shared" si="63"/>
        <v>9</v>
      </c>
      <c r="C976">
        <f t="shared" si="67"/>
        <v>2022</v>
      </c>
      <c r="E976" s="84" t="s">
        <v>143</v>
      </c>
      <c r="G976" s="44">
        <v>2132295.12</v>
      </c>
      <c r="H976" s="44">
        <f t="shared" si="64"/>
        <v>-2132295.12</v>
      </c>
      <c r="J976"/>
      <c r="M976" t="s">
        <v>5</v>
      </c>
    </row>
    <row r="977" spans="1:13">
      <c r="A977" s="86">
        <v>44817</v>
      </c>
      <c r="B977" s="82">
        <f t="shared" si="63"/>
        <v>9</v>
      </c>
      <c r="C977">
        <f t="shared" si="67"/>
        <v>2022</v>
      </c>
      <c r="E977" s="84" t="s">
        <v>143</v>
      </c>
      <c r="G977" s="44">
        <v>1633814</v>
      </c>
      <c r="H977" s="44">
        <f t="shared" si="64"/>
        <v>-1633814</v>
      </c>
      <c r="J977"/>
      <c r="M977" t="s">
        <v>6</v>
      </c>
    </row>
    <row r="978" spans="1:13">
      <c r="A978" s="86">
        <v>44817</v>
      </c>
      <c r="B978" s="82">
        <f t="shared" si="63"/>
        <v>9</v>
      </c>
      <c r="C978">
        <f t="shared" si="67"/>
        <v>2022</v>
      </c>
      <c r="E978" s="84" t="s">
        <v>143</v>
      </c>
      <c r="G978" s="44">
        <v>845158</v>
      </c>
      <c r="H978" s="44">
        <f t="shared" si="64"/>
        <v>-845158</v>
      </c>
      <c r="J978"/>
      <c r="M978" t="s">
        <v>11</v>
      </c>
    </row>
    <row r="979" spans="1:13">
      <c r="A979" s="86">
        <v>44817</v>
      </c>
      <c r="B979" s="82">
        <f t="shared" si="63"/>
        <v>9</v>
      </c>
      <c r="C979">
        <f t="shared" si="67"/>
        <v>2022</v>
      </c>
      <c r="E979" s="84" t="s">
        <v>143</v>
      </c>
      <c r="G979" s="44">
        <v>1805512</v>
      </c>
      <c r="H979" s="44">
        <f t="shared" si="64"/>
        <v>-1805512</v>
      </c>
      <c r="J979"/>
      <c r="M979" t="s">
        <v>12</v>
      </c>
    </row>
    <row r="980" spans="1:13">
      <c r="A980" s="86">
        <v>44817</v>
      </c>
      <c r="B980" s="82">
        <f t="shared" si="63"/>
        <v>9</v>
      </c>
      <c r="C980">
        <f t="shared" si="67"/>
        <v>2022</v>
      </c>
      <c r="E980" s="84" t="s">
        <v>67</v>
      </c>
      <c r="G980" s="44">
        <v>715560.8</v>
      </c>
      <c r="H980" s="44">
        <f t="shared" si="64"/>
        <v>-715560.8</v>
      </c>
      <c r="L980" t="s">
        <v>3</v>
      </c>
      <c r="M980" s="44" t="s">
        <v>123</v>
      </c>
    </row>
    <row r="981" spans="1:13">
      <c r="A981" s="86">
        <v>44817</v>
      </c>
      <c r="B981" s="82">
        <f t="shared" si="63"/>
        <v>9</v>
      </c>
      <c r="C981">
        <f t="shared" si="67"/>
        <v>2022</v>
      </c>
      <c r="E981" s="84" t="s">
        <v>67</v>
      </c>
      <c r="G981" s="44">
        <v>843424.5</v>
      </c>
      <c r="H981" s="44">
        <f t="shared" si="64"/>
        <v>-843424.5</v>
      </c>
      <c r="L981" t="s">
        <v>4</v>
      </c>
      <c r="M981" s="44" t="s">
        <v>123</v>
      </c>
    </row>
    <row r="982" spans="1:13">
      <c r="A982" s="86">
        <v>44817</v>
      </c>
      <c r="B982" s="82">
        <f t="shared" si="63"/>
        <v>9</v>
      </c>
      <c r="C982">
        <f t="shared" si="67"/>
        <v>2022</v>
      </c>
      <c r="E982" s="84" t="s">
        <v>67</v>
      </c>
      <c r="G982" s="44">
        <v>2132295.12</v>
      </c>
      <c r="H982" s="44">
        <f t="shared" si="64"/>
        <v>-2132295.12</v>
      </c>
      <c r="L982" t="s">
        <v>5</v>
      </c>
      <c r="M982" s="44" t="s">
        <v>123</v>
      </c>
    </row>
    <row r="983" spans="1:13">
      <c r="A983" s="86">
        <v>44817</v>
      </c>
      <c r="B983" s="82">
        <f t="shared" ref="B983:B1046" si="68">MONTH(A983)</f>
        <v>9</v>
      </c>
      <c r="C983">
        <f t="shared" si="67"/>
        <v>2022</v>
      </c>
      <c r="E983" s="84" t="s">
        <v>67</v>
      </c>
      <c r="G983" s="44">
        <v>1633814</v>
      </c>
      <c r="H983" s="44">
        <f t="shared" ref="H983:H1046" si="69">F983-G983</f>
        <v>-1633814</v>
      </c>
      <c r="L983" t="s">
        <v>6</v>
      </c>
      <c r="M983" s="44" t="s">
        <v>124</v>
      </c>
    </row>
    <row r="984" spans="1:13">
      <c r="A984" s="86">
        <v>44817</v>
      </c>
      <c r="B984" s="82">
        <f t="shared" si="68"/>
        <v>9</v>
      </c>
      <c r="C984">
        <f t="shared" si="67"/>
        <v>2022</v>
      </c>
      <c r="E984" s="84" t="s">
        <v>67</v>
      </c>
      <c r="G984" s="44">
        <v>845158</v>
      </c>
      <c r="H984" s="44">
        <f t="shared" si="69"/>
        <v>-845158</v>
      </c>
      <c r="L984" t="s">
        <v>11</v>
      </c>
      <c r="M984" s="44" t="s">
        <v>125</v>
      </c>
    </row>
    <row r="985" spans="1:13">
      <c r="A985" s="86">
        <v>44817</v>
      </c>
      <c r="B985" s="82">
        <f t="shared" si="68"/>
        <v>9</v>
      </c>
      <c r="C985">
        <f t="shared" si="67"/>
        <v>2022</v>
      </c>
      <c r="E985" s="84" t="s">
        <v>67</v>
      </c>
      <c r="G985" s="44">
        <v>1805512</v>
      </c>
      <c r="H985" s="44">
        <f t="shared" si="69"/>
        <v>-1805512</v>
      </c>
      <c r="L985" t="s">
        <v>12</v>
      </c>
      <c r="M985" s="44" t="s">
        <v>125</v>
      </c>
    </row>
    <row r="986" spans="1:13">
      <c r="A986" s="86">
        <v>44818</v>
      </c>
      <c r="B986" s="82">
        <f t="shared" si="68"/>
        <v>9</v>
      </c>
      <c r="C986">
        <f t="shared" si="67"/>
        <v>2022</v>
      </c>
      <c r="E986" s="84" t="s">
        <v>89</v>
      </c>
      <c r="F986" s="44">
        <v>3768187.0299999993</v>
      </c>
      <c r="H986" s="44">
        <f t="shared" si="69"/>
        <v>3768187.0299999993</v>
      </c>
      <c r="I986"/>
      <c r="J986"/>
      <c r="M986"/>
    </row>
    <row r="987" spans="1:13">
      <c r="A987" s="86">
        <v>44818</v>
      </c>
      <c r="B987" s="82">
        <f t="shared" si="68"/>
        <v>9</v>
      </c>
      <c r="C987">
        <f t="shared" si="67"/>
        <v>2022</v>
      </c>
      <c r="E987" s="84" t="s">
        <v>90</v>
      </c>
      <c r="F987" s="44">
        <v>2123448.7400000002</v>
      </c>
      <c r="H987" s="44">
        <f t="shared" si="69"/>
        <v>2123448.7400000002</v>
      </c>
      <c r="I987"/>
      <c r="J987"/>
      <c r="M987"/>
    </row>
    <row r="988" spans="1:13">
      <c r="A988" s="86">
        <v>44818</v>
      </c>
      <c r="B988" s="82">
        <f t="shared" si="68"/>
        <v>9</v>
      </c>
      <c r="C988">
        <f t="shared" si="67"/>
        <v>2022</v>
      </c>
      <c r="E988" s="84" t="s">
        <v>91</v>
      </c>
      <c r="F988" s="44">
        <v>2306040.9480000003</v>
      </c>
      <c r="H988" s="44">
        <f t="shared" si="69"/>
        <v>2306040.9480000003</v>
      </c>
      <c r="I988"/>
      <c r="J988"/>
      <c r="M988"/>
    </row>
    <row r="989" spans="1:13">
      <c r="A989" s="86">
        <v>44818</v>
      </c>
      <c r="B989" s="82">
        <f t="shared" si="68"/>
        <v>9</v>
      </c>
      <c r="C989">
        <f t="shared" si="67"/>
        <v>2022</v>
      </c>
      <c r="E989" s="84" t="s">
        <v>146</v>
      </c>
      <c r="G989" s="44">
        <v>221912.29800000001</v>
      </c>
      <c r="H989" s="44">
        <f t="shared" si="69"/>
        <v>-221912.29800000001</v>
      </c>
      <c r="I989"/>
      <c r="J989"/>
      <c r="M989"/>
    </row>
    <row r="990" spans="1:13">
      <c r="A990" s="86">
        <v>44820</v>
      </c>
      <c r="B990" s="82">
        <f t="shared" si="68"/>
        <v>9</v>
      </c>
      <c r="C990">
        <f t="shared" si="67"/>
        <v>2022</v>
      </c>
      <c r="E990" s="84" t="s">
        <v>97</v>
      </c>
      <c r="F990" s="44">
        <v>1976853</v>
      </c>
      <c r="H990" s="44">
        <f t="shared" si="69"/>
        <v>1976853</v>
      </c>
      <c r="L990" s="29" t="s">
        <v>2</v>
      </c>
      <c r="M990" s="29" t="s">
        <v>32</v>
      </c>
    </row>
    <row r="991" spans="1:13">
      <c r="A991" s="86">
        <v>44820</v>
      </c>
      <c r="B991" s="82">
        <f t="shared" si="68"/>
        <v>9</v>
      </c>
      <c r="C991">
        <f t="shared" si="67"/>
        <v>2022</v>
      </c>
      <c r="E991" s="84" t="s">
        <v>143</v>
      </c>
      <c r="F991" s="44">
        <v>1226818.2660000001</v>
      </c>
      <c r="H991" s="44">
        <f t="shared" si="69"/>
        <v>1226818.2660000001</v>
      </c>
      <c r="I991"/>
      <c r="M991" t="s">
        <v>2</v>
      </c>
    </row>
    <row r="992" spans="1:13">
      <c r="A992" s="86">
        <v>44820</v>
      </c>
      <c r="B992" s="82">
        <f t="shared" si="68"/>
        <v>9</v>
      </c>
      <c r="C992">
        <f t="shared" si="67"/>
        <v>2022</v>
      </c>
      <c r="E992" s="84" t="s">
        <v>89</v>
      </c>
      <c r="G992" s="44">
        <v>1226818.2660000001</v>
      </c>
      <c r="H992" s="44">
        <f t="shared" si="69"/>
        <v>-1226818.2660000001</v>
      </c>
      <c r="I992"/>
      <c r="M992" t="s">
        <v>2</v>
      </c>
    </row>
    <row r="993" spans="1:13">
      <c r="A993" s="86">
        <v>44820</v>
      </c>
      <c r="B993" s="82">
        <f t="shared" si="68"/>
        <v>9</v>
      </c>
      <c r="C993">
        <f t="shared" si="67"/>
        <v>2022</v>
      </c>
      <c r="E993" s="84" t="s">
        <v>98</v>
      </c>
      <c r="G993" s="44">
        <v>1976853</v>
      </c>
      <c r="H993" s="44">
        <f t="shared" si="69"/>
        <v>-1976853</v>
      </c>
      <c r="L993" s="29" t="s">
        <v>2</v>
      </c>
      <c r="M993" s="93" t="s">
        <v>32</v>
      </c>
    </row>
    <row r="994" spans="1:13">
      <c r="A994" s="86">
        <v>44821</v>
      </c>
      <c r="B994" s="82">
        <f t="shared" si="68"/>
        <v>9</v>
      </c>
      <c r="C994">
        <f t="shared" si="67"/>
        <v>2022</v>
      </c>
      <c r="D994" s="86"/>
      <c r="E994" s="84" t="s">
        <v>97</v>
      </c>
      <c r="G994" s="44">
        <v>1177393</v>
      </c>
      <c r="H994" s="44">
        <f t="shared" si="69"/>
        <v>-1177393</v>
      </c>
      <c r="L994" s="29" t="s">
        <v>10</v>
      </c>
      <c r="M994" s="29" t="s">
        <v>38</v>
      </c>
    </row>
    <row r="995" spans="1:13">
      <c r="A995" s="86">
        <v>44821</v>
      </c>
      <c r="B995" s="82">
        <f t="shared" si="68"/>
        <v>9</v>
      </c>
      <c r="C995">
        <f t="shared" si="67"/>
        <v>2022</v>
      </c>
      <c r="E995" s="84" t="s">
        <v>150</v>
      </c>
      <c r="F995" s="44">
        <v>1177393</v>
      </c>
      <c r="H995" s="44">
        <f t="shared" si="69"/>
        <v>1177393</v>
      </c>
      <c r="L995" s="29" t="s">
        <v>10</v>
      </c>
      <c r="M995" s="29" t="s">
        <v>38</v>
      </c>
    </row>
    <row r="996" spans="1:13">
      <c r="A996" s="86">
        <v>44822</v>
      </c>
      <c r="B996" s="82">
        <f t="shared" si="68"/>
        <v>9</v>
      </c>
      <c r="C996">
        <f t="shared" si="67"/>
        <v>2022</v>
      </c>
      <c r="E996" s="84" t="s">
        <v>150</v>
      </c>
      <c r="F996" s="44">
        <v>1750932</v>
      </c>
      <c r="H996" s="44">
        <f t="shared" si="69"/>
        <v>1750932</v>
      </c>
      <c r="L996" s="29" t="s">
        <v>14</v>
      </c>
      <c r="M996" s="29" t="s">
        <v>40</v>
      </c>
    </row>
    <row r="997" spans="1:13">
      <c r="A997" s="86">
        <v>44824</v>
      </c>
      <c r="B997" s="82">
        <f t="shared" si="68"/>
        <v>9</v>
      </c>
      <c r="C997">
        <f t="shared" si="67"/>
        <v>2022</v>
      </c>
      <c r="D997" s="86"/>
      <c r="E997" s="84" t="s">
        <v>97</v>
      </c>
      <c r="G997" s="44">
        <v>675328</v>
      </c>
      <c r="H997" s="44">
        <f t="shared" si="69"/>
        <v>-675328</v>
      </c>
      <c r="L997" s="29" t="s">
        <v>10</v>
      </c>
      <c r="M997" s="29" t="s">
        <v>37</v>
      </c>
    </row>
    <row r="998" spans="1:13">
      <c r="A998" s="86">
        <v>44824</v>
      </c>
      <c r="B998" s="82">
        <f t="shared" si="68"/>
        <v>9</v>
      </c>
      <c r="C998">
        <f t="shared" si="67"/>
        <v>2022</v>
      </c>
      <c r="E998" s="84" t="s">
        <v>150</v>
      </c>
      <c r="F998" s="44">
        <v>675328</v>
      </c>
      <c r="H998" s="44">
        <f t="shared" si="69"/>
        <v>675328</v>
      </c>
      <c r="L998" s="29" t="s">
        <v>10</v>
      </c>
      <c r="M998" s="29" t="s">
        <v>37</v>
      </c>
    </row>
    <row r="999" spans="1:13">
      <c r="A999" s="86">
        <v>44825</v>
      </c>
      <c r="B999" s="82">
        <f t="shared" si="68"/>
        <v>9</v>
      </c>
      <c r="C999">
        <f t="shared" si="67"/>
        <v>2022</v>
      </c>
      <c r="D999" s="86"/>
      <c r="E999" s="84" t="s">
        <v>68</v>
      </c>
      <c r="F999" s="44">
        <v>1400000</v>
      </c>
      <c r="H999" s="44">
        <f t="shared" si="69"/>
        <v>1400000</v>
      </c>
      <c r="L999" t="s">
        <v>11</v>
      </c>
      <c r="M999" s="44" t="s">
        <v>125</v>
      </c>
    </row>
    <row r="1000" spans="1:13">
      <c r="A1000" s="86">
        <v>44825</v>
      </c>
      <c r="B1000" s="82">
        <f t="shared" si="68"/>
        <v>9</v>
      </c>
      <c r="C1000">
        <f t="shared" si="67"/>
        <v>2022</v>
      </c>
      <c r="E1000" s="84" t="s">
        <v>97</v>
      </c>
      <c r="F1000" s="44">
        <v>554164</v>
      </c>
      <c r="H1000" s="44">
        <f t="shared" si="69"/>
        <v>554164</v>
      </c>
      <c r="L1000" s="29" t="s">
        <v>2</v>
      </c>
      <c r="M1000" s="29" t="s">
        <v>35</v>
      </c>
    </row>
    <row r="1001" spans="1:13">
      <c r="A1001" s="86">
        <v>44825</v>
      </c>
      <c r="B1001" s="82">
        <f t="shared" si="68"/>
        <v>9</v>
      </c>
      <c r="C1001">
        <f t="shared" si="67"/>
        <v>2022</v>
      </c>
      <c r="D1001" s="86"/>
      <c r="E1001" s="84" t="s">
        <v>150</v>
      </c>
      <c r="G1001" s="44">
        <v>1400000</v>
      </c>
      <c r="H1001" s="44">
        <f t="shared" si="69"/>
        <v>-1400000</v>
      </c>
      <c r="L1001" t="s">
        <v>11</v>
      </c>
      <c r="M1001" s="44" t="s">
        <v>125</v>
      </c>
    </row>
    <row r="1002" spans="1:13">
      <c r="A1002" s="86">
        <v>44825</v>
      </c>
      <c r="B1002" s="82">
        <f t="shared" si="68"/>
        <v>9</v>
      </c>
      <c r="C1002">
        <f t="shared" si="67"/>
        <v>2022</v>
      </c>
      <c r="E1002" s="84" t="s">
        <v>143</v>
      </c>
      <c r="F1002" s="44">
        <v>400319.55399999971</v>
      </c>
      <c r="H1002" s="44">
        <f t="shared" si="69"/>
        <v>400319.55399999971</v>
      </c>
      <c r="I1002"/>
      <c r="M1002" t="s">
        <v>2</v>
      </c>
    </row>
    <row r="1003" spans="1:13">
      <c r="A1003" s="86">
        <v>44825</v>
      </c>
      <c r="B1003" s="82">
        <f t="shared" si="68"/>
        <v>9</v>
      </c>
      <c r="C1003">
        <f t="shared" si="67"/>
        <v>2022</v>
      </c>
      <c r="E1003" s="84" t="s">
        <v>89</v>
      </c>
      <c r="G1003" s="44">
        <v>400319.55399999971</v>
      </c>
      <c r="H1003" s="44">
        <f t="shared" si="69"/>
        <v>-400319.55399999971</v>
      </c>
      <c r="I1003"/>
      <c r="M1003" t="s">
        <v>2</v>
      </c>
    </row>
    <row r="1004" spans="1:13">
      <c r="A1004" s="86">
        <v>44825</v>
      </c>
      <c r="B1004" s="82">
        <f t="shared" si="68"/>
        <v>9</v>
      </c>
      <c r="C1004">
        <f t="shared" si="67"/>
        <v>2022</v>
      </c>
      <c r="E1004" s="84" t="s">
        <v>98</v>
      </c>
      <c r="G1004" s="44">
        <v>554164</v>
      </c>
      <c r="H1004" s="44">
        <f t="shared" si="69"/>
        <v>-554164</v>
      </c>
      <c r="L1004" s="29" t="s">
        <v>2</v>
      </c>
      <c r="M1004" s="93" t="s">
        <v>35</v>
      </c>
    </row>
    <row r="1005" spans="1:13">
      <c r="A1005" s="86">
        <v>44826</v>
      </c>
      <c r="B1005" s="82">
        <f t="shared" si="68"/>
        <v>9</v>
      </c>
      <c r="C1005">
        <f t="shared" si="67"/>
        <v>2022</v>
      </c>
      <c r="E1005" s="84" t="s">
        <v>97</v>
      </c>
      <c r="F1005" s="44">
        <v>1400236</v>
      </c>
      <c r="H1005" s="44">
        <f t="shared" si="69"/>
        <v>1400236</v>
      </c>
      <c r="L1005" s="29" t="s">
        <v>10</v>
      </c>
      <c r="M1005" s="29" t="s">
        <v>36</v>
      </c>
    </row>
    <row r="1006" spans="1:13">
      <c r="A1006" s="86">
        <v>44826</v>
      </c>
      <c r="B1006" s="82">
        <f t="shared" si="68"/>
        <v>9</v>
      </c>
      <c r="C1006">
        <f t="shared" si="67"/>
        <v>2022</v>
      </c>
      <c r="E1006" s="84" t="s">
        <v>143</v>
      </c>
      <c r="F1006" s="44">
        <v>962348.4040000001</v>
      </c>
      <c r="H1006" s="44">
        <f t="shared" si="69"/>
        <v>962348.4040000001</v>
      </c>
      <c r="I1006"/>
      <c r="M1006" t="s">
        <v>10</v>
      </c>
    </row>
    <row r="1007" spans="1:13">
      <c r="A1007" s="86">
        <v>44826</v>
      </c>
      <c r="B1007" s="82">
        <f t="shared" si="68"/>
        <v>9</v>
      </c>
      <c r="C1007">
        <f t="shared" si="67"/>
        <v>2022</v>
      </c>
      <c r="E1007" s="84" t="s">
        <v>90</v>
      </c>
      <c r="G1007" s="44">
        <v>962348.4040000001</v>
      </c>
      <c r="H1007" s="44">
        <f t="shared" si="69"/>
        <v>-962348.4040000001</v>
      </c>
      <c r="I1007"/>
      <c r="M1007" t="s">
        <v>10</v>
      </c>
    </row>
    <row r="1008" spans="1:13">
      <c r="A1008" s="86">
        <v>44826</v>
      </c>
      <c r="B1008" s="82">
        <f t="shared" si="68"/>
        <v>9</v>
      </c>
      <c r="C1008">
        <f t="shared" si="67"/>
        <v>2022</v>
      </c>
      <c r="E1008" s="84" t="s">
        <v>98</v>
      </c>
      <c r="G1008" s="44">
        <v>1400236</v>
      </c>
      <c r="H1008" s="44">
        <f t="shared" si="69"/>
        <v>-1400236</v>
      </c>
      <c r="L1008" s="29" t="s">
        <v>10</v>
      </c>
      <c r="M1008" s="93" t="s">
        <v>36</v>
      </c>
    </row>
    <row r="1009" spans="1:13">
      <c r="A1009" s="86">
        <v>44752</v>
      </c>
      <c r="B1009" s="82">
        <f t="shared" si="68"/>
        <v>7</v>
      </c>
      <c r="C1009">
        <f t="shared" si="67"/>
        <v>2022</v>
      </c>
      <c r="D1009" s="86"/>
      <c r="E1009" s="84" t="s">
        <v>97</v>
      </c>
      <c r="G1009" s="44">
        <v>1466607</v>
      </c>
      <c r="H1009" s="44">
        <f t="shared" si="69"/>
        <v>-1466607</v>
      </c>
      <c r="L1009" s="29" t="s">
        <v>14</v>
      </c>
      <c r="M1009" s="29" t="s">
        <v>40</v>
      </c>
    </row>
    <row r="1010" spans="1:13">
      <c r="A1010" s="86">
        <v>44827</v>
      </c>
      <c r="B1010" s="82">
        <f t="shared" si="68"/>
        <v>9</v>
      </c>
      <c r="C1010">
        <f t="shared" si="67"/>
        <v>2022</v>
      </c>
      <c r="E1010" s="84" t="s">
        <v>143</v>
      </c>
      <c r="F1010" s="44">
        <v>362284.50600000005</v>
      </c>
      <c r="H1010" s="44">
        <f t="shared" si="69"/>
        <v>362284.50600000005</v>
      </c>
      <c r="I1010"/>
      <c r="M1010" t="s">
        <v>14</v>
      </c>
    </row>
    <row r="1011" spans="1:13">
      <c r="A1011" s="86">
        <v>44827</v>
      </c>
      <c r="B1011" s="82">
        <f t="shared" si="68"/>
        <v>9</v>
      </c>
      <c r="C1011">
        <f t="shared" si="67"/>
        <v>2022</v>
      </c>
      <c r="E1011" s="84" t="s">
        <v>91</v>
      </c>
      <c r="G1011" s="44">
        <v>362284.50600000005</v>
      </c>
      <c r="H1011" s="44">
        <f t="shared" si="69"/>
        <v>-362284.50600000005</v>
      </c>
      <c r="I1011"/>
      <c r="M1011" t="s">
        <v>14</v>
      </c>
    </row>
    <row r="1012" spans="1:13">
      <c r="A1012" s="86">
        <v>44827</v>
      </c>
      <c r="B1012" s="82">
        <f t="shared" si="68"/>
        <v>9</v>
      </c>
      <c r="C1012">
        <f t="shared" si="67"/>
        <v>2022</v>
      </c>
      <c r="E1012" s="84" t="s">
        <v>98</v>
      </c>
      <c r="G1012" s="44">
        <v>383184</v>
      </c>
      <c r="H1012" s="44">
        <f t="shared" si="69"/>
        <v>-383184</v>
      </c>
      <c r="L1012" s="29" t="s">
        <v>14</v>
      </c>
      <c r="M1012" s="93" t="s">
        <v>40</v>
      </c>
    </row>
    <row r="1013" spans="1:13">
      <c r="A1013" s="86">
        <v>44828</v>
      </c>
      <c r="B1013" s="82">
        <f t="shared" si="68"/>
        <v>9</v>
      </c>
      <c r="C1013">
        <f t="shared" si="67"/>
        <v>2022</v>
      </c>
      <c r="D1013" s="86"/>
      <c r="E1013" s="84" t="s">
        <v>97</v>
      </c>
      <c r="G1013" s="44">
        <v>1159740</v>
      </c>
      <c r="H1013" s="44">
        <f t="shared" si="69"/>
        <v>-1159740</v>
      </c>
      <c r="L1013" s="29" t="s">
        <v>2</v>
      </c>
      <c r="M1013" s="29" t="s">
        <v>33</v>
      </c>
    </row>
    <row r="1014" spans="1:13">
      <c r="A1014" s="86">
        <v>44828</v>
      </c>
      <c r="B1014" s="82">
        <f t="shared" si="68"/>
        <v>9</v>
      </c>
      <c r="C1014">
        <f t="shared" si="67"/>
        <v>2022</v>
      </c>
      <c r="D1014" s="86"/>
      <c r="E1014" s="84" t="s">
        <v>97</v>
      </c>
      <c r="G1014" s="44">
        <v>1299942</v>
      </c>
      <c r="H1014" s="44">
        <f t="shared" si="69"/>
        <v>-1299942</v>
      </c>
      <c r="L1014" s="29" t="s">
        <v>2</v>
      </c>
      <c r="M1014" s="29" t="s">
        <v>34</v>
      </c>
    </row>
    <row r="1015" spans="1:13">
      <c r="A1015" s="86">
        <v>44828</v>
      </c>
      <c r="B1015" s="82">
        <f t="shared" si="68"/>
        <v>9</v>
      </c>
      <c r="C1015">
        <f t="shared" si="67"/>
        <v>2022</v>
      </c>
      <c r="E1015" s="84" t="s">
        <v>150</v>
      </c>
      <c r="F1015" s="44">
        <v>1159740</v>
      </c>
      <c r="H1015" s="44">
        <f t="shared" si="69"/>
        <v>1159740</v>
      </c>
      <c r="L1015" s="29" t="s">
        <v>2</v>
      </c>
      <c r="M1015" s="29" t="s">
        <v>33</v>
      </c>
    </row>
    <row r="1016" spans="1:13">
      <c r="A1016" s="86">
        <v>44828</v>
      </c>
      <c r="B1016" s="82">
        <f t="shared" si="68"/>
        <v>9</v>
      </c>
      <c r="C1016">
        <f t="shared" si="67"/>
        <v>2022</v>
      </c>
      <c r="E1016" s="84" t="s">
        <v>150</v>
      </c>
      <c r="F1016" s="44">
        <v>1299942</v>
      </c>
      <c r="H1016" s="44">
        <f t="shared" si="69"/>
        <v>1299942</v>
      </c>
      <c r="L1016" s="29" t="s">
        <v>2</v>
      </c>
      <c r="M1016" s="29" t="s">
        <v>34</v>
      </c>
    </row>
    <row r="1017" spans="1:13">
      <c r="A1017" s="86">
        <v>44830</v>
      </c>
      <c r="B1017" s="82">
        <f t="shared" si="68"/>
        <v>9</v>
      </c>
      <c r="C1017">
        <f t="shared" si="67"/>
        <v>2022</v>
      </c>
      <c r="E1017" s="84" t="s">
        <v>97</v>
      </c>
      <c r="F1017" s="44">
        <v>1397760</v>
      </c>
      <c r="H1017" s="44">
        <f t="shared" si="69"/>
        <v>1397760</v>
      </c>
      <c r="L1017" s="29" t="s">
        <v>2</v>
      </c>
      <c r="M1017" s="29" t="s">
        <v>31</v>
      </c>
    </row>
    <row r="1018" spans="1:13">
      <c r="A1018" s="86">
        <v>44830</v>
      </c>
      <c r="B1018" s="82">
        <f t="shared" si="68"/>
        <v>9</v>
      </c>
      <c r="C1018">
        <f t="shared" si="67"/>
        <v>2022</v>
      </c>
      <c r="E1018" s="84" t="s">
        <v>143</v>
      </c>
      <c r="F1018" s="44">
        <v>962314.08000000007</v>
      </c>
      <c r="H1018" s="44">
        <f t="shared" si="69"/>
        <v>962314.08000000007</v>
      </c>
      <c r="I1018"/>
      <c r="M1018" t="s">
        <v>2</v>
      </c>
    </row>
    <row r="1019" spans="1:13">
      <c r="A1019" s="86">
        <v>44830</v>
      </c>
      <c r="B1019" s="82">
        <f t="shared" si="68"/>
        <v>9</v>
      </c>
      <c r="C1019">
        <f t="shared" si="67"/>
        <v>2022</v>
      </c>
      <c r="E1019" s="84" t="s">
        <v>89</v>
      </c>
      <c r="G1019" s="44">
        <v>962314.08000000007</v>
      </c>
      <c r="H1019" s="44">
        <f t="shared" si="69"/>
        <v>-962314.08000000007</v>
      </c>
      <c r="I1019"/>
      <c r="M1019" t="s">
        <v>2</v>
      </c>
    </row>
    <row r="1020" spans="1:13">
      <c r="A1020" s="86">
        <v>44830</v>
      </c>
      <c r="B1020" s="82">
        <f t="shared" si="68"/>
        <v>9</v>
      </c>
      <c r="C1020">
        <f t="shared" si="67"/>
        <v>2022</v>
      </c>
      <c r="E1020" s="84" t="s">
        <v>98</v>
      </c>
      <c r="G1020" s="44">
        <v>1397760</v>
      </c>
      <c r="H1020" s="44">
        <f t="shared" si="69"/>
        <v>-1397760</v>
      </c>
      <c r="L1020" s="29" t="s">
        <v>2</v>
      </c>
      <c r="M1020" s="93" t="s">
        <v>31</v>
      </c>
    </row>
    <row r="1021" spans="1:13">
      <c r="A1021" s="86">
        <v>44831</v>
      </c>
      <c r="B1021" s="82">
        <f t="shared" si="68"/>
        <v>9</v>
      </c>
      <c r="C1021">
        <f t="shared" si="67"/>
        <v>2022</v>
      </c>
      <c r="D1021" s="86"/>
      <c r="E1021" s="84" t="s">
        <v>68</v>
      </c>
      <c r="F1021" s="44">
        <v>810000</v>
      </c>
      <c r="H1021" s="44">
        <f t="shared" si="69"/>
        <v>810000</v>
      </c>
      <c r="L1021" t="s">
        <v>4</v>
      </c>
      <c r="M1021" s="44" t="s">
        <v>123</v>
      </c>
    </row>
    <row r="1022" spans="1:13">
      <c r="A1022" s="86">
        <v>44831</v>
      </c>
      <c r="B1022" s="82">
        <f t="shared" si="68"/>
        <v>9</v>
      </c>
      <c r="C1022">
        <f t="shared" si="67"/>
        <v>2022</v>
      </c>
      <c r="E1022" s="84" t="s">
        <v>97</v>
      </c>
      <c r="F1022" s="44">
        <v>489124</v>
      </c>
      <c r="H1022" s="44">
        <f t="shared" si="69"/>
        <v>489124</v>
      </c>
      <c r="L1022" s="29" t="s">
        <v>2</v>
      </c>
      <c r="M1022" s="29" t="s">
        <v>33</v>
      </c>
    </row>
    <row r="1023" spans="1:13">
      <c r="A1023" s="86">
        <v>44831</v>
      </c>
      <c r="B1023" s="82">
        <f t="shared" si="68"/>
        <v>9</v>
      </c>
      <c r="C1023">
        <f t="shared" si="67"/>
        <v>2022</v>
      </c>
      <c r="E1023" s="84" t="s">
        <v>97</v>
      </c>
      <c r="F1023" s="44">
        <v>1051848</v>
      </c>
      <c r="H1023" s="44">
        <f t="shared" si="69"/>
        <v>1051848</v>
      </c>
      <c r="L1023" s="29" t="s">
        <v>10</v>
      </c>
      <c r="M1023" s="29" t="s">
        <v>38</v>
      </c>
    </row>
    <row r="1024" spans="1:13">
      <c r="A1024" s="86">
        <v>44831</v>
      </c>
      <c r="B1024" s="82">
        <f t="shared" si="68"/>
        <v>9</v>
      </c>
      <c r="C1024">
        <f t="shared" si="67"/>
        <v>2022</v>
      </c>
      <c r="D1024" s="86"/>
      <c r="E1024" s="84" t="s">
        <v>97</v>
      </c>
      <c r="G1024" s="44">
        <v>754700</v>
      </c>
      <c r="H1024" s="44">
        <f t="shared" si="69"/>
        <v>-754700</v>
      </c>
      <c r="L1024" s="29" t="s">
        <v>2</v>
      </c>
      <c r="M1024" s="29" t="s">
        <v>32</v>
      </c>
    </row>
    <row r="1025" spans="1:13">
      <c r="A1025" s="86">
        <v>44831</v>
      </c>
      <c r="B1025" s="82">
        <f t="shared" si="68"/>
        <v>9</v>
      </c>
      <c r="C1025">
        <f t="shared" si="67"/>
        <v>2022</v>
      </c>
      <c r="D1025" s="86"/>
      <c r="E1025" s="84" t="s">
        <v>150</v>
      </c>
      <c r="G1025" s="44">
        <v>810000</v>
      </c>
      <c r="H1025" s="44">
        <f t="shared" si="69"/>
        <v>-810000</v>
      </c>
      <c r="L1025" t="s">
        <v>4</v>
      </c>
      <c r="M1025" s="44" t="s">
        <v>123</v>
      </c>
    </row>
    <row r="1026" spans="1:13">
      <c r="A1026" s="86">
        <v>44831</v>
      </c>
      <c r="B1026" s="82">
        <f t="shared" si="68"/>
        <v>9</v>
      </c>
      <c r="C1026">
        <f t="shared" si="67"/>
        <v>2022</v>
      </c>
      <c r="E1026" s="84" t="s">
        <v>150</v>
      </c>
      <c r="F1026" s="44">
        <v>754700</v>
      </c>
      <c r="H1026" s="44">
        <f t="shared" si="69"/>
        <v>754700</v>
      </c>
      <c r="L1026" s="29" t="s">
        <v>2</v>
      </c>
      <c r="M1026" s="29" t="s">
        <v>32</v>
      </c>
    </row>
    <row r="1027" spans="1:13">
      <c r="A1027" s="86">
        <v>44831</v>
      </c>
      <c r="B1027" s="82">
        <f t="shared" si="68"/>
        <v>9</v>
      </c>
      <c r="C1027">
        <f t="shared" si="67"/>
        <v>2022</v>
      </c>
      <c r="E1027" s="84" t="s">
        <v>143</v>
      </c>
      <c r="F1027" s="44">
        <v>247688.78599999967</v>
      </c>
      <c r="H1027" s="44">
        <f t="shared" si="69"/>
        <v>247688.78599999967</v>
      </c>
      <c r="I1027"/>
      <c r="M1027" t="s">
        <v>2</v>
      </c>
    </row>
    <row r="1028" spans="1:13">
      <c r="A1028" s="86">
        <v>44831</v>
      </c>
      <c r="B1028" s="82">
        <f t="shared" si="68"/>
        <v>9</v>
      </c>
      <c r="C1028">
        <f t="shared" si="67"/>
        <v>2022</v>
      </c>
      <c r="E1028" s="84" t="s">
        <v>143</v>
      </c>
      <c r="F1028" s="44">
        <v>748727.946</v>
      </c>
      <c r="H1028" s="44">
        <f t="shared" si="69"/>
        <v>748727.946</v>
      </c>
      <c r="I1028"/>
      <c r="M1028" t="s">
        <v>10</v>
      </c>
    </row>
    <row r="1029" spans="1:13">
      <c r="A1029" s="86">
        <v>44831</v>
      </c>
      <c r="B1029" s="82">
        <f t="shared" si="68"/>
        <v>9</v>
      </c>
      <c r="C1029">
        <f t="shared" si="67"/>
        <v>2022</v>
      </c>
      <c r="E1029" s="84" t="s">
        <v>89</v>
      </c>
      <c r="G1029" s="44">
        <v>247688.78599999967</v>
      </c>
      <c r="H1029" s="44">
        <f t="shared" si="69"/>
        <v>-247688.78599999967</v>
      </c>
      <c r="I1029"/>
      <c r="M1029" t="s">
        <v>2</v>
      </c>
    </row>
    <row r="1030" spans="1:13">
      <c r="A1030" s="86">
        <v>44831</v>
      </c>
      <c r="B1030" s="82">
        <f t="shared" si="68"/>
        <v>9</v>
      </c>
      <c r="C1030">
        <f t="shared" si="67"/>
        <v>2022</v>
      </c>
      <c r="E1030" s="84" t="s">
        <v>90</v>
      </c>
      <c r="G1030" s="44">
        <v>748727.946</v>
      </c>
      <c r="H1030" s="44">
        <f t="shared" si="69"/>
        <v>-748727.946</v>
      </c>
      <c r="I1030"/>
      <c r="M1030" t="s">
        <v>10</v>
      </c>
    </row>
    <row r="1031" spans="1:13">
      <c r="A1031" s="86">
        <v>44831</v>
      </c>
      <c r="B1031" s="82">
        <f t="shared" si="68"/>
        <v>9</v>
      </c>
      <c r="C1031">
        <f t="shared" si="67"/>
        <v>2022</v>
      </c>
      <c r="E1031" s="84" t="s">
        <v>98</v>
      </c>
      <c r="G1031" s="44">
        <v>489124</v>
      </c>
      <c r="H1031" s="44">
        <f t="shared" si="69"/>
        <v>-489124</v>
      </c>
      <c r="L1031" s="29" t="s">
        <v>2</v>
      </c>
      <c r="M1031" s="93" t="s">
        <v>33</v>
      </c>
    </row>
    <row r="1032" spans="1:13">
      <c r="A1032" s="86">
        <v>44831</v>
      </c>
      <c r="B1032" s="82">
        <f t="shared" si="68"/>
        <v>9</v>
      </c>
      <c r="C1032">
        <f t="shared" si="67"/>
        <v>2022</v>
      </c>
      <c r="E1032" s="84" t="s">
        <v>98</v>
      </c>
      <c r="G1032" s="44">
        <v>1051848</v>
      </c>
      <c r="H1032" s="44">
        <f t="shared" si="69"/>
        <v>-1051848</v>
      </c>
      <c r="L1032" s="29" t="s">
        <v>10</v>
      </c>
      <c r="M1032" s="93" t="s">
        <v>38</v>
      </c>
    </row>
    <row r="1033" spans="1:13">
      <c r="A1033" s="86">
        <v>44832</v>
      </c>
      <c r="B1033" s="82">
        <f t="shared" si="68"/>
        <v>9</v>
      </c>
      <c r="C1033">
        <f t="shared" si="67"/>
        <v>2022</v>
      </c>
      <c r="E1033" s="84" t="s">
        <v>97</v>
      </c>
      <c r="F1033" s="44">
        <v>682770</v>
      </c>
      <c r="H1033" s="44">
        <f t="shared" si="69"/>
        <v>682770</v>
      </c>
      <c r="L1033" s="29" t="s">
        <v>10</v>
      </c>
      <c r="M1033" s="29" t="s">
        <v>37</v>
      </c>
    </row>
    <row r="1034" spans="1:13">
      <c r="A1034" s="86">
        <v>44832</v>
      </c>
      <c r="B1034" s="82">
        <f t="shared" si="68"/>
        <v>9</v>
      </c>
      <c r="C1034">
        <f t="shared" si="67"/>
        <v>2022</v>
      </c>
      <c r="E1034" s="84" t="s">
        <v>143</v>
      </c>
      <c r="F1034" s="44">
        <v>412372.39</v>
      </c>
      <c r="H1034" s="44">
        <f t="shared" si="69"/>
        <v>412372.39</v>
      </c>
      <c r="I1034"/>
      <c r="M1034" t="s">
        <v>10</v>
      </c>
    </row>
    <row r="1035" spans="1:13">
      <c r="A1035" s="86">
        <v>44832</v>
      </c>
      <c r="B1035" s="82">
        <f t="shared" si="68"/>
        <v>9</v>
      </c>
      <c r="C1035">
        <f t="shared" si="67"/>
        <v>2022</v>
      </c>
      <c r="E1035" s="84" t="s">
        <v>90</v>
      </c>
      <c r="G1035" s="44">
        <v>412372.39</v>
      </c>
      <c r="H1035" s="44">
        <f t="shared" si="69"/>
        <v>-412372.39</v>
      </c>
      <c r="I1035"/>
      <c r="M1035" t="s">
        <v>10</v>
      </c>
    </row>
    <row r="1036" spans="1:13">
      <c r="A1036" s="86">
        <v>44832</v>
      </c>
      <c r="B1036" s="82">
        <f t="shared" si="68"/>
        <v>9</v>
      </c>
      <c r="C1036">
        <f t="shared" si="67"/>
        <v>2022</v>
      </c>
      <c r="E1036" s="84" t="s">
        <v>98</v>
      </c>
      <c r="G1036" s="44">
        <v>682770</v>
      </c>
      <c r="H1036" s="44">
        <f t="shared" si="69"/>
        <v>-682770</v>
      </c>
      <c r="L1036" s="29" t="s">
        <v>10</v>
      </c>
      <c r="M1036" s="93" t="s">
        <v>37</v>
      </c>
    </row>
    <row r="1037" spans="1:13">
      <c r="A1037" s="86">
        <v>44833</v>
      </c>
      <c r="B1037" s="82">
        <f t="shared" si="68"/>
        <v>9</v>
      </c>
      <c r="C1037">
        <f t="shared" ref="C1037:C1100" si="70">YEAR(A1037)</f>
        <v>2022</v>
      </c>
      <c r="E1037" s="84" t="s">
        <v>97</v>
      </c>
      <c r="F1037" s="44">
        <v>2098719</v>
      </c>
      <c r="H1037" s="44">
        <f t="shared" si="69"/>
        <v>2098719</v>
      </c>
      <c r="L1037" s="29" t="s">
        <v>14</v>
      </c>
      <c r="M1037" s="29" t="s">
        <v>39</v>
      </c>
    </row>
    <row r="1038" spans="1:13">
      <c r="A1038" s="86">
        <v>44764</v>
      </c>
      <c r="B1038" s="82">
        <f t="shared" si="68"/>
        <v>7</v>
      </c>
      <c r="C1038">
        <f t="shared" si="70"/>
        <v>2022</v>
      </c>
      <c r="E1038" s="84" t="s">
        <v>97</v>
      </c>
      <c r="F1038" s="44">
        <v>1750932</v>
      </c>
      <c r="H1038" s="44">
        <f t="shared" si="69"/>
        <v>1750932</v>
      </c>
      <c r="L1038" s="29" t="s">
        <v>14</v>
      </c>
      <c r="M1038" s="29" t="s">
        <v>40</v>
      </c>
    </row>
    <row r="1039" spans="1:13">
      <c r="A1039" s="86">
        <v>44833</v>
      </c>
      <c r="B1039" s="82">
        <f t="shared" si="68"/>
        <v>9</v>
      </c>
      <c r="C1039">
        <f t="shared" si="70"/>
        <v>2022</v>
      </c>
      <c r="E1039" s="84" t="s">
        <v>150</v>
      </c>
      <c r="F1039" s="44">
        <v>444024</v>
      </c>
      <c r="H1039" s="44">
        <f t="shared" si="69"/>
        <v>444024</v>
      </c>
      <c r="L1039" s="29" t="s">
        <v>14</v>
      </c>
      <c r="M1039" s="29" t="s">
        <v>40</v>
      </c>
    </row>
    <row r="1040" spans="1:13">
      <c r="A1040" s="86">
        <v>44833</v>
      </c>
      <c r="B1040" s="82">
        <f t="shared" si="68"/>
        <v>9</v>
      </c>
      <c r="C1040">
        <f t="shared" si="70"/>
        <v>2022</v>
      </c>
      <c r="E1040" s="84" t="s">
        <v>143</v>
      </c>
      <c r="F1040" s="44">
        <v>1943756.4420000003</v>
      </c>
      <c r="H1040" s="44">
        <f t="shared" si="69"/>
        <v>1943756.4420000003</v>
      </c>
      <c r="I1040"/>
      <c r="M1040" t="s">
        <v>14</v>
      </c>
    </row>
    <row r="1041" spans="1:13">
      <c r="A1041" s="86">
        <v>44833</v>
      </c>
      <c r="B1041" s="82">
        <f t="shared" si="68"/>
        <v>9</v>
      </c>
      <c r="C1041">
        <f t="shared" si="70"/>
        <v>2022</v>
      </c>
      <c r="E1041" s="84" t="s">
        <v>91</v>
      </c>
      <c r="G1041" s="44">
        <v>1943756.4420000003</v>
      </c>
      <c r="H1041" s="44">
        <f t="shared" si="69"/>
        <v>-1943756.4420000003</v>
      </c>
      <c r="I1041"/>
      <c r="M1041" t="s">
        <v>14</v>
      </c>
    </row>
    <row r="1042" spans="1:13">
      <c r="A1042" s="86">
        <v>44833</v>
      </c>
      <c r="B1042" s="82">
        <f t="shared" si="68"/>
        <v>9</v>
      </c>
      <c r="C1042">
        <f t="shared" si="70"/>
        <v>2022</v>
      </c>
      <c r="E1042" s="84" t="s">
        <v>98</v>
      </c>
      <c r="G1042" s="44">
        <v>2098719</v>
      </c>
      <c r="H1042" s="44">
        <f t="shared" si="69"/>
        <v>-2098719</v>
      </c>
      <c r="L1042" s="29" t="s">
        <v>14</v>
      </c>
      <c r="M1042" s="29" t="s">
        <v>39</v>
      </c>
    </row>
    <row r="1043" spans="1:13">
      <c r="A1043" s="86">
        <v>44834</v>
      </c>
      <c r="B1043" s="82">
        <f t="shared" si="68"/>
        <v>9</v>
      </c>
      <c r="C1043">
        <f t="shared" si="70"/>
        <v>2022</v>
      </c>
      <c r="E1043" s="84" t="s">
        <v>97</v>
      </c>
      <c r="F1043" s="44">
        <v>1452928</v>
      </c>
      <c r="H1043" s="44">
        <f t="shared" si="69"/>
        <v>1452928</v>
      </c>
      <c r="L1043" s="29" t="s">
        <v>2</v>
      </c>
      <c r="M1043" s="29" t="s">
        <v>34</v>
      </c>
    </row>
    <row r="1044" spans="1:13">
      <c r="A1044" s="86">
        <v>44834</v>
      </c>
      <c r="B1044" s="82">
        <f t="shared" si="68"/>
        <v>9</v>
      </c>
      <c r="C1044">
        <f t="shared" si="70"/>
        <v>2022</v>
      </c>
      <c r="E1044" s="84" t="s">
        <v>155</v>
      </c>
      <c r="F1044" s="44">
        <v>789374</v>
      </c>
      <c r="H1044" s="44">
        <f t="shared" si="69"/>
        <v>789374</v>
      </c>
      <c r="M1044"/>
    </row>
    <row r="1045" spans="1:13">
      <c r="A1045" s="86">
        <v>44834</v>
      </c>
      <c r="B1045" s="82">
        <f t="shared" si="68"/>
        <v>9</v>
      </c>
      <c r="C1045">
        <f t="shared" si="70"/>
        <v>2022</v>
      </c>
      <c r="D1045" s="86"/>
      <c r="E1045" s="84" t="s">
        <v>150</v>
      </c>
      <c r="G1045" s="44">
        <v>221912.29800000001</v>
      </c>
      <c r="H1045" s="44">
        <f t="shared" si="69"/>
        <v>-221912.29800000001</v>
      </c>
      <c r="M1045"/>
    </row>
    <row r="1046" spans="1:13">
      <c r="A1046" s="86">
        <v>44834</v>
      </c>
      <c r="B1046" s="82">
        <f t="shared" si="68"/>
        <v>9</v>
      </c>
      <c r="C1046">
        <f t="shared" si="70"/>
        <v>2022</v>
      </c>
      <c r="E1046" s="84" t="s">
        <v>150</v>
      </c>
      <c r="G1046" s="44">
        <v>926975</v>
      </c>
      <c r="H1046" s="44">
        <f t="shared" si="69"/>
        <v>-926975</v>
      </c>
      <c r="M1046"/>
    </row>
    <row r="1047" spans="1:13">
      <c r="A1047" s="86">
        <v>44834</v>
      </c>
      <c r="B1047" s="82">
        <f t="shared" ref="B1047:B1110" si="71">MONTH(A1047)</f>
        <v>9</v>
      </c>
      <c r="C1047">
        <f t="shared" si="70"/>
        <v>2022</v>
      </c>
      <c r="E1047" s="84" t="s">
        <v>150</v>
      </c>
      <c r="G1047" s="44">
        <v>776615</v>
      </c>
      <c r="H1047" s="44">
        <f t="shared" ref="H1047:H1110" si="72">F1047-G1047</f>
        <v>-776615</v>
      </c>
      <c r="M1047"/>
    </row>
    <row r="1048" spans="1:13">
      <c r="A1048" s="86">
        <v>44834</v>
      </c>
      <c r="B1048" s="82">
        <f t="shared" si="71"/>
        <v>9</v>
      </c>
      <c r="C1048">
        <f t="shared" si="70"/>
        <v>2022</v>
      </c>
      <c r="E1048" s="84" t="s">
        <v>150</v>
      </c>
      <c r="G1048" s="44">
        <v>789374</v>
      </c>
      <c r="H1048" s="44">
        <f t="shared" si="72"/>
        <v>-789374</v>
      </c>
      <c r="M1048"/>
    </row>
    <row r="1049" spans="1:13">
      <c r="A1049" s="86">
        <v>44834</v>
      </c>
      <c r="B1049" s="82">
        <f t="shared" si="71"/>
        <v>9</v>
      </c>
      <c r="C1049">
        <f t="shared" si="70"/>
        <v>2022</v>
      </c>
      <c r="E1049" s="84" t="s">
        <v>150</v>
      </c>
      <c r="F1049" s="44">
        <v>1232767</v>
      </c>
      <c r="H1049" s="44">
        <f t="shared" si="72"/>
        <v>1232767</v>
      </c>
      <c r="M1049"/>
    </row>
    <row r="1050" spans="1:13">
      <c r="A1050" s="86">
        <v>44834</v>
      </c>
      <c r="B1050" s="82">
        <f t="shared" si="71"/>
        <v>9</v>
      </c>
      <c r="C1050">
        <f t="shared" si="70"/>
        <v>2022</v>
      </c>
      <c r="E1050" s="84" t="s">
        <v>150</v>
      </c>
      <c r="G1050" s="44">
        <v>1223081</v>
      </c>
      <c r="H1050" s="44">
        <f t="shared" si="72"/>
        <v>-1223081</v>
      </c>
      <c r="M1050"/>
    </row>
    <row r="1051" spans="1:13">
      <c r="A1051" s="86">
        <v>44834</v>
      </c>
      <c r="B1051" s="82">
        <f t="shared" si="71"/>
        <v>9</v>
      </c>
      <c r="C1051">
        <f t="shared" si="70"/>
        <v>2022</v>
      </c>
      <c r="E1051" s="84" t="s">
        <v>143</v>
      </c>
      <c r="F1051" s="44">
        <v>931046.34399999981</v>
      </c>
      <c r="H1051" s="44">
        <f t="shared" si="72"/>
        <v>931046.34399999981</v>
      </c>
      <c r="I1051"/>
      <c r="M1051" t="s">
        <v>2</v>
      </c>
    </row>
    <row r="1052" spans="1:13">
      <c r="A1052" s="86">
        <v>44834</v>
      </c>
      <c r="B1052" s="82">
        <f t="shared" si="71"/>
        <v>9</v>
      </c>
      <c r="C1052">
        <f t="shared" si="70"/>
        <v>2022</v>
      </c>
      <c r="E1052" s="84" t="s">
        <v>154</v>
      </c>
      <c r="F1052" s="44">
        <v>776615</v>
      </c>
      <c r="H1052" s="44">
        <f t="shared" si="72"/>
        <v>776615</v>
      </c>
      <c r="M1052"/>
    </row>
    <row r="1053" spans="1:13">
      <c r="A1053" s="86">
        <v>44834</v>
      </c>
      <c r="B1053" s="82">
        <f t="shared" si="71"/>
        <v>9</v>
      </c>
      <c r="C1053">
        <f t="shared" si="70"/>
        <v>2022</v>
      </c>
      <c r="E1053" s="84" t="s">
        <v>159</v>
      </c>
      <c r="F1053" s="44">
        <v>1223081</v>
      </c>
      <c r="H1053" s="44">
        <f t="shared" si="72"/>
        <v>1223081</v>
      </c>
      <c r="M1053"/>
    </row>
    <row r="1054" spans="1:13">
      <c r="A1054" s="86">
        <v>44834</v>
      </c>
      <c r="B1054" s="82">
        <f t="shared" si="71"/>
        <v>9</v>
      </c>
      <c r="C1054">
        <f t="shared" si="70"/>
        <v>2022</v>
      </c>
      <c r="E1054" s="84" t="s">
        <v>158</v>
      </c>
      <c r="G1054" s="44">
        <v>1232767</v>
      </c>
      <c r="H1054" s="44">
        <f t="shared" si="72"/>
        <v>-1232767</v>
      </c>
      <c r="M1054"/>
    </row>
    <row r="1055" spans="1:13">
      <c r="A1055" s="86">
        <v>44834</v>
      </c>
      <c r="B1055" s="82">
        <f t="shared" si="71"/>
        <v>9</v>
      </c>
      <c r="C1055">
        <f t="shared" si="70"/>
        <v>2022</v>
      </c>
      <c r="E1055" s="84" t="s">
        <v>89</v>
      </c>
      <c r="G1055" s="44">
        <v>931046.34399999981</v>
      </c>
      <c r="H1055" s="44">
        <f t="shared" si="72"/>
        <v>-931046.34399999981</v>
      </c>
      <c r="I1055"/>
      <c r="M1055" t="s">
        <v>2</v>
      </c>
    </row>
    <row r="1056" spans="1:13">
      <c r="A1056" s="86">
        <v>44834</v>
      </c>
      <c r="B1056" s="82">
        <f t="shared" si="71"/>
        <v>9</v>
      </c>
      <c r="C1056">
        <f t="shared" si="70"/>
        <v>2022</v>
      </c>
      <c r="E1056" s="84" t="s">
        <v>157</v>
      </c>
      <c r="F1056" s="44">
        <v>926975</v>
      </c>
      <c r="H1056" s="44">
        <f t="shared" si="72"/>
        <v>926975</v>
      </c>
      <c r="M1056"/>
    </row>
    <row r="1057" spans="1:13">
      <c r="A1057" s="86">
        <v>44834</v>
      </c>
      <c r="B1057" s="82">
        <f t="shared" si="71"/>
        <v>9</v>
      </c>
      <c r="C1057">
        <f t="shared" si="70"/>
        <v>2022</v>
      </c>
      <c r="E1057" s="84" t="s">
        <v>98</v>
      </c>
      <c r="G1057" s="44">
        <v>1452928</v>
      </c>
      <c r="H1057" s="44">
        <f t="shared" si="72"/>
        <v>-1452928</v>
      </c>
      <c r="L1057" s="29" t="s">
        <v>2</v>
      </c>
      <c r="M1057" s="93" t="s">
        <v>34</v>
      </c>
    </row>
    <row r="1058" spans="1:13">
      <c r="A1058" s="86">
        <v>44834</v>
      </c>
      <c r="B1058" s="82">
        <f t="shared" si="71"/>
        <v>9</v>
      </c>
      <c r="C1058">
        <f t="shared" si="70"/>
        <v>2022</v>
      </c>
      <c r="D1058" s="86"/>
      <c r="E1058" s="84" t="s">
        <v>146</v>
      </c>
      <c r="F1058" s="44">
        <v>221912.29800000001</v>
      </c>
      <c r="H1058" s="44">
        <f t="shared" si="72"/>
        <v>221912.29800000001</v>
      </c>
      <c r="M1058"/>
    </row>
    <row r="1059" spans="1:13">
      <c r="A1059" s="86">
        <v>44835</v>
      </c>
      <c r="B1059" s="82">
        <f t="shared" si="71"/>
        <v>10</v>
      </c>
      <c r="C1059">
        <f t="shared" si="70"/>
        <v>2022</v>
      </c>
      <c r="E1059" s="44" t="s">
        <v>191</v>
      </c>
      <c r="F1059" s="44">
        <v>6455000</v>
      </c>
      <c r="H1059" s="44">
        <f t="shared" si="72"/>
        <v>6455000</v>
      </c>
      <c r="M1059"/>
    </row>
    <row r="1060" spans="1:13">
      <c r="A1060" s="86">
        <v>44835</v>
      </c>
      <c r="B1060" s="82">
        <f t="shared" si="71"/>
        <v>10</v>
      </c>
      <c r="C1060">
        <f t="shared" si="70"/>
        <v>2022</v>
      </c>
      <c r="E1060" s="44" t="s">
        <v>190</v>
      </c>
      <c r="F1060" s="44">
        <v>9045000</v>
      </c>
      <c r="H1060" s="44">
        <f t="shared" si="72"/>
        <v>9045000</v>
      </c>
      <c r="M1060"/>
    </row>
    <row r="1061" spans="1:13">
      <c r="A1061" s="86">
        <v>44835</v>
      </c>
      <c r="B1061" s="82">
        <f t="shared" si="71"/>
        <v>10</v>
      </c>
      <c r="C1061">
        <f t="shared" si="70"/>
        <v>2022</v>
      </c>
      <c r="E1061" t="s">
        <v>189</v>
      </c>
      <c r="F1061" s="44">
        <v>45000000</v>
      </c>
      <c r="H1061" s="44">
        <f t="shared" si="72"/>
        <v>45000000</v>
      </c>
      <c r="M1061"/>
    </row>
    <row r="1062" spans="1:13">
      <c r="A1062" s="86">
        <v>44835</v>
      </c>
      <c r="B1062" s="82">
        <f t="shared" si="71"/>
        <v>10</v>
      </c>
      <c r="C1062">
        <f t="shared" si="70"/>
        <v>2022</v>
      </c>
      <c r="E1062" s="44" t="s">
        <v>156</v>
      </c>
      <c r="G1062" s="44">
        <v>50000000</v>
      </c>
      <c r="H1062" s="44">
        <f t="shared" si="72"/>
        <v>-50000000</v>
      </c>
      <c r="M1062"/>
    </row>
    <row r="1063" spans="1:13">
      <c r="A1063" s="86">
        <v>44835</v>
      </c>
      <c r="B1063" s="82">
        <f t="shared" si="71"/>
        <v>10</v>
      </c>
      <c r="C1063">
        <f t="shared" si="70"/>
        <v>2022</v>
      </c>
      <c r="E1063" s="44" t="s">
        <v>192</v>
      </c>
      <c r="G1063" s="44">
        <v>10500000</v>
      </c>
      <c r="H1063" s="44">
        <f t="shared" si="72"/>
        <v>-10500000</v>
      </c>
      <c r="M1063"/>
    </row>
    <row r="1064" spans="1:13">
      <c r="A1064" s="86">
        <v>44837</v>
      </c>
      <c r="B1064" s="82">
        <f t="shared" si="71"/>
        <v>10</v>
      </c>
      <c r="C1064">
        <f t="shared" si="70"/>
        <v>2022</v>
      </c>
      <c r="D1064" s="86"/>
      <c r="E1064" s="84" t="s">
        <v>68</v>
      </c>
      <c r="G1064" s="44">
        <v>720000</v>
      </c>
      <c r="H1064" s="44">
        <f t="shared" si="72"/>
        <v>-720000</v>
      </c>
      <c r="L1064" t="s">
        <v>3</v>
      </c>
      <c r="M1064" s="44" t="s">
        <v>123</v>
      </c>
    </row>
    <row r="1065" spans="1:13">
      <c r="A1065" s="86">
        <v>44837</v>
      </c>
      <c r="B1065" s="82">
        <f t="shared" si="71"/>
        <v>10</v>
      </c>
      <c r="C1065">
        <f t="shared" si="70"/>
        <v>2022</v>
      </c>
      <c r="D1065" s="86"/>
      <c r="E1065" s="84" t="s">
        <v>68</v>
      </c>
      <c r="G1065" s="44">
        <v>855000</v>
      </c>
      <c r="H1065" s="44">
        <f t="shared" si="72"/>
        <v>-855000</v>
      </c>
      <c r="L1065" t="s">
        <v>4</v>
      </c>
      <c r="M1065" s="44" t="s">
        <v>123</v>
      </c>
    </row>
    <row r="1066" spans="1:13">
      <c r="A1066" s="86">
        <v>44837</v>
      </c>
      <c r="B1066" s="82">
        <f t="shared" si="71"/>
        <v>10</v>
      </c>
      <c r="C1066">
        <f t="shared" si="70"/>
        <v>2022</v>
      </c>
      <c r="D1066" s="86"/>
      <c r="E1066" s="84" t="s">
        <v>68</v>
      </c>
      <c r="G1066" s="44">
        <v>2000000</v>
      </c>
      <c r="H1066" s="44">
        <f t="shared" si="72"/>
        <v>-2000000</v>
      </c>
      <c r="L1066" t="s">
        <v>5</v>
      </c>
      <c r="M1066" s="44" t="s">
        <v>123</v>
      </c>
    </row>
    <row r="1067" spans="1:13">
      <c r="A1067" s="86">
        <v>44837</v>
      </c>
      <c r="B1067" s="82">
        <f t="shared" si="71"/>
        <v>10</v>
      </c>
      <c r="C1067">
        <f t="shared" si="70"/>
        <v>2022</v>
      </c>
      <c r="D1067" s="86"/>
      <c r="E1067" s="84" t="s">
        <v>68</v>
      </c>
      <c r="G1067" s="44">
        <v>2310000</v>
      </c>
      <c r="H1067" s="44">
        <f t="shared" si="72"/>
        <v>-2310000</v>
      </c>
      <c r="L1067" t="s">
        <v>6</v>
      </c>
      <c r="M1067" s="44" t="s">
        <v>124</v>
      </c>
    </row>
    <row r="1068" spans="1:13">
      <c r="A1068" s="86">
        <v>44837</v>
      </c>
      <c r="B1068" s="82">
        <f t="shared" si="71"/>
        <v>10</v>
      </c>
      <c r="C1068">
        <f t="shared" si="70"/>
        <v>2022</v>
      </c>
      <c r="D1068" s="86"/>
      <c r="E1068" s="84" t="s">
        <v>68</v>
      </c>
      <c r="G1068" s="44">
        <v>800000</v>
      </c>
      <c r="H1068" s="44">
        <f t="shared" si="72"/>
        <v>-800000</v>
      </c>
      <c r="L1068" t="s">
        <v>11</v>
      </c>
      <c r="M1068" s="44" t="s">
        <v>125</v>
      </c>
    </row>
    <row r="1069" spans="1:13">
      <c r="A1069" s="86">
        <v>44837</v>
      </c>
      <c r="B1069" s="82">
        <f t="shared" si="71"/>
        <v>10</v>
      </c>
      <c r="C1069">
        <f t="shared" si="70"/>
        <v>2022</v>
      </c>
      <c r="D1069" s="86"/>
      <c r="E1069" s="84" t="s">
        <v>68</v>
      </c>
      <c r="G1069" s="44">
        <v>1983695</v>
      </c>
      <c r="H1069" s="44">
        <f t="shared" si="72"/>
        <v>-1983695</v>
      </c>
      <c r="L1069" t="s">
        <v>12</v>
      </c>
      <c r="M1069" s="44" t="s">
        <v>125</v>
      </c>
    </row>
    <row r="1070" spans="1:13">
      <c r="A1070" s="86">
        <v>44837</v>
      </c>
      <c r="B1070" s="82">
        <f t="shared" si="71"/>
        <v>10</v>
      </c>
      <c r="C1070">
        <f t="shared" si="70"/>
        <v>2022</v>
      </c>
      <c r="D1070" s="86"/>
      <c r="E1070" s="84" t="s">
        <v>97</v>
      </c>
      <c r="G1070" s="44">
        <v>915151</v>
      </c>
      <c r="H1070" s="44">
        <f t="shared" si="72"/>
        <v>-915151</v>
      </c>
      <c r="L1070" s="29" t="s">
        <v>10</v>
      </c>
      <c r="M1070" s="29" t="s">
        <v>36</v>
      </c>
    </row>
    <row r="1071" spans="1:13">
      <c r="A1071" s="86">
        <v>44837</v>
      </c>
      <c r="B1071" s="82">
        <f t="shared" si="71"/>
        <v>10</v>
      </c>
      <c r="C1071">
        <f t="shared" si="70"/>
        <v>2022</v>
      </c>
      <c r="E1071" s="84" t="s">
        <v>150</v>
      </c>
      <c r="F1071" s="44">
        <v>915151</v>
      </c>
      <c r="H1071" s="44">
        <f t="shared" si="72"/>
        <v>915151</v>
      </c>
      <c r="L1071" s="29" t="s">
        <v>10</v>
      </c>
      <c r="M1071" s="29" t="s">
        <v>36</v>
      </c>
    </row>
    <row r="1072" spans="1:13">
      <c r="A1072" s="86">
        <v>44837</v>
      </c>
      <c r="B1072" s="82">
        <f t="shared" si="71"/>
        <v>10</v>
      </c>
      <c r="C1072">
        <f t="shared" si="70"/>
        <v>2022</v>
      </c>
      <c r="D1072" s="86"/>
      <c r="E1072" s="84" t="s">
        <v>67</v>
      </c>
      <c r="F1072" s="44">
        <v>720000</v>
      </c>
      <c r="H1072" s="44">
        <f t="shared" si="72"/>
        <v>720000</v>
      </c>
      <c r="L1072" t="s">
        <v>3</v>
      </c>
      <c r="M1072" s="44" t="s">
        <v>123</v>
      </c>
    </row>
    <row r="1073" spans="1:15">
      <c r="A1073" s="86">
        <v>44837</v>
      </c>
      <c r="B1073" s="82">
        <f t="shared" si="71"/>
        <v>10</v>
      </c>
      <c r="C1073">
        <f t="shared" si="70"/>
        <v>2022</v>
      </c>
      <c r="D1073" s="86"/>
      <c r="E1073" s="84" t="s">
        <v>67</v>
      </c>
      <c r="F1073" s="44">
        <v>855000</v>
      </c>
      <c r="H1073" s="44">
        <f t="shared" si="72"/>
        <v>855000</v>
      </c>
      <c r="L1073" t="s">
        <v>4</v>
      </c>
      <c r="M1073" s="44" t="s">
        <v>123</v>
      </c>
    </row>
    <row r="1074" spans="1:15">
      <c r="A1074" s="86">
        <v>44837</v>
      </c>
      <c r="B1074" s="82">
        <f t="shared" si="71"/>
        <v>10</v>
      </c>
      <c r="C1074">
        <f t="shared" si="70"/>
        <v>2022</v>
      </c>
      <c r="D1074" s="86"/>
      <c r="E1074" s="84" t="s">
        <v>67</v>
      </c>
      <c r="F1074" s="44">
        <v>2000000</v>
      </c>
      <c r="H1074" s="44">
        <f t="shared" si="72"/>
        <v>2000000</v>
      </c>
      <c r="L1074" t="s">
        <v>5</v>
      </c>
      <c r="M1074" s="44" t="s">
        <v>123</v>
      </c>
    </row>
    <row r="1075" spans="1:15">
      <c r="A1075" s="86">
        <v>44837</v>
      </c>
      <c r="B1075" s="82">
        <f t="shared" si="71"/>
        <v>10</v>
      </c>
      <c r="C1075">
        <f t="shared" si="70"/>
        <v>2022</v>
      </c>
      <c r="D1075" s="86"/>
      <c r="E1075" s="84" t="s">
        <v>67</v>
      </c>
      <c r="F1075" s="44">
        <v>2310000</v>
      </c>
      <c r="H1075" s="44">
        <f t="shared" si="72"/>
        <v>2310000</v>
      </c>
      <c r="L1075" t="s">
        <v>6</v>
      </c>
      <c r="M1075" s="44" t="s">
        <v>124</v>
      </c>
    </row>
    <row r="1076" spans="1:15">
      <c r="A1076" s="86">
        <v>44837</v>
      </c>
      <c r="B1076" s="82">
        <f t="shared" si="71"/>
        <v>10</v>
      </c>
      <c r="C1076">
        <f t="shared" si="70"/>
        <v>2022</v>
      </c>
      <c r="D1076" s="86"/>
      <c r="E1076" s="84" t="s">
        <v>67</v>
      </c>
      <c r="F1076" s="44">
        <v>800000</v>
      </c>
      <c r="H1076" s="44">
        <f t="shared" si="72"/>
        <v>800000</v>
      </c>
      <c r="L1076" t="s">
        <v>11</v>
      </c>
      <c r="M1076" s="44" t="s">
        <v>125</v>
      </c>
    </row>
    <row r="1077" spans="1:15">
      <c r="A1077" s="86">
        <v>44837</v>
      </c>
      <c r="B1077" s="82">
        <f t="shared" si="71"/>
        <v>10</v>
      </c>
      <c r="C1077">
        <f t="shared" si="70"/>
        <v>2022</v>
      </c>
      <c r="D1077" s="86"/>
      <c r="E1077" s="84" t="s">
        <v>67</v>
      </c>
      <c r="F1077" s="44">
        <v>1983695</v>
      </c>
      <c r="H1077" s="44">
        <f t="shared" si="72"/>
        <v>1983695</v>
      </c>
      <c r="L1077" t="s">
        <v>12</v>
      </c>
      <c r="M1077" s="44" t="s">
        <v>125</v>
      </c>
    </row>
    <row r="1078" spans="1:15">
      <c r="A1078" s="86">
        <v>44838</v>
      </c>
      <c r="B1078" s="82">
        <f t="shared" si="71"/>
        <v>10</v>
      </c>
      <c r="C1078">
        <f t="shared" si="70"/>
        <v>2022</v>
      </c>
      <c r="D1078" s="86"/>
      <c r="E1078" s="84" t="s">
        <v>97</v>
      </c>
      <c r="G1078" s="44">
        <v>1990443</v>
      </c>
      <c r="H1078" s="44">
        <f t="shared" si="72"/>
        <v>-1990443</v>
      </c>
      <c r="L1078" s="29" t="s">
        <v>10</v>
      </c>
      <c r="M1078" s="29" t="s">
        <v>36</v>
      </c>
    </row>
    <row r="1079" spans="1:15">
      <c r="A1079" s="86">
        <v>44838</v>
      </c>
      <c r="B1079" s="82">
        <f t="shared" si="71"/>
        <v>10</v>
      </c>
      <c r="C1079">
        <f t="shared" si="70"/>
        <v>2022</v>
      </c>
      <c r="D1079" s="86"/>
      <c r="E1079" s="84" t="s">
        <v>97</v>
      </c>
      <c r="G1079" s="44">
        <v>708324</v>
      </c>
      <c r="H1079" s="44">
        <f t="shared" si="72"/>
        <v>-708324</v>
      </c>
      <c r="L1079" s="29" t="s">
        <v>10</v>
      </c>
      <c r="M1079" s="29" t="s">
        <v>37</v>
      </c>
    </row>
    <row r="1080" spans="1:15">
      <c r="A1080" s="86">
        <v>44838</v>
      </c>
      <c r="B1080" s="82">
        <f t="shared" si="71"/>
        <v>10</v>
      </c>
      <c r="C1080">
        <f t="shared" si="70"/>
        <v>2022</v>
      </c>
      <c r="E1080" s="84" t="s">
        <v>150</v>
      </c>
      <c r="F1080" s="44">
        <v>1990443</v>
      </c>
      <c r="H1080" s="44">
        <f t="shared" si="72"/>
        <v>1990443</v>
      </c>
      <c r="L1080" s="29" t="s">
        <v>10</v>
      </c>
      <c r="M1080" s="29" t="s">
        <v>36</v>
      </c>
    </row>
    <row r="1081" spans="1:15">
      <c r="A1081" s="86">
        <v>44838</v>
      </c>
      <c r="B1081" s="82">
        <f t="shared" si="71"/>
        <v>10</v>
      </c>
      <c r="C1081">
        <f t="shared" si="70"/>
        <v>2022</v>
      </c>
      <c r="E1081" s="84" t="s">
        <v>150</v>
      </c>
      <c r="F1081" s="44">
        <v>708324</v>
      </c>
      <c r="H1081" s="44">
        <f t="shared" si="72"/>
        <v>708324</v>
      </c>
      <c r="L1081" s="29" t="s">
        <v>10</v>
      </c>
      <c r="M1081" s="29" t="s">
        <v>37</v>
      </c>
    </row>
    <row r="1082" spans="1:15">
      <c r="A1082" s="86">
        <v>44842</v>
      </c>
      <c r="B1082" s="82">
        <f t="shared" si="71"/>
        <v>10</v>
      </c>
      <c r="C1082">
        <f t="shared" si="70"/>
        <v>2022</v>
      </c>
      <c r="D1082" s="86"/>
      <c r="E1082" s="84" t="s">
        <v>68</v>
      </c>
      <c r="F1082" s="44">
        <v>2380000</v>
      </c>
      <c r="H1082" s="44">
        <f t="shared" si="72"/>
        <v>2380000</v>
      </c>
      <c r="L1082" t="s">
        <v>12</v>
      </c>
      <c r="M1082" s="44" t="s">
        <v>125</v>
      </c>
    </row>
    <row r="1083" spans="1:15">
      <c r="A1083" s="86">
        <v>44842</v>
      </c>
      <c r="B1083" s="82">
        <f t="shared" si="71"/>
        <v>10</v>
      </c>
      <c r="C1083">
        <f t="shared" si="70"/>
        <v>2022</v>
      </c>
      <c r="D1083" s="86"/>
      <c r="E1083" s="84" t="s">
        <v>150</v>
      </c>
      <c r="G1083" s="44">
        <v>2380000</v>
      </c>
      <c r="H1083" s="44">
        <f t="shared" si="72"/>
        <v>-2380000</v>
      </c>
      <c r="L1083" t="s">
        <v>12</v>
      </c>
      <c r="M1083" s="44" t="s">
        <v>125</v>
      </c>
    </row>
    <row r="1084" spans="1:15">
      <c r="A1084" s="86">
        <v>44844</v>
      </c>
      <c r="B1084" s="82">
        <f t="shared" si="71"/>
        <v>10</v>
      </c>
      <c r="C1084">
        <f t="shared" si="70"/>
        <v>2022</v>
      </c>
      <c r="D1084" s="86"/>
      <c r="E1084" s="84" t="s">
        <v>97</v>
      </c>
      <c r="G1084" s="44">
        <v>1162070</v>
      </c>
      <c r="H1084" s="44">
        <f t="shared" si="72"/>
        <v>-1162070</v>
      </c>
      <c r="L1084" s="29" t="s">
        <v>2</v>
      </c>
      <c r="M1084" s="29" t="s">
        <v>33</v>
      </c>
    </row>
    <row r="1085" spans="1:15">
      <c r="A1085" s="86">
        <v>44844</v>
      </c>
      <c r="B1085" s="82">
        <f t="shared" si="71"/>
        <v>10</v>
      </c>
      <c r="C1085">
        <f t="shared" si="70"/>
        <v>2022</v>
      </c>
      <c r="E1085" s="84" t="s">
        <v>150</v>
      </c>
      <c r="F1085" s="44">
        <v>1162070</v>
      </c>
      <c r="H1085" s="44">
        <f t="shared" si="72"/>
        <v>1162070</v>
      </c>
      <c r="L1085" s="29" t="s">
        <v>2</v>
      </c>
      <c r="M1085" s="29" t="s">
        <v>33</v>
      </c>
    </row>
    <row r="1086" spans="1:15">
      <c r="A1086" s="86">
        <v>44844</v>
      </c>
      <c r="B1086" s="82">
        <f t="shared" si="71"/>
        <v>10</v>
      </c>
      <c r="C1086">
        <f t="shared" si="70"/>
        <v>2022</v>
      </c>
      <c r="E1086" s="84" t="s">
        <v>81</v>
      </c>
      <c r="F1086" s="44">
        <v>851001.59999999986</v>
      </c>
      <c r="H1086" s="44">
        <f t="shared" si="72"/>
        <v>851001.59999999986</v>
      </c>
      <c r="L1086" t="str">
        <f>VLOOKUP(M1086,Reference!$A$16:$B$21,2,0)</f>
        <v>Supplier A</v>
      </c>
      <c r="M1086" t="s">
        <v>3</v>
      </c>
      <c r="N1086" t="str">
        <f t="shared" ref="N1086:N1091" si="73">L1086</f>
        <v>Supplier A</v>
      </c>
      <c r="O1086" t="str">
        <f t="shared" ref="O1086:O1091" si="74">M1086</f>
        <v>Component 1</v>
      </c>
    </row>
    <row r="1087" spans="1:15">
      <c r="A1087" s="86">
        <v>44844</v>
      </c>
      <c r="B1087" s="82">
        <f t="shared" si="71"/>
        <v>10</v>
      </c>
      <c r="C1087">
        <f t="shared" si="70"/>
        <v>2022</v>
      </c>
      <c r="E1087" s="84" t="s">
        <v>81</v>
      </c>
      <c r="F1087" s="44">
        <v>851028.88000000012</v>
      </c>
      <c r="H1087" s="44">
        <f t="shared" si="72"/>
        <v>851028.88000000012</v>
      </c>
      <c r="L1087" t="str">
        <f>VLOOKUP(M1087,Reference!$A$16:$B$21,2,0)</f>
        <v>Supplier A</v>
      </c>
      <c r="M1087" t="s">
        <v>4</v>
      </c>
      <c r="N1087" t="str">
        <f t="shared" si="73"/>
        <v>Supplier A</v>
      </c>
      <c r="O1087" t="str">
        <f t="shared" si="74"/>
        <v>Component 2</v>
      </c>
    </row>
    <row r="1088" spans="1:15">
      <c r="A1088" s="86">
        <v>44844</v>
      </c>
      <c r="B1088" s="82">
        <f t="shared" si="71"/>
        <v>10</v>
      </c>
      <c r="C1088">
        <f t="shared" si="70"/>
        <v>2022</v>
      </c>
      <c r="E1088" s="84" t="s">
        <v>81</v>
      </c>
      <c r="F1088" s="44">
        <v>1972135.2799999998</v>
      </c>
      <c r="H1088" s="44">
        <f t="shared" si="72"/>
        <v>1972135.2799999998</v>
      </c>
      <c r="L1088" t="str">
        <f>VLOOKUP(M1088,Reference!$A$16:$B$21,2,0)</f>
        <v>Supplier A</v>
      </c>
      <c r="M1088" t="s">
        <v>5</v>
      </c>
      <c r="N1088" t="str">
        <f t="shared" si="73"/>
        <v>Supplier A</v>
      </c>
      <c r="O1088" t="str">
        <f t="shared" si="74"/>
        <v>Component 3</v>
      </c>
    </row>
    <row r="1089" spans="1:15">
      <c r="A1089" s="86">
        <v>44844</v>
      </c>
      <c r="B1089" s="82">
        <f t="shared" si="71"/>
        <v>10</v>
      </c>
      <c r="C1089">
        <f t="shared" si="70"/>
        <v>2022</v>
      </c>
      <c r="E1089" s="84" t="s">
        <v>81</v>
      </c>
      <c r="F1089" s="44">
        <v>1886144</v>
      </c>
      <c r="H1089" s="44">
        <f t="shared" si="72"/>
        <v>1886144</v>
      </c>
      <c r="L1089" t="str">
        <f>VLOOKUP(M1089,Reference!$A$16:$B$21,2,0)</f>
        <v>Supplier B</v>
      </c>
      <c r="M1089" t="s">
        <v>6</v>
      </c>
      <c r="N1089" t="str">
        <f t="shared" si="73"/>
        <v>Supplier B</v>
      </c>
      <c r="O1089" t="str">
        <f t="shared" si="74"/>
        <v>Component 4</v>
      </c>
    </row>
    <row r="1090" spans="1:15">
      <c r="A1090" s="86">
        <v>44844</v>
      </c>
      <c r="B1090" s="82">
        <f t="shared" si="71"/>
        <v>10</v>
      </c>
      <c r="C1090">
        <f t="shared" si="70"/>
        <v>2022</v>
      </c>
      <c r="E1090" s="84" t="s">
        <v>81</v>
      </c>
      <c r="F1090" s="44">
        <v>790023.3</v>
      </c>
      <c r="H1090" s="44">
        <f t="shared" si="72"/>
        <v>790023.3</v>
      </c>
      <c r="L1090" t="str">
        <f>VLOOKUP(M1090,Reference!$A$16:$B$21,2,0)</f>
        <v>Supplier D</v>
      </c>
      <c r="M1090" t="s">
        <v>11</v>
      </c>
      <c r="N1090" t="str">
        <f t="shared" si="73"/>
        <v>Supplier D</v>
      </c>
      <c r="O1090" t="str">
        <f t="shared" si="74"/>
        <v>Component 5</v>
      </c>
    </row>
    <row r="1091" spans="1:15">
      <c r="A1091" s="86">
        <v>44844</v>
      </c>
      <c r="B1091" s="82">
        <f t="shared" si="71"/>
        <v>10</v>
      </c>
      <c r="C1091">
        <f t="shared" si="70"/>
        <v>2022</v>
      </c>
      <c r="E1091" s="84" t="s">
        <v>81</v>
      </c>
      <c r="F1091" s="44">
        <v>1785537</v>
      </c>
      <c r="H1091" s="44">
        <f t="shared" si="72"/>
        <v>1785537</v>
      </c>
      <c r="L1091" t="str">
        <f>VLOOKUP(M1091,Reference!$A$16:$B$21,2,0)</f>
        <v>Supplier D</v>
      </c>
      <c r="M1091" t="s">
        <v>12</v>
      </c>
      <c r="N1091" t="str">
        <f t="shared" si="73"/>
        <v>Supplier D</v>
      </c>
      <c r="O1091" t="str">
        <f t="shared" si="74"/>
        <v>Component 6</v>
      </c>
    </row>
    <row r="1092" spans="1:15">
      <c r="A1092" s="86">
        <v>44844</v>
      </c>
      <c r="B1092" s="82">
        <f t="shared" si="71"/>
        <v>10</v>
      </c>
      <c r="C1092">
        <f t="shared" si="70"/>
        <v>2022</v>
      </c>
      <c r="E1092" s="84" t="s">
        <v>143</v>
      </c>
      <c r="G1092" s="44">
        <v>851001.59999999986</v>
      </c>
      <c r="H1092" s="44">
        <f t="shared" si="72"/>
        <v>-851001.59999999986</v>
      </c>
      <c r="J1092"/>
      <c r="M1092" t="s">
        <v>3</v>
      </c>
    </row>
    <row r="1093" spans="1:15">
      <c r="A1093" s="86">
        <v>44844</v>
      </c>
      <c r="B1093" s="82">
        <f t="shared" si="71"/>
        <v>10</v>
      </c>
      <c r="C1093">
        <f t="shared" si="70"/>
        <v>2022</v>
      </c>
      <c r="E1093" s="84" t="s">
        <v>143</v>
      </c>
      <c r="G1093" s="44">
        <v>851028.88000000012</v>
      </c>
      <c r="H1093" s="44">
        <f t="shared" si="72"/>
        <v>-851028.88000000012</v>
      </c>
      <c r="J1093"/>
      <c r="M1093" t="s">
        <v>4</v>
      </c>
    </row>
    <row r="1094" spans="1:15">
      <c r="A1094" s="86">
        <v>44844</v>
      </c>
      <c r="B1094" s="82">
        <f t="shared" si="71"/>
        <v>10</v>
      </c>
      <c r="C1094">
        <f t="shared" si="70"/>
        <v>2022</v>
      </c>
      <c r="E1094" s="84" t="s">
        <v>143</v>
      </c>
      <c r="G1094" s="44">
        <v>1972135.2799999998</v>
      </c>
      <c r="H1094" s="44">
        <f t="shared" si="72"/>
        <v>-1972135.2799999998</v>
      </c>
      <c r="J1094"/>
      <c r="M1094" t="s">
        <v>5</v>
      </c>
    </row>
    <row r="1095" spans="1:15">
      <c r="A1095" s="86">
        <v>44844</v>
      </c>
      <c r="B1095" s="82">
        <f t="shared" si="71"/>
        <v>10</v>
      </c>
      <c r="C1095">
        <f t="shared" si="70"/>
        <v>2022</v>
      </c>
      <c r="E1095" s="84" t="s">
        <v>143</v>
      </c>
      <c r="G1095" s="44">
        <v>1886144</v>
      </c>
      <c r="H1095" s="44">
        <f t="shared" si="72"/>
        <v>-1886144</v>
      </c>
      <c r="J1095"/>
      <c r="M1095" t="s">
        <v>6</v>
      </c>
    </row>
    <row r="1096" spans="1:15">
      <c r="A1096" s="86">
        <v>44844</v>
      </c>
      <c r="B1096" s="82">
        <f t="shared" si="71"/>
        <v>10</v>
      </c>
      <c r="C1096">
        <f t="shared" si="70"/>
        <v>2022</v>
      </c>
      <c r="E1096" s="84" t="s">
        <v>143</v>
      </c>
      <c r="G1096" s="44">
        <v>790023.3</v>
      </c>
      <c r="H1096" s="44">
        <f t="shared" si="72"/>
        <v>-790023.3</v>
      </c>
      <c r="J1096"/>
      <c r="M1096" t="s">
        <v>11</v>
      </c>
    </row>
    <row r="1097" spans="1:15">
      <c r="A1097" s="86">
        <v>44844</v>
      </c>
      <c r="B1097" s="82">
        <f t="shared" si="71"/>
        <v>10</v>
      </c>
      <c r="C1097">
        <f t="shared" si="70"/>
        <v>2022</v>
      </c>
      <c r="E1097" s="84" t="s">
        <v>143</v>
      </c>
      <c r="G1097" s="44">
        <v>1785537</v>
      </c>
      <c r="H1097" s="44">
        <f t="shared" si="72"/>
        <v>-1785537</v>
      </c>
      <c r="J1097"/>
      <c r="M1097" t="s">
        <v>12</v>
      </c>
    </row>
    <row r="1098" spans="1:15">
      <c r="A1098" s="86">
        <v>44844</v>
      </c>
      <c r="B1098" s="82">
        <f t="shared" si="71"/>
        <v>10</v>
      </c>
      <c r="C1098">
        <f t="shared" si="70"/>
        <v>2022</v>
      </c>
      <c r="E1098" s="84" t="s">
        <v>67</v>
      </c>
      <c r="G1098" s="44">
        <v>851001.59999999986</v>
      </c>
      <c r="H1098" s="44">
        <f t="shared" si="72"/>
        <v>-851001.59999999986</v>
      </c>
      <c r="L1098" t="s">
        <v>3</v>
      </c>
      <c r="M1098" s="44" t="s">
        <v>123</v>
      </c>
    </row>
    <row r="1099" spans="1:15">
      <c r="A1099" s="86">
        <v>44844</v>
      </c>
      <c r="B1099" s="82">
        <f t="shared" si="71"/>
        <v>10</v>
      </c>
      <c r="C1099">
        <f t="shared" si="70"/>
        <v>2022</v>
      </c>
      <c r="E1099" s="84" t="s">
        <v>67</v>
      </c>
      <c r="G1099" s="44">
        <v>851028.88000000012</v>
      </c>
      <c r="H1099" s="44">
        <f t="shared" si="72"/>
        <v>-851028.88000000012</v>
      </c>
      <c r="L1099" t="s">
        <v>4</v>
      </c>
      <c r="M1099" s="44" t="s">
        <v>123</v>
      </c>
    </row>
    <row r="1100" spans="1:15">
      <c r="A1100" s="86">
        <v>44844</v>
      </c>
      <c r="B1100" s="82">
        <f t="shared" si="71"/>
        <v>10</v>
      </c>
      <c r="C1100">
        <f t="shared" si="70"/>
        <v>2022</v>
      </c>
      <c r="E1100" s="84" t="s">
        <v>67</v>
      </c>
      <c r="G1100" s="44">
        <v>1972135.2799999998</v>
      </c>
      <c r="H1100" s="44">
        <f t="shared" si="72"/>
        <v>-1972135.2799999998</v>
      </c>
      <c r="L1100" t="s">
        <v>5</v>
      </c>
      <c r="M1100" s="44" t="s">
        <v>123</v>
      </c>
    </row>
    <row r="1101" spans="1:15">
      <c r="A1101" s="86">
        <v>44844</v>
      </c>
      <c r="B1101" s="82">
        <f t="shared" si="71"/>
        <v>10</v>
      </c>
      <c r="C1101">
        <f t="shared" ref="C1101:C1164" si="75">YEAR(A1101)</f>
        <v>2022</v>
      </c>
      <c r="E1101" s="84" t="s">
        <v>67</v>
      </c>
      <c r="G1101" s="44">
        <v>1886144</v>
      </c>
      <c r="H1101" s="44">
        <f t="shared" si="72"/>
        <v>-1886144</v>
      </c>
      <c r="L1101" t="s">
        <v>6</v>
      </c>
      <c r="M1101" s="44" t="s">
        <v>124</v>
      </c>
    </row>
    <row r="1102" spans="1:15">
      <c r="A1102" s="86">
        <v>44844</v>
      </c>
      <c r="B1102" s="82">
        <f t="shared" si="71"/>
        <v>10</v>
      </c>
      <c r="C1102">
        <f t="shared" si="75"/>
        <v>2022</v>
      </c>
      <c r="E1102" s="84" t="s">
        <v>67</v>
      </c>
      <c r="G1102" s="44">
        <v>790023.3</v>
      </c>
      <c r="H1102" s="44">
        <f t="shared" si="72"/>
        <v>-790023.3</v>
      </c>
      <c r="L1102" t="s">
        <v>11</v>
      </c>
      <c r="M1102" s="44" t="s">
        <v>125</v>
      </c>
    </row>
    <row r="1103" spans="1:15">
      <c r="A1103" s="86">
        <v>44844</v>
      </c>
      <c r="B1103" s="82">
        <f t="shared" si="71"/>
        <v>10</v>
      </c>
      <c r="C1103">
        <f t="shared" si="75"/>
        <v>2022</v>
      </c>
      <c r="E1103" s="84" t="s">
        <v>67</v>
      </c>
      <c r="G1103" s="44">
        <v>1785537</v>
      </c>
      <c r="H1103" s="44">
        <f t="shared" si="72"/>
        <v>-1785537</v>
      </c>
      <c r="L1103" t="s">
        <v>12</v>
      </c>
      <c r="M1103" s="44" t="s">
        <v>125</v>
      </c>
    </row>
    <row r="1104" spans="1:15">
      <c r="A1104" s="86">
        <v>44845</v>
      </c>
      <c r="B1104" s="82">
        <f t="shared" si="71"/>
        <v>10</v>
      </c>
      <c r="C1104">
        <f t="shared" si="75"/>
        <v>2022</v>
      </c>
      <c r="E1104" s="84" t="s">
        <v>89</v>
      </c>
      <c r="F1104" s="44">
        <v>4188887.9299999997</v>
      </c>
      <c r="H1104" s="44">
        <f t="shared" si="72"/>
        <v>4188887.9299999997</v>
      </c>
      <c r="I1104"/>
      <c r="J1104"/>
      <c r="M1104"/>
    </row>
    <row r="1105" spans="1:13">
      <c r="A1105" s="86">
        <v>44845</v>
      </c>
      <c r="B1105" s="82">
        <f t="shared" si="71"/>
        <v>10</v>
      </c>
      <c r="C1105">
        <f t="shared" si="75"/>
        <v>2022</v>
      </c>
      <c r="E1105" s="84" t="s">
        <v>90</v>
      </c>
      <c r="F1105" s="44">
        <v>1981224.6120000002</v>
      </c>
      <c r="H1105" s="44">
        <f t="shared" si="72"/>
        <v>1981224.6120000002</v>
      </c>
      <c r="I1105"/>
      <c r="J1105"/>
      <c r="M1105"/>
    </row>
    <row r="1106" spans="1:13">
      <c r="A1106" s="86">
        <v>44845</v>
      </c>
      <c r="B1106" s="82">
        <f t="shared" si="71"/>
        <v>10</v>
      </c>
      <c r="C1106">
        <f t="shared" si="75"/>
        <v>2022</v>
      </c>
      <c r="E1106" s="84" t="s">
        <v>91</v>
      </c>
      <c r="F1106" s="44">
        <v>2187138.7860000003</v>
      </c>
      <c r="H1106" s="44">
        <f t="shared" si="72"/>
        <v>2187138.7860000003</v>
      </c>
      <c r="I1106"/>
      <c r="J1106"/>
      <c r="M1106"/>
    </row>
    <row r="1107" spans="1:13">
      <c r="A1107" s="86">
        <v>44845</v>
      </c>
      <c r="B1107" s="82">
        <f t="shared" si="71"/>
        <v>10</v>
      </c>
      <c r="C1107">
        <f t="shared" si="75"/>
        <v>2022</v>
      </c>
      <c r="E1107" s="84" t="s">
        <v>146</v>
      </c>
      <c r="G1107" s="44">
        <v>221381.26799999998</v>
      </c>
      <c r="H1107" s="44">
        <f t="shared" si="72"/>
        <v>-221381.26799999998</v>
      </c>
      <c r="I1107"/>
      <c r="J1107"/>
      <c r="M1107"/>
    </row>
    <row r="1108" spans="1:13">
      <c r="A1108" s="86">
        <v>44847</v>
      </c>
      <c r="B1108" s="82">
        <f t="shared" si="71"/>
        <v>10</v>
      </c>
      <c r="C1108">
        <f t="shared" si="75"/>
        <v>2022</v>
      </c>
      <c r="E1108" s="84" t="s">
        <v>97</v>
      </c>
      <c r="F1108" s="44">
        <v>2665260</v>
      </c>
      <c r="H1108" s="44">
        <f t="shared" si="72"/>
        <v>2665260</v>
      </c>
      <c r="L1108" s="29" t="s">
        <v>14</v>
      </c>
      <c r="M1108" s="29" t="s">
        <v>39</v>
      </c>
    </row>
    <row r="1109" spans="1:13">
      <c r="A1109" s="86">
        <v>44847</v>
      </c>
      <c r="B1109" s="82">
        <f t="shared" si="71"/>
        <v>10</v>
      </c>
      <c r="C1109">
        <f t="shared" si="75"/>
        <v>2022</v>
      </c>
      <c r="E1109" s="84" t="s">
        <v>143</v>
      </c>
      <c r="F1109" s="44">
        <v>2066553.7620000003</v>
      </c>
      <c r="H1109" s="44">
        <f t="shared" si="72"/>
        <v>2066553.7620000003</v>
      </c>
      <c r="I1109"/>
      <c r="M1109" t="s">
        <v>14</v>
      </c>
    </row>
    <row r="1110" spans="1:13">
      <c r="A1110" s="86">
        <v>44847</v>
      </c>
      <c r="B1110" s="82">
        <f t="shared" si="71"/>
        <v>10</v>
      </c>
      <c r="C1110">
        <f t="shared" si="75"/>
        <v>2022</v>
      </c>
      <c r="E1110" s="84" t="s">
        <v>91</v>
      </c>
      <c r="G1110" s="44">
        <v>2066553.7620000003</v>
      </c>
      <c r="H1110" s="44">
        <f t="shared" si="72"/>
        <v>-2066553.7620000003</v>
      </c>
      <c r="I1110"/>
      <c r="M1110" t="s">
        <v>14</v>
      </c>
    </row>
    <row r="1111" spans="1:13">
      <c r="A1111" s="86">
        <v>44847</v>
      </c>
      <c r="B1111" s="82">
        <f t="shared" ref="B1111:B1174" si="76">MONTH(A1111)</f>
        <v>10</v>
      </c>
      <c r="C1111">
        <f t="shared" si="75"/>
        <v>2022</v>
      </c>
      <c r="E1111" s="84" t="s">
        <v>98</v>
      </c>
      <c r="G1111" s="44">
        <v>2665260</v>
      </c>
      <c r="H1111" s="44">
        <f t="shared" ref="H1111:H1174" si="77">F1111-G1111</f>
        <v>-2665260</v>
      </c>
      <c r="L1111" s="29" t="s">
        <v>14</v>
      </c>
      <c r="M1111" s="29" t="s">
        <v>39</v>
      </c>
    </row>
    <row r="1112" spans="1:13">
      <c r="A1112" s="86">
        <v>44849</v>
      </c>
      <c r="B1112" s="82">
        <f t="shared" si="76"/>
        <v>10</v>
      </c>
      <c r="C1112">
        <f t="shared" si="75"/>
        <v>2022</v>
      </c>
      <c r="D1112" s="86"/>
      <c r="E1112" s="84" t="s">
        <v>97</v>
      </c>
      <c r="G1112" s="44">
        <v>3161070</v>
      </c>
      <c r="H1112" s="44">
        <f t="shared" si="77"/>
        <v>-3161070</v>
      </c>
      <c r="L1112" s="29" t="s">
        <v>14</v>
      </c>
      <c r="M1112" s="29" t="s">
        <v>39</v>
      </c>
    </row>
    <row r="1113" spans="1:13">
      <c r="A1113" s="86">
        <v>44849</v>
      </c>
      <c r="B1113" s="82">
        <f t="shared" si="76"/>
        <v>10</v>
      </c>
      <c r="C1113">
        <f t="shared" si="75"/>
        <v>2022</v>
      </c>
      <c r="E1113" s="84" t="s">
        <v>150</v>
      </c>
      <c r="F1113" s="44">
        <v>3161070</v>
      </c>
      <c r="H1113" s="44">
        <f t="shared" si="77"/>
        <v>3161070</v>
      </c>
      <c r="L1113" s="29" t="s">
        <v>14</v>
      </c>
      <c r="M1113" s="29" t="s">
        <v>39</v>
      </c>
    </row>
    <row r="1114" spans="1:13">
      <c r="A1114" s="86">
        <v>44850</v>
      </c>
      <c r="B1114" s="82">
        <f t="shared" si="76"/>
        <v>10</v>
      </c>
      <c r="C1114">
        <f t="shared" si="75"/>
        <v>2022</v>
      </c>
      <c r="E1114" s="84" t="s">
        <v>97</v>
      </c>
      <c r="F1114" s="44">
        <v>487665</v>
      </c>
      <c r="H1114" s="44">
        <f t="shared" si="77"/>
        <v>487665</v>
      </c>
      <c r="L1114" s="29" t="s">
        <v>10</v>
      </c>
      <c r="M1114" s="29" t="s">
        <v>37</v>
      </c>
    </row>
    <row r="1115" spans="1:13">
      <c r="A1115" s="86">
        <v>44850</v>
      </c>
      <c r="B1115" s="82">
        <f t="shared" si="76"/>
        <v>10</v>
      </c>
      <c r="C1115">
        <f t="shared" si="75"/>
        <v>2022</v>
      </c>
      <c r="E1115" s="84" t="s">
        <v>143</v>
      </c>
      <c r="F1115" s="44">
        <v>447806.51400000002</v>
      </c>
      <c r="H1115" s="44">
        <f t="shared" si="77"/>
        <v>447806.51400000002</v>
      </c>
      <c r="I1115"/>
      <c r="M1115" t="s">
        <v>10</v>
      </c>
    </row>
    <row r="1116" spans="1:13">
      <c r="A1116" s="86">
        <v>44850</v>
      </c>
      <c r="B1116" s="82">
        <f t="shared" si="76"/>
        <v>10</v>
      </c>
      <c r="C1116">
        <f t="shared" si="75"/>
        <v>2022</v>
      </c>
      <c r="E1116" s="84" t="s">
        <v>90</v>
      </c>
      <c r="G1116" s="44">
        <v>447806.51400000002</v>
      </c>
      <c r="H1116" s="44">
        <f t="shared" si="77"/>
        <v>-447806.51400000002</v>
      </c>
      <c r="I1116"/>
      <c r="M1116" t="s">
        <v>10</v>
      </c>
    </row>
    <row r="1117" spans="1:13">
      <c r="A1117" s="86">
        <v>44850</v>
      </c>
      <c r="B1117" s="82">
        <f t="shared" si="76"/>
        <v>10</v>
      </c>
      <c r="C1117">
        <f t="shared" si="75"/>
        <v>2022</v>
      </c>
      <c r="E1117" s="84" t="s">
        <v>98</v>
      </c>
      <c r="G1117" s="44">
        <v>487665</v>
      </c>
      <c r="H1117" s="44">
        <f t="shared" si="77"/>
        <v>-487665</v>
      </c>
      <c r="L1117" s="29" t="s">
        <v>10</v>
      </c>
      <c r="M1117" s="93" t="s">
        <v>37</v>
      </c>
    </row>
    <row r="1118" spans="1:13">
      <c r="A1118" s="86">
        <v>44851</v>
      </c>
      <c r="B1118" s="82">
        <f t="shared" si="76"/>
        <v>10</v>
      </c>
      <c r="C1118">
        <f t="shared" si="75"/>
        <v>2022</v>
      </c>
      <c r="E1118" s="84" t="s">
        <v>97</v>
      </c>
      <c r="F1118" s="44">
        <v>947030</v>
      </c>
      <c r="H1118" s="44">
        <f t="shared" si="77"/>
        <v>947030</v>
      </c>
      <c r="L1118" s="29" t="s">
        <v>10</v>
      </c>
      <c r="M1118" s="29" t="s">
        <v>36</v>
      </c>
    </row>
    <row r="1119" spans="1:13">
      <c r="A1119" s="86">
        <v>44851</v>
      </c>
      <c r="B1119" s="82">
        <f t="shared" si="76"/>
        <v>10</v>
      </c>
      <c r="C1119">
        <f t="shared" si="75"/>
        <v>2022</v>
      </c>
      <c r="E1119" s="84" t="s">
        <v>143</v>
      </c>
      <c r="F1119" s="44">
        <v>559045.33799999999</v>
      </c>
      <c r="H1119" s="44">
        <f t="shared" si="77"/>
        <v>559045.33799999999</v>
      </c>
      <c r="I1119"/>
      <c r="M1119" t="s">
        <v>10</v>
      </c>
    </row>
    <row r="1120" spans="1:13">
      <c r="A1120" s="86">
        <v>44851</v>
      </c>
      <c r="B1120" s="82">
        <f t="shared" si="76"/>
        <v>10</v>
      </c>
      <c r="C1120">
        <f t="shared" si="75"/>
        <v>2022</v>
      </c>
      <c r="E1120" s="84" t="s">
        <v>90</v>
      </c>
      <c r="G1120" s="44">
        <v>559045.33799999999</v>
      </c>
      <c r="H1120" s="44">
        <f t="shared" si="77"/>
        <v>-559045.33799999999</v>
      </c>
      <c r="I1120"/>
      <c r="M1120" t="s">
        <v>10</v>
      </c>
    </row>
    <row r="1121" spans="1:13">
      <c r="A1121" s="86">
        <v>44851</v>
      </c>
      <c r="B1121" s="82">
        <f t="shared" si="76"/>
        <v>10</v>
      </c>
      <c r="C1121">
        <f t="shared" si="75"/>
        <v>2022</v>
      </c>
      <c r="E1121" s="84" t="s">
        <v>98</v>
      </c>
      <c r="G1121" s="44">
        <v>947030</v>
      </c>
      <c r="H1121" s="44">
        <f t="shared" si="77"/>
        <v>-947030</v>
      </c>
      <c r="L1121" s="29" t="s">
        <v>10</v>
      </c>
      <c r="M1121" s="93" t="s">
        <v>36</v>
      </c>
    </row>
    <row r="1122" spans="1:13">
      <c r="A1122" s="86">
        <v>44852</v>
      </c>
      <c r="B1122" s="82">
        <f t="shared" si="76"/>
        <v>10</v>
      </c>
      <c r="C1122">
        <f t="shared" si="75"/>
        <v>2022</v>
      </c>
      <c r="E1122" s="84" t="s">
        <v>97</v>
      </c>
      <c r="F1122" s="44">
        <v>425961</v>
      </c>
      <c r="H1122" s="44">
        <f t="shared" si="77"/>
        <v>425961</v>
      </c>
      <c r="L1122" s="29" t="s">
        <v>2</v>
      </c>
      <c r="M1122" s="29" t="s">
        <v>31</v>
      </c>
    </row>
    <row r="1123" spans="1:13">
      <c r="A1123" s="86">
        <v>44852</v>
      </c>
      <c r="B1123" s="82">
        <f t="shared" si="76"/>
        <v>10</v>
      </c>
      <c r="C1123">
        <f t="shared" si="75"/>
        <v>2022</v>
      </c>
      <c r="D1123" s="86"/>
      <c r="E1123" s="84" t="s">
        <v>97</v>
      </c>
      <c r="G1123" s="44">
        <v>1019031</v>
      </c>
      <c r="H1123" s="44">
        <f t="shared" si="77"/>
        <v>-1019031</v>
      </c>
      <c r="L1123" s="29" t="s">
        <v>2</v>
      </c>
      <c r="M1123" s="29" t="s">
        <v>31</v>
      </c>
    </row>
    <row r="1124" spans="1:13">
      <c r="A1124" s="86">
        <v>44852</v>
      </c>
      <c r="B1124" s="82">
        <f t="shared" si="76"/>
        <v>10</v>
      </c>
      <c r="C1124">
        <f t="shared" si="75"/>
        <v>2022</v>
      </c>
      <c r="E1124" s="84" t="s">
        <v>150</v>
      </c>
      <c r="F1124" s="44">
        <v>1019031</v>
      </c>
      <c r="H1124" s="44">
        <f t="shared" si="77"/>
        <v>1019031</v>
      </c>
      <c r="L1124" s="29" t="s">
        <v>2</v>
      </c>
      <c r="M1124" s="29" t="s">
        <v>31</v>
      </c>
    </row>
    <row r="1125" spans="1:13">
      <c r="A1125" s="86">
        <v>44852</v>
      </c>
      <c r="B1125" s="82">
        <f t="shared" si="76"/>
        <v>10</v>
      </c>
      <c r="C1125">
        <f t="shared" si="75"/>
        <v>2022</v>
      </c>
      <c r="E1125" s="84" t="s">
        <v>143</v>
      </c>
      <c r="F1125" s="44">
        <v>341749.31400000001</v>
      </c>
      <c r="H1125" s="44">
        <f t="shared" si="77"/>
        <v>341749.31400000001</v>
      </c>
      <c r="I1125"/>
      <c r="M1125" t="s">
        <v>2</v>
      </c>
    </row>
    <row r="1126" spans="1:13">
      <c r="A1126" s="86">
        <v>44852</v>
      </c>
      <c r="B1126" s="82">
        <f t="shared" si="76"/>
        <v>10</v>
      </c>
      <c r="C1126">
        <f t="shared" si="75"/>
        <v>2022</v>
      </c>
      <c r="E1126" s="84" t="s">
        <v>89</v>
      </c>
      <c r="G1126" s="44">
        <v>341749.31400000001</v>
      </c>
      <c r="H1126" s="44">
        <f t="shared" si="77"/>
        <v>-341749.31400000001</v>
      </c>
      <c r="I1126"/>
      <c r="M1126" t="s">
        <v>2</v>
      </c>
    </row>
    <row r="1127" spans="1:13">
      <c r="A1127" s="86">
        <v>44852</v>
      </c>
      <c r="B1127" s="82">
        <f t="shared" si="76"/>
        <v>10</v>
      </c>
      <c r="C1127">
        <f t="shared" si="75"/>
        <v>2022</v>
      </c>
      <c r="E1127" s="84" t="s">
        <v>98</v>
      </c>
      <c r="G1127" s="44">
        <v>425961</v>
      </c>
      <c r="H1127" s="44">
        <f t="shared" si="77"/>
        <v>-425961</v>
      </c>
      <c r="L1127" s="29" t="s">
        <v>2</v>
      </c>
      <c r="M1127" s="93" t="s">
        <v>31</v>
      </c>
    </row>
    <row r="1128" spans="1:13">
      <c r="A1128" s="86">
        <v>44853</v>
      </c>
      <c r="B1128" s="82">
        <f t="shared" si="76"/>
        <v>10</v>
      </c>
      <c r="C1128">
        <f t="shared" si="75"/>
        <v>2022</v>
      </c>
      <c r="D1128" s="86"/>
      <c r="E1128" s="84" t="s">
        <v>97</v>
      </c>
      <c r="G1128" s="44">
        <v>1764378</v>
      </c>
      <c r="H1128" s="44">
        <f t="shared" si="77"/>
        <v>-1764378</v>
      </c>
      <c r="L1128" s="29" t="s">
        <v>2</v>
      </c>
      <c r="M1128" s="29" t="s">
        <v>33</v>
      </c>
    </row>
    <row r="1129" spans="1:13">
      <c r="A1129" s="86">
        <v>44853</v>
      </c>
      <c r="B1129" s="82">
        <f t="shared" si="76"/>
        <v>10</v>
      </c>
      <c r="C1129">
        <f t="shared" si="75"/>
        <v>2022</v>
      </c>
      <c r="D1129" s="86"/>
      <c r="E1129" s="84" t="s">
        <v>97</v>
      </c>
      <c r="G1129" s="44">
        <v>1462450</v>
      </c>
      <c r="H1129" s="44">
        <f t="shared" si="77"/>
        <v>-1462450</v>
      </c>
      <c r="L1129" s="29" t="s">
        <v>10</v>
      </c>
      <c r="M1129" s="29" t="s">
        <v>36</v>
      </c>
    </row>
    <row r="1130" spans="1:13">
      <c r="A1130" s="86">
        <v>44853</v>
      </c>
      <c r="B1130" s="82">
        <f t="shared" si="76"/>
        <v>10</v>
      </c>
      <c r="C1130">
        <f t="shared" si="75"/>
        <v>2022</v>
      </c>
      <c r="E1130" s="84" t="s">
        <v>150</v>
      </c>
      <c r="F1130" s="44">
        <v>1764378</v>
      </c>
      <c r="H1130" s="44">
        <f t="shared" si="77"/>
        <v>1764378</v>
      </c>
      <c r="L1130" s="29" t="s">
        <v>2</v>
      </c>
      <c r="M1130" s="29" t="s">
        <v>33</v>
      </c>
    </row>
    <row r="1131" spans="1:13">
      <c r="A1131" s="86">
        <v>44853</v>
      </c>
      <c r="B1131" s="82">
        <f t="shared" si="76"/>
        <v>10</v>
      </c>
      <c r="C1131">
        <f t="shared" si="75"/>
        <v>2022</v>
      </c>
      <c r="E1131" s="84" t="s">
        <v>150</v>
      </c>
      <c r="F1131" s="44">
        <v>1462450</v>
      </c>
      <c r="H1131" s="44">
        <f t="shared" si="77"/>
        <v>1462450</v>
      </c>
      <c r="L1131" s="29" t="s">
        <v>10</v>
      </c>
      <c r="M1131" s="29" t="s">
        <v>36</v>
      </c>
    </row>
    <row r="1132" spans="1:13">
      <c r="A1132" s="86">
        <v>44854</v>
      </c>
      <c r="B1132" s="82">
        <f t="shared" si="76"/>
        <v>10</v>
      </c>
      <c r="C1132">
        <f t="shared" si="75"/>
        <v>2022</v>
      </c>
      <c r="E1132" s="84" t="s">
        <v>97</v>
      </c>
      <c r="F1132" s="44">
        <v>1125402</v>
      </c>
      <c r="H1132" s="44">
        <f t="shared" si="77"/>
        <v>1125402</v>
      </c>
      <c r="L1132" s="29" t="s">
        <v>2</v>
      </c>
      <c r="M1132" s="29" t="s">
        <v>34</v>
      </c>
    </row>
    <row r="1133" spans="1:13">
      <c r="A1133" s="86">
        <v>44854</v>
      </c>
      <c r="B1133" s="82">
        <f t="shared" si="76"/>
        <v>10</v>
      </c>
      <c r="C1133">
        <f t="shared" si="75"/>
        <v>2022</v>
      </c>
      <c r="D1133" s="86"/>
      <c r="E1133" s="84" t="s">
        <v>97</v>
      </c>
      <c r="G1133" s="44">
        <v>907731</v>
      </c>
      <c r="H1133" s="44">
        <f t="shared" si="77"/>
        <v>-907731</v>
      </c>
      <c r="L1133" s="29" t="s">
        <v>2</v>
      </c>
      <c r="M1133" s="29" t="s">
        <v>34</v>
      </c>
    </row>
    <row r="1134" spans="1:13">
      <c r="A1134" s="86">
        <v>44854</v>
      </c>
      <c r="B1134" s="82">
        <f t="shared" si="76"/>
        <v>10</v>
      </c>
      <c r="C1134">
        <f t="shared" si="75"/>
        <v>2022</v>
      </c>
      <c r="E1134" s="84" t="s">
        <v>150</v>
      </c>
      <c r="F1134" s="44">
        <v>907731</v>
      </c>
      <c r="H1134" s="44">
        <f t="shared" si="77"/>
        <v>907731</v>
      </c>
      <c r="L1134" s="29" t="s">
        <v>2</v>
      </c>
      <c r="M1134" s="29" t="s">
        <v>34</v>
      </c>
    </row>
    <row r="1135" spans="1:13">
      <c r="A1135" s="86">
        <v>44854</v>
      </c>
      <c r="B1135" s="82">
        <f t="shared" si="76"/>
        <v>10</v>
      </c>
      <c r="C1135">
        <f t="shared" si="75"/>
        <v>2022</v>
      </c>
      <c r="E1135" s="84" t="s">
        <v>143</v>
      </c>
      <c r="F1135" s="44">
        <v>897470.39466666663</v>
      </c>
      <c r="H1135" s="44">
        <f t="shared" si="77"/>
        <v>897470.39466666663</v>
      </c>
      <c r="I1135"/>
      <c r="M1135" t="s">
        <v>2</v>
      </c>
    </row>
    <row r="1136" spans="1:13">
      <c r="A1136" s="86">
        <v>44854</v>
      </c>
      <c r="B1136" s="82">
        <f t="shared" si="76"/>
        <v>10</v>
      </c>
      <c r="C1136">
        <f t="shared" si="75"/>
        <v>2022</v>
      </c>
      <c r="E1136" s="84" t="s">
        <v>89</v>
      </c>
      <c r="G1136" s="44">
        <v>897470.39466666663</v>
      </c>
      <c r="H1136" s="44">
        <f t="shared" si="77"/>
        <v>-897470.39466666663</v>
      </c>
      <c r="I1136"/>
      <c r="M1136" t="s">
        <v>2</v>
      </c>
    </row>
    <row r="1137" spans="1:13">
      <c r="A1137" s="86">
        <v>44854</v>
      </c>
      <c r="B1137" s="82">
        <f t="shared" si="76"/>
        <v>10</v>
      </c>
      <c r="C1137">
        <f t="shared" si="75"/>
        <v>2022</v>
      </c>
      <c r="E1137" s="84" t="s">
        <v>98</v>
      </c>
      <c r="G1137" s="44">
        <v>1125402</v>
      </c>
      <c r="H1137" s="44">
        <f t="shared" si="77"/>
        <v>-1125402</v>
      </c>
      <c r="L1137" s="29" t="s">
        <v>2</v>
      </c>
      <c r="M1137" s="93" t="s">
        <v>34</v>
      </c>
    </row>
    <row r="1138" spans="1:13">
      <c r="A1138" s="86">
        <v>44855</v>
      </c>
      <c r="B1138" s="82">
        <f t="shared" si="76"/>
        <v>10</v>
      </c>
      <c r="C1138">
        <f t="shared" si="75"/>
        <v>2022</v>
      </c>
      <c r="D1138" s="86"/>
      <c r="E1138" s="84" t="s">
        <v>68</v>
      </c>
      <c r="F1138" s="44">
        <v>2200000</v>
      </c>
      <c r="H1138" s="44">
        <f t="shared" si="77"/>
        <v>2200000</v>
      </c>
      <c r="L1138" t="s">
        <v>5</v>
      </c>
      <c r="M1138" s="44" t="s">
        <v>123</v>
      </c>
    </row>
    <row r="1139" spans="1:13">
      <c r="A1139" s="86">
        <v>44855</v>
      </c>
      <c r="B1139" s="82">
        <f t="shared" si="76"/>
        <v>10</v>
      </c>
      <c r="C1139">
        <f t="shared" si="75"/>
        <v>2022</v>
      </c>
      <c r="E1139" s="84" t="s">
        <v>97</v>
      </c>
      <c r="F1139" s="44">
        <v>1398420</v>
      </c>
      <c r="H1139" s="44">
        <f t="shared" si="77"/>
        <v>1398420</v>
      </c>
      <c r="L1139" s="29" t="s">
        <v>2</v>
      </c>
      <c r="M1139" s="29" t="s">
        <v>32</v>
      </c>
    </row>
    <row r="1140" spans="1:13">
      <c r="A1140" s="86">
        <v>44855</v>
      </c>
      <c r="B1140" s="82">
        <f t="shared" si="76"/>
        <v>10</v>
      </c>
      <c r="C1140">
        <f t="shared" si="75"/>
        <v>2022</v>
      </c>
      <c r="D1140" s="86"/>
      <c r="E1140" s="84" t="s">
        <v>150</v>
      </c>
      <c r="G1140" s="44">
        <v>2200000</v>
      </c>
      <c r="H1140" s="44">
        <f t="shared" si="77"/>
        <v>-2200000</v>
      </c>
      <c r="L1140" t="s">
        <v>5</v>
      </c>
      <c r="M1140" s="44" t="s">
        <v>123</v>
      </c>
    </row>
    <row r="1141" spans="1:13">
      <c r="A1141" s="86">
        <v>44855</v>
      </c>
      <c r="B1141" s="82">
        <f t="shared" si="76"/>
        <v>10</v>
      </c>
      <c r="C1141">
        <f t="shared" si="75"/>
        <v>2022</v>
      </c>
      <c r="E1141" s="84" t="s">
        <v>143</v>
      </c>
      <c r="F1141" s="44">
        <v>874464.92999999993</v>
      </c>
      <c r="H1141" s="44">
        <f t="shared" si="77"/>
        <v>874464.92999999993</v>
      </c>
      <c r="I1141"/>
      <c r="M1141" t="s">
        <v>2</v>
      </c>
    </row>
    <row r="1142" spans="1:13">
      <c r="A1142" s="86">
        <v>44855</v>
      </c>
      <c r="B1142" s="82">
        <f t="shared" si="76"/>
        <v>10</v>
      </c>
      <c r="C1142">
        <f t="shared" si="75"/>
        <v>2022</v>
      </c>
      <c r="E1142" s="84" t="s">
        <v>89</v>
      </c>
      <c r="G1142" s="44">
        <v>874464.92999999993</v>
      </c>
      <c r="H1142" s="44">
        <f t="shared" si="77"/>
        <v>-874464.92999999993</v>
      </c>
      <c r="I1142"/>
      <c r="M1142" t="s">
        <v>2</v>
      </c>
    </row>
    <row r="1143" spans="1:13">
      <c r="A1143" s="86">
        <v>44855</v>
      </c>
      <c r="B1143" s="82">
        <f t="shared" si="76"/>
        <v>10</v>
      </c>
      <c r="C1143">
        <f t="shared" si="75"/>
        <v>2022</v>
      </c>
      <c r="E1143" s="84" t="s">
        <v>98</v>
      </c>
      <c r="G1143" s="44">
        <v>1398420</v>
      </c>
      <c r="H1143" s="44">
        <f t="shared" si="77"/>
        <v>-1398420</v>
      </c>
      <c r="L1143" s="29" t="s">
        <v>2</v>
      </c>
      <c r="M1143" s="93" t="s">
        <v>32</v>
      </c>
    </row>
    <row r="1144" spans="1:13">
      <c r="A1144" s="86">
        <v>44856</v>
      </c>
      <c r="B1144" s="82">
        <f t="shared" si="76"/>
        <v>10</v>
      </c>
      <c r="C1144">
        <f t="shared" si="75"/>
        <v>2022</v>
      </c>
      <c r="D1144" s="86"/>
      <c r="E1144" s="84" t="s">
        <v>97</v>
      </c>
      <c r="G1144" s="44">
        <v>670390</v>
      </c>
      <c r="H1144" s="44">
        <f t="shared" si="77"/>
        <v>-670390</v>
      </c>
      <c r="L1144" s="29" t="s">
        <v>10</v>
      </c>
      <c r="M1144" s="29" t="s">
        <v>37</v>
      </c>
    </row>
    <row r="1145" spans="1:13">
      <c r="A1145" s="86">
        <v>44856</v>
      </c>
      <c r="B1145" s="82">
        <f t="shared" si="76"/>
        <v>10</v>
      </c>
      <c r="C1145">
        <f t="shared" si="75"/>
        <v>2022</v>
      </c>
      <c r="E1145" s="84" t="s">
        <v>150</v>
      </c>
      <c r="F1145" s="44">
        <v>670390</v>
      </c>
      <c r="H1145" s="44">
        <f t="shared" si="77"/>
        <v>670390</v>
      </c>
      <c r="L1145" s="29" t="s">
        <v>10</v>
      </c>
      <c r="M1145" s="29" t="s">
        <v>37</v>
      </c>
    </row>
    <row r="1146" spans="1:13">
      <c r="A1146" s="86">
        <v>44857</v>
      </c>
      <c r="B1146" s="82">
        <f t="shared" si="76"/>
        <v>10</v>
      </c>
      <c r="C1146">
        <f t="shared" si="75"/>
        <v>2022</v>
      </c>
      <c r="E1146" s="84" t="s">
        <v>97</v>
      </c>
      <c r="F1146" s="44">
        <v>1149234</v>
      </c>
      <c r="H1146" s="44">
        <f t="shared" si="77"/>
        <v>1149234</v>
      </c>
      <c r="L1146" s="29" t="s">
        <v>2</v>
      </c>
      <c r="M1146" s="29" t="s">
        <v>33</v>
      </c>
    </row>
    <row r="1147" spans="1:13">
      <c r="A1147" s="86">
        <v>44857</v>
      </c>
      <c r="B1147" s="82">
        <f t="shared" si="76"/>
        <v>10</v>
      </c>
      <c r="C1147">
        <f t="shared" si="75"/>
        <v>2022</v>
      </c>
      <c r="E1147" s="84" t="s">
        <v>143</v>
      </c>
      <c r="F1147" s="44">
        <v>851886.81066666672</v>
      </c>
      <c r="H1147" s="44">
        <f t="shared" si="77"/>
        <v>851886.81066666672</v>
      </c>
      <c r="I1147"/>
      <c r="M1147" t="s">
        <v>2</v>
      </c>
    </row>
    <row r="1148" spans="1:13">
      <c r="A1148" s="86">
        <v>44857</v>
      </c>
      <c r="B1148" s="82">
        <f t="shared" si="76"/>
        <v>10</v>
      </c>
      <c r="C1148">
        <f t="shared" si="75"/>
        <v>2022</v>
      </c>
      <c r="E1148" s="84" t="s">
        <v>89</v>
      </c>
      <c r="G1148" s="44">
        <v>851886.81066666672</v>
      </c>
      <c r="H1148" s="44">
        <f t="shared" si="77"/>
        <v>-851886.81066666672</v>
      </c>
      <c r="I1148"/>
      <c r="M1148" t="s">
        <v>2</v>
      </c>
    </row>
    <row r="1149" spans="1:13">
      <c r="A1149" s="86">
        <v>44857</v>
      </c>
      <c r="B1149" s="82">
        <f t="shared" si="76"/>
        <v>10</v>
      </c>
      <c r="C1149">
        <f t="shared" si="75"/>
        <v>2022</v>
      </c>
      <c r="E1149" s="84" t="s">
        <v>98</v>
      </c>
      <c r="G1149" s="44">
        <v>1149234</v>
      </c>
      <c r="H1149" s="44">
        <f t="shared" si="77"/>
        <v>-1149234</v>
      </c>
      <c r="L1149" s="29" t="s">
        <v>2</v>
      </c>
      <c r="M1149" s="93" t="s">
        <v>33</v>
      </c>
    </row>
    <row r="1150" spans="1:13">
      <c r="A1150" s="86">
        <v>44858</v>
      </c>
      <c r="B1150" s="82">
        <f t="shared" si="76"/>
        <v>10</v>
      </c>
      <c r="C1150">
        <f t="shared" si="75"/>
        <v>2022</v>
      </c>
      <c r="E1150" s="84" t="s">
        <v>97</v>
      </c>
      <c r="F1150" s="44">
        <v>1391220</v>
      </c>
      <c r="H1150" s="44">
        <f t="shared" si="77"/>
        <v>1391220</v>
      </c>
      <c r="L1150" s="29" t="s">
        <v>10</v>
      </c>
      <c r="M1150" s="29" t="s">
        <v>38</v>
      </c>
    </row>
    <row r="1151" spans="1:13">
      <c r="A1151" s="86">
        <v>44858</v>
      </c>
      <c r="B1151" s="82">
        <f t="shared" si="76"/>
        <v>10</v>
      </c>
      <c r="C1151">
        <f t="shared" si="75"/>
        <v>2022</v>
      </c>
      <c r="E1151" s="84" t="s">
        <v>143</v>
      </c>
      <c r="F1151" s="44">
        <v>974372.76</v>
      </c>
      <c r="H1151" s="44">
        <f t="shared" si="77"/>
        <v>974372.76</v>
      </c>
      <c r="I1151"/>
      <c r="M1151" t="s">
        <v>10</v>
      </c>
    </row>
    <row r="1152" spans="1:13">
      <c r="A1152" s="86">
        <v>44858</v>
      </c>
      <c r="B1152" s="82">
        <f t="shared" si="76"/>
        <v>10</v>
      </c>
      <c r="C1152">
        <f t="shared" si="75"/>
        <v>2022</v>
      </c>
      <c r="E1152" s="84" t="s">
        <v>90</v>
      </c>
      <c r="G1152" s="44">
        <v>974372.76</v>
      </c>
      <c r="H1152" s="44">
        <f t="shared" si="77"/>
        <v>-974372.76</v>
      </c>
      <c r="I1152"/>
      <c r="M1152" t="s">
        <v>10</v>
      </c>
    </row>
    <row r="1153" spans="1:13">
      <c r="A1153" s="86">
        <v>44858</v>
      </c>
      <c r="B1153" s="82">
        <f t="shared" si="76"/>
        <v>10</v>
      </c>
      <c r="C1153">
        <f t="shared" si="75"/>
        <v>2022</v>
      </c>
      <c r="E1153" s="84" t="s">
        <v>98</v>
      </c>
      <c r="G1153" s="44">
        <v>1391220</v>
      </c>
      <c r="H1153" s="44">
        <f t="shared" si="77"/>
        <v>-1391220</v>
      </c>
      <c r="L1153" s="29" t="s">
        <v>10</v>
      </c>
      <c r="M1153" s="93" t="s">
        <v>38</v>
      </c>
    </row>
    <row r="1154" spans="1:13">
      <c r="A1154" s="86">
        <v>44859</v>
      </c>
      <c r="B1154" s="82">
        <f t="shared" si="76"/>
        <v>10</v>
      </c>
      <c r="C1154">
        <f t="shared" si="75"/>
        <v>2022</v>
      </c>
      <c r="E1154" s="84" t="s">
        <v>97</v>
      </c>
      <c r="F1154" s="44">
        <v>1589335</v>
      </c>
      <c r="H1154" s="44">
        <f t="shared" si="77"/>
        <v>1589335</v>
      </c>
      <c r="L1154" s="29" t="s">
        <v>2</v>
      </c>
      <c r="M1154" s="29" t="s">
        <v>35</v>
      </c>
    </row>
    <row r="1155" spans="1:13">
      <c r="A1155" s="86">
        <v>44859</v>
      </c>
      <c r="B1155" s="82">
        <f t="shared" si="76"/>
        <v>10</v>
      </c>
      <c r="C1155">
        <f t="shared" si="75"/>
        <v>2022</v>
      </c>
      <c r="E1155" s="84" t="s">
        <v>143</v>
      </c>
      <c r="F1155" s="44">
        <v>1223316.4806666668</v>
      </c>
      <c r="H1155" s="44">
        <f t="shared" si="77"/>
        <v>1223316.4806666668</v>
      </c>
      <c r="I1155"/>
      <c r="M1155" t="s">
        <v>2</v>
      </c>
    </row>
    <row r="1156" spans="1:13">
      <c r="A1156" s="86">
        <v>44859</v>
      </c>
      <c r="B1156" s="82">
        <f t="shared" si="76"/>
        <v>10</v>
      </c>
      <c r="C1156">
        <f t="shared" si="75"/>
        <v>2022</v>
      </c>
      <c r="E1156" s="84" t="s">
        <v>89</v>
      </c>
      <c r="G1156" s="44">
        <v>1223316.4806666668</v>
      </c>
      <c r="H1156" s="44">
        <f t="shared" si="77"/>
        <v>-1223316.4806666668</v>
      </c>
      <c r="I1156"/>
      <c r="M1156" t="s">
        <v>2</v>
      </c>
    </row>
    <row r="1157" spans="1:13">
      <c r="A1157" s="86">
        <v>44859</v>
      </c>
      <c r="B1157" s="82">
        <f t="shared" si="76"/>
        <v>10</v>
      </c>
      <c r="C1157">
        <f t="shared" si="75"/>
        <v>2022</v>
      </c>
      <c r="E1157" s="84" t="s">
        <v>98</v>
      </c>
      <c r="G1157" s="44">
        <v>1589335</v>
      </c>
      <c r="H1157" s="44">
        <f t="shared" si="77"/>
        <v>-1589335</v>
      </c>
      <c r="L1157" s="29" t="s">
        <v>2</v>
      </c>
      <c r="M1157" s="93" t="s">
        <v>35</v>
      </c>
    </row>
    <row r="1158" spans="1:13">
      <c r="A1158" s="86">
        <v>44860</v>
      </c>
      <c r="B1158" s="82">
        <f t="shared" si="76"/>
        <v>10</v>
      </c>
      <c r="C1158">
        <f t="shared" si="75"/>
        <v>2022</v>
      </c>
      <c r="D1158" s="86"/>
      <c r="E1158" s="84" t="s">
        <v>68</v>
      </c>
      <c r="F1158" s="44">
        <v>945000</v>
      </c>
      <c r="H1158" s="44">
        <f t="shared" si="77"/>
        <v>945000</v>
      </c>
      <c r="L1158" t="s">
        <v>4</v>
      </c>
      <c r="M1158" s="44" t="s">
        <v>123</v>
      </c>
    </row>
    <row r="1159" spans="1:13">
      <c r="A1159" s="86">
        <v>44860</v>
      </c>
      <c r="B1159" s="82">
        <f t="shared" si="76"/>
        <v>10</v>
      </c>
      <c r="C1159">
        <f t="shared" si="75"/>
        <v>2022</v>
      </c>
      <c r="D1159" s="86"/>
      <c r="E1159" s="84" t="s">
        <v>97</v>
      </c>
      <c r="G1159" s="44">
        <v>1618086</v>
      </c>
      <c r="H1159" s="44">
        <f t="shared" si="77"/>
        <v>-1618086</v>
      </c>
      <c r="L1159" s="29" t="s">
        <v>10</v>
      </c>
      <c r="M1159" s="29" t="s">
        <v>38</v>
      </c>
    </row>
    <row r="1160" spans="1:13">
      <c r="A1160" s="86">
        <v>44860</v>
      </c>
      <c r="B1160" s="82">
        <f t="shared" si="76"/>
        <v>10</v>
      </c>
      <c r="C1160">
        <f t="shared" si="75"/>
        <v>2022</v>
      </c>
      <c r="D1160" s="86"/>
      <c r="E1160" s="84" t="s">
        <v>150</v>
      </c>
      <c r="G1160" s="44">
        <v>945000</v>
      </c>
      <c r="H1160" s="44">
        <f t="shared" si="77"/>
        <v>-945000</v>
      </c>
      <c r="L1160" t="s">
        <v>4</v>
      </c>
      <c r="M1160" s="44" t="s">
        <v>123</v>
      </c>
    </row>
    <row r="1161" spans="1:13">
      <c r="A1161" s="86">
        <v>44860</v>
      </c>
      <c r="B1161" s="82">
        <f t="shared" si="76"/>
        <v>10</v>
      </c>
      <c r="C1161">
        <f t="shared" si="75"/>
        <v>2022</v>
      </c>
      <c r="E1161" s="84" t="s">
        <v>150</v>
      </c>
      <c r="F1161" s="44">
        <v>1618086</v>
      </c>
      <c r="H1161" s="44">
        <f t="shared" si="77"/>
        <v>1618086</v>
      </c>
      <c r="L1161" s="29" t="s">
        <v>10</v>
      </c>
      <c r="M1161" s="29" t="s">
        <v>38</v>
      </c>
    </row>
    <row r="1162" spans="1:13">
      <c r="A1162" s="86">
        <v>44771</v>
      </c>
      <c r="B1162" s="82">
        <f t="shared" si="76"/>
        <v>7</v>
      </c>
      <c r="C1162">
        <f t="shared" si="75"/>
        <v>2022</v>
      </c>
      <c r="D1162" s="86"/>
      <c r="E1162" s="84" t="s">
        <v>97</v>
      </c>
      <c r="G1162" s="44">
        <v>1584380</v>
      </c>
      <c r="H1162" s="44">
        <f t="shared" si="77"/>
        <v>-1584380</v>
      </c>
      <c r="L1162" s="29" t="s">
        <v>14</v>
      </c>
      <c r="M1162" s="29" t="s">
        <v>40</v>
      </c>
    </row>
    <row r="1163" spans="1:13">
      <c r="A1163" s="86">
        <v>44861</v>
      </c>
      <c r="B1163" s="82">
        <f t="shared" si="76"/>
        <v>10</v>
      </c>
      <c r="C1163">
        <f t="shared" si="75"/>
        <v>2022</v>
      </c>
      <c r="D1163" s="86"/>
      <c r="E1163" s="84" t="s">
        <v>97</v>
      </c>
      <c r="G1163" s="44">
        <v>605178</v>
      </c>
      <c r="H1163" s="44">
        <f t="shared" si="77"/>
        <v>-605178</v>
      </c>
      <c r="L1163" s="29" t="s">
        <v>2</v>
      </c>
      <c r="M1163" s="29" t="s">
        <v>35</v>
      </c>
    </row>
    <row r="1164" spans="1:13">
      <c r="A1164" s="86">
        <v>44861</v>
      </c>
      <c r="B1164" s="82">
        <f t="shared" si="76"/>
        <v>10</v>
      </c>
      <c r="C1164">
        <f t="shared" si="75"/>
        <v>2022</v>
      </c>
      <c r="E1164" s="84" t="s">
        <v>150</v>
      </c>
      <c r="F1164" s="44">
        <v>605178</v>
      </c>
      <c r="H1164" s="44">
        <f t="shared" si="77"/>
        <v>605178</v>
      </c>
      <c r="L1164" s="29" t="s">
        <v>2</v>
      </c>
      <c r="M1164" s="29" t="s">
        <v>35</v>
      </c>
    </row>
    <row r="1165" spans="1:13">
      <c r="A1165" s="86">
        <v>44861</v>
      </c>
      <c r="B1165" s="82">
        <f t="shared" si="76"/>
        <v>10</v>
      </c>
      <c r="C1165">
        <f t="shared" ref="C1165:C1191" si="78">YEAR(A1165)</f>
        <v>2022</v>
      </c>
      <c r="E1165" s="84" t="s">
        <v>143</v>
      </c>
      <c r="F1165" s="44">
        <v>120585.02400000002</v>
      </c>
      <c r="H1165" s="44">
        <f t="shared" si="77"/>
        <v>120585.02400000002</v>
      </c>
      <c r="I1165"/>
      <c r="M1165" t="s">
        <v>14</v>
      </c>
    </row>
    <row r="1166" spans="1:13">
      <c r="A1166" s="86">
        <v>44861</v>
      </c>
      <c r="B1166" s="82">
        <f t="shared" si="76"/>
        <v>10</v>
      </c>
      <c r="C1166">
        <f t="shared" si="78"/>
        <v>2022</v>
      </c>
      <c r="E1166" s="84" t="s">
        <v>91</v>
      </c>
      <c r="G1166" s="44">
        <v>120585.02400000002</v>
      </c>
      <c r="H1166" s="44">
        <f t="shared" si="77"/>
        <v>-120585.02400000002</v>
      </c>
      <c r="I1166"/>
      <c r="M1166" t="s">
        <v>14</v>
      </c>
    </row>
    <row r="1167" spans="1:13">
      <c r="A1167" s="86">
        <v>44861</v>
      </c>
      <c r="B1167" s="82">
        <f t="shared" si="76"/>
        <v>10</v>
      </c>
      <c r="C1167">
        <f t="shared" si="78"/>
        <v>2022</v>
      </c>
      <c r="E1167" s="84" t="s">
        <v>98</v>
      </c>
      <c r="G1167" s="44">
        <v>173664</v>
      </c>
      <c r="H1167" s="44">
        <f t="shared" si="77"/>
        <v>-173664</v>
      </c>
      <c r="L1167" s="29" t="s">
        <v>14</v>
      </c>
      <c r="M1167" s="93" t="s">
        <v>40</v>
      </c>
    </row>
    <row r="1168" spans="1:13">
      <c r="A1168" s="86">
        <v>44862</v>
      </c>
      <c r="B1168" s="82">
        <f t="shared" si="76"/>
        <v>10</v>
      </c>
      <c r="C1168">
        <f t="shared" si="78"/>
        <v>2022</v>
      </c>
      <c r="D1168" s="86"/>
      <c r="E1168" s="84" t="s">
        <v>97</v>
      </c>
      <c r="G1168" s="44">
        <v>577216</v>
      </c>
      <c r="H1168" s="44">
        <f t="shared" si="77"/>
        <v>-577216</v>
      </c>
      <c r="L1168" s="29" t="s">
        <v>2</v>
      </c>
      <c r="M1168" s="29" t="s">
        <v>35</v>
      </c>
    </row>
    <row r="1169" spans="1:13">
      <c r="A1169" s="86">
        <v>44862</v>
      </c>
      <c r="B1169" s="82">
        <f t="shared" si="76"/>
        <v>10</v>
      </c>
      <c r="C1169">
        <f t="shared" si="78"/>
        <v>2022</v>
      </c>
      <c r="E1169" s="84" t="s">
        <v>150</v>
      </c>
      <c r="F1169" s="44">
        <v>577216</v>
      </c>
      <c r="H1169" s="44">
        <f t="shared" si="77"/>
        <v>577216</v>
      </c>
      <c r="L1169" s="29" t="s">
        <v>2</v>
      </c>
      <c r="M1169" s="29" t="s">
        <v>35</v>
      </c>
    </row>
    <row r="1170" spans="1:13">
      <c r="A1170" s="86">
        <v>44864</v>
      </c>
      <c r="B1170" s="82">
        <f t="shared" si="76"/>
        <v>10</v>
      </c>
      <c r="C1170">
        <f t="shared" si="78"/>
        <v>2022</v>
      </c>
      <c r="D1170" s="86"/>
      <c r="E1170" s="84" t="s">
        <v>68</v>
      </c>
      <c r="F1170" s="44">
        <v>2000000</v>
      </c>
      <c r="H1170" s="44">
        <f t="shared" si="77"/>
        <v>2000000</v>
      </c>
      <c r="L1170" t="s">
        <v>5</v>
      </c>
      <c r="M1170" s="44" t="s">
        <v>123</v>
      </c>
    </row>
    <row r="1171" spans="1:13">
      <c r="A1171" s="86">
        <v>44864</v>
      </c>
      <c r="B1171" s="82">
        <f t="shared" si="76"/>
        <v>10</v>
      </c>
      <c r="C1171">
        <f t="shared" si="78"/>
        <v>2022</v>
      </c>
      <c r="D1171" s="86"/>
      <c r="E1171" s="84" t="s">
        <v>97</v>
      </c>
      <c r="G1171" s="44">
        <v>756884</v>
      </c>
      <c r="H1171" s="44">
        <f t="shared" si="77"/>
        <v>-756884</v>
      </c>
      <c r="L1171" s="29" t="s">
        <v>2</v>
      </c>
      <c r="M1171" s="29" t="s">
        <v>32</v>
      </c>
    </row>
    <row r="1172" spans="1:13">
      <c r="A1172" s="86">
        <v>44864</v>
      </c>
      <c r="B1172" s="82">
        <f t="shared" si="76"/>
        <v>10</v>
      </c>
      <c r="C1172">
        <f t="shared" si="78"/>
        <v>2022</v>
      </c>
      <c r="D1172" s="86"/>
      <c r="E1172" s="84" t="s">
        <v>150</v>
      </c>
      <c r="G1172" s="44">
        <v>2000000</v>
      </c>
      <c r="H1172" s="44">
        <f t="shared" si="77"/>
        <v>-2000000</v>
      </c>
      <c r="L1172" t="s">
        <v>5</v>
      </c>
      <c r="M1172" s="44" t="s">
        <v>123</v>
      </c>
    </row>
    <row r="1173" spans="1:13">
      <c r="A1173" s="86">
        <v>44864</v>
      </c>
      <c r="B1173" s="82">
        <f t="shared" si="76"/>
        <v>10</v>
      </c>
      <c r="C1173">
        <f t="shared" si="78"/>
        <v>2022</v>
      </c>
      <c r="E1173" s="84" t="s">
        <v>150</v>
      </c>
      <c r="F1173" s="44">
        <v>756884</v>
      </c>
      <c r="H1173" s="44">
        <f t="shared" si="77"/>
        <v>756884</v>
      </c>
      <c r="L1173" s="29" t="s">
        <v>2</v>
      </c>
      <c r="M1173" s="29" t="s">
        <v>32</v>
      </c>
    </row>
    <row r="1174" spans="1:13">
      <c r="A1174" s="86">
        <v>44865</v>
      </c>
      <c r="B1174" s="82">
        <f t="shared" si="76"/>
        <v>10</v>
      </c>
      <c r="C1174">
        <f t="shared" si="78"/>
        <v>2022</v>
      </c>
      <c r="E1174" s="84" t="s">
        <v>155</v>
      </c>
      <c r="F1174" s="44">
        <v>796762</v>
      </c>
      <c r="H1174" s="44">
        <f t="shared" si="77"/>
        <v>796762</v>
      </c>
      <c r="M1174"/>
    </row>
    <row r="1175" spans="1:13">
      <c r="A1175" s="86">
        <v>44865</v>
      </c>
      <c r="B1175" s="82">
        <f t="shared" ref="B1175:B1238" si="79">MONTH(A1175)</f>
        <v>10</v>
      </c>
      <c r="C1175">
        <f t="shared" si="78"/>
        <v>2022</v>
      </c>
      <c r="D1175" s="86"/>
      <c r="E1175" s="84" t="s">
        <v>150</v>
      </c>
      <c r="G1175" s="44">
        <v>221381.26799999998</v>
      </c>
      <c r="H1175" s="44">
        <f t="shared" ref="H1175:H1238" si="80">F1175-G1175</f>
        <v>-221381.26799999998</v>
      </c>
      <c r="M1175"/>
    </row>
    <row r="1176" spans="1:13">
      <c r="A1176" s="86">
        <v>44865</v>
      </c>
      <c r="B1176" s="82">
        <f t="shared" si="79"/>
        <v>10</v>
      </c>
      <c r="C1176">
        <f t="shared" si="78"/>
        <v>2022</v>
      </c>
      <c r="E1176" s="84" t="s">
        <v>150</v>
      </c>
      <c r="G1176" s="44">
        <v>1071231</v>
      </c>
      <c r="H1176" s="44">
        <f t="shared" si="80"/>
        <v>-1071231</v>
      </c>
      <c r="M1176"/>
    </row>
    <row r="1177" spans="1:13">
      <c r="A1177" s="86">
        <v>44865</v>
      </c>
      <c r="B1177" s="82">
        <f t="shared" si="79"/>
        <v>10</v>
      </c>
      <c r="C1177">
        <f t="shared" si="78"/>
        <v>2022</v>
      </c>
      <c r="E1177" s="84" t="s">
        <v>150</v>
      </c>
      <c r="G1177" s="44">
        <v>789096</v>
      </c>
      <c r="H1177" s="44">
        <f t="shared" si="80"/>
        <v>-789096</v>
      </c>
      <c r="M1177"/>
    </row>
    <row r="1178" spans="1:13">
      <c r="A1178" s="86">
        <v>44865</v>
      </c>
      <c r="B1178" s="82">
        <f t="shared" si="79"/>
        <v>10</v>
      </c>
      <c r="C1178">
        <f t="shared" si="78"/>
        <v>2022</v>
      </c>
      <c r="E1178" s="84" t="s">
        <v>150</v>
      </c>
      <c r="G1178" s="44">
        <v>796762</v>
      </c>
      <c r="H1178" s="44">
        <f t="shared" si="80"/>
        <v>-796762</v>
      </c>
      <c r="M1178"/>
    </row>
    <row r="1179" spans="1:13">
      <c r="A1179" s="86">
        <v>44865</v>
      </c>
      <c r="B1179" s="82">
        <f t="shared" si="79"/>
        <v>10</v>
      </c>
      <c r="C1179">
        <f t="shared" si="78"/>
        <v>2022</v>
      </c>
      <c r="E1179" s="84" t="s">
        <v>150</v>
      </c>
      <c r="F1179" s="44">
        <v>1205676</v>
      </c>
      <c r="H1179" s="44">
        <f t="shared" si="80"/>
        <v>1205676</v>
      </c>
      <c r="M1179"/>
    </row>
    <row r="1180" spans="1:13">
      <c r="A1180" s="86">
        <v>44865</v>
      </c>
      <c r="B1180" s="82">
        <f t="shared" si="79"/>
        <v>10</v>
      </c>
      <c r="C1180">
        <f t="shared" si="78"/>
        <v>2022</v>
      </c>
      <c r="E1180" s="84" t="s">
        <v>150</v>
      </c>
      <c r="G1180" s="44">
        <v>1216045</v>
      </c>
      <c r="H1180" s="44">
        <f t="shared" si="80"/>
        <v>-1216045</v>
      </c>
      <c r="M1180"/>
    </row>
    <row r="1181" spans="1:13">
      <c r="A1181" s="86">
        <v>44865</v>
      </c>
      <c r="B1181" s="82">
        <f t="shared" si="79"/>
        <v>10</v>
      </c>
      <c r="C1181">
        <f t="shared" si="78"/>
        <v>2022</v>
      </c>
      <c r="E1181" s="84" t="s">
        <v>154</v>
      </c>
      <c r="F1181" s="44">
        <v>789096</v>
      </c>
      <c r="H1181" s="44">
        <f t="shared" si="80"/>
        <v>789096</v>
      </c>
      <c r="M1181"/>
    </row>
    <row r="1182" spans="1:13">
      <c r="A1182" s="86">
        <v>44865</v>
      </c>
      <c r="B1182" s="82">
        <f t="shared" si="79"/>
        <v>10</v>
      </c>
      <c r="C1182">
        <f t="shared" si="78"/>
        <v>2022</v>
      </c>
      <c r="E1182" s="84" t="s">
        <v>159</v>
      </c>
      <c r="F1182" s="44">
        <v>1216045</v>
      </c>
      <c r="H1182" s="44">
        <f t="shared" si="80"/>
        <v>1216045</v>
      </c>
      <c r="M1182"/>
    </row>
    <row r="1183" spans="1:13">
      <c r="A1183" s="86">
        <v>44865</v>
      </c>
      <c r="B1183" s="82">
        <f t="shared" si="79"/>
        <v>10</v>
      </c>
      <c r="C1183">
        <f t="shared" si="78"/>
        <v>2022</v>
      </c>
      <c r="E1183" s="84" t="s">
        <v>158</v>
      </c>
      <c r="G1183" s="44">
        <v>1205676</v>
      </c>
      <c r="H1183" s="44">
        <f t="shared" si="80"/>
        <v>-1205676</v>
      </c>
      <c r="M1183"/>
    </row>
    <row r="1184" spans="1:13">
      <c r="A1184" s="86">
        <v>44865</v>
      </c>
      <c r="B1184" s="82">
        <f t="shared" si="79"/>
        <v>10</v>
      </c>
      <c r="C1184">
        <f t="shared" si="78"/>
        <v>2022</v>
      </c>
      <c r="E1184" s="84" t="s">
        <v>157</v>
      </c>
      <c r="F1184" s="44">
        <v>1071231</v>
      </c>
      <c r="H1184" s="44">
        <f t="shared" si="80"/>
        <v>1071231</v>
      </c>
      <c r="M1184"/>
    </row>
    <row r="1185" spans="1:13">
      <c r="A1185" s="86">
        <v>44865</v>
      </c>
      <c r="B1185" s="82">
        <f t="shared" si="79"/>
        <v>10</v>
      </c>
      <c r="C1185">
        <f t="shared" si="78"/>
        <v>2022</v>
      </c>
      <c r="D1185" s="86"/>
      <c r="E1185" s="84" t="s">
        <v>146</v>
      </c>
      <c r="F1185" s="44">
        <v>221381.26799999998</v>
      </c>
      <c r="H1185" s="44">
        <f t="shared" si="80"/>
        <v>221381.26799999998</v>
      </c>
      <c r="M1185"/>
    </row>
    <row r="1186" spans="1:13">
      <c r="A1186" s="86">
        <v>44866</v>
      </c>
      <c r="B1186" s="82">
        <f t="shared" si="79"/>
        <v>11</v>
      </c>
      <c r="C1186">
        <f t="shared" si="78"/>
        <v>2022</v>
      </c>
      <c r="D1186" s="86"/>
      <c r="E1186" s="84" t="s">
        <v>68</v>
      </c>
      <c r="G1186" s="44">
        <v>880000</v>
      </c>
      <c r="H1186" s="44">
        <f t="shared" si="80"/>
        <v>-880000</v>
      </c>
      <c r="L1186" t="s">
        <v>3</v>
      </c>
      <c r="M1186" s="44" t="s">
        <v>123</v>
      </c>
    </row>
    <row r="1187" spans="1:13">
      <c r="A1187" s="86">
        <v>44866</v>
      </c>
      <c r="B1187" s="82">
        <f t="shared" si="79"/>
        <v>11</v>
      </c>
      <c r="C1187">
        <f t="shared" si="78"/>
        <v>2022</v>
      </c>
      <c r="D1187" s="86"/>
      <c r="E1187" s="84" t="s">
        <v>68</v>
      </c>
      <c r="G1187" s="44">
        <v>765000</v>
      </c>
      <c r="H1187" s="44">
        <f t="shared" si="80"/>
        <v>-765000</v>
      </c>
      <c r="L1187" t="s">
        <v>4</v>
      </c>
      <c r="M1187" s="44" t="s">
        <v>123</v>
      </c>
    </row>
    <row r="1188" spans="1:13">
      <c r="A1188" s="86">
        <v>44866</v>
      </c>
      <c r="B1188" s="82">
        <f t="shared" si="79"/>
        <v>11</v>
      </c>
      <c r="C1188">
        <f t="shared" si="78"/>
        <v>2022</v>
      </c>
      <c r="D1188" s="86"/>
      <c r="E1188" s="84" t="s">
        <v>68</v>
      </c>
      <c r="G1188" s="44">
        <v>1800000</v>
      </c>
      <c r="H1188" s="44">
        <f t="shared" si="80"/>
        <v>-1800000</v>
      </c>
      <c r="L1188" t="s">
        <v>5</v>
      </c>
      <c r="M1188" s="44" t="s">
        <v>123</v>
      </c>
    </row>
    <row r="1189" spans="1:13">
      <c r="A1189" s="86">
        <v>44866</v>
      </c>
      <c r="B1189" s="82">
        <f t="shared" si="79"/>
        <v>11</v>
      </c>
      <c r="C1189">
        <f t="shared" si="78"/>
        <v>2022</v>
      </c>
      <c r="D1189" s="86"/>
      <c r="E1189" s="84" t="s">
        <v>68</v>
      </c>
      <c r="G1189" s="44">
        <v>2090000</v>
      </c>
      <c r="H1189" s="44">
        <f t="shared" si="80"/>
        <v>-2090000</v>
      </c>
      <c r="L1189" t="s">
        <v>6</v>
      </c>
      <c r="M1189" s="44" t="s">
        <v>124</v>
      </c>
    </row>
    <row r="1190" spans="1:13">
      <c r="A1190" s="86">
        <v>44866</v>
      </c>
      <c r="B1190" s="82">
        <f t="shared" si="79"/>
        <v>11</v>
      </c>
      <c r="C1190">
        <f t="shared" si="78"/>
        <v>2022</v>
      </c>
      <c r="D1190" s="86"/>
      <c r="E1190" s="84" t="s">
        <v>68</v>
      </c>
      <c r="G1190" s="44">
        <v>800000</v>
      </c>
      <c r="H1190" s="44">
        <f t="shared" si="80"/>
        <v>-800000</v>
      </c>
      <c r="L1190" t="s">
        <v>11</v>
      </c>
      <c r="M1190" s="44" t="s">
        <v>125</v>
      </c>
    </row>
    <row r="1191" spans="1:13">
      <c r="A1191" s="86">
        <v>44866</v>
      </c>
      <c r="B1191" s="82">
        <f t="shared" si="79"/>
        <v>11</v>
      </c>
      <c r="C1191">
        <f t="shared" si="78"/>
        <v>2022</v>
      </c>
      <c r="D1191" s="86"/>
      <c r="E1191" s="84" t="s">
        <v>68</v>
      </c>
      <c r="G1191" s="44">
        <v>1774885</v>
      </c>
      <c r="H1191" s="44">
        <f t="shared" si="80"/>
        <v>-1774885</v>
      </c>
      <c r="L1191" t="s">
        <v>12</v>
      </c>
      <c r="M1191" s="44" t="s">
        <v>125</v>
      </c>
    </row>
    <row r="1192" spans="1:13">
      <c r="A1192" s="86">
        <v>44866</v>
      </c>
      <c r="B1192" s="82">
        <f t="shared" si="79"/>
        <v>11</v>
      </c>
      <c r="C1192">
        <v>2022</v>
      </c>
      <c r="E1192" s="84" t="s">
        <v>191</v>
      </c>
      <c r="F1192" s="44">
        <v>6455000</v>
      </c>
      <c r="H1192" s="44">
        <f t="shared" si="80"/>
        <v>6455000</v>
      </c>
      <c r="M1192"/>
    </row>
    <row r="1193" spans="1:13">
      <c r="A1193" s="86">
        <v>44866</v>
      </c>
      <c r="B1193" s="82">
        <f t="shared" si="79"/>
        <v>11</v>
      </c>
      <c r="C1193">
        <v>2022</v>
      </c>
      <c r="E1193" s="84" t="s">
        <v>190</v>
      </c>
      <c r="F1193" s="44">
        <v>9045000</v>
      </c>
      <c r="H1193" s="44">
        <f t="shared" si="80"/>
        <v>9045000</v>
      </c>
      <c r="M1193"/>
    </row>
    <row r="1194" spans="1:13">
      <c r="A1194" s="86">
        <v>44866</v>
      </c>
      <c r="B1194" s="82">
        <f t="shared" si="79"/>
        <v>11</v>
      </c>
      <c r="C1194">
        <v>2022</v>
      </c>
      <c r="E1194" s="84" t="s">
        <v>189</v>
      </c>
      <c r="F1194" s="44">
        <v>45000000</v>
      </c>
      <c r="H1194" s="44">
        <f t="shared" si="80"/>
        <v>45000000</v>
      </c>
      <c r="M1194"/>
    </row>
    <row r="1195" spans="1:13">
      <c r="A1195" s="86">
        <v>44866</v>
      </c>
      <c r="B1195" s="82">
        <f t="shared" si="79"/>
        <v>11</v>
      </c>
      <c r="C1195">
        <f t="shared" ref="C1195:C1200" si="81">YEAR(A1195)</f>
        <v>2022</v>
      </c>
      <c r="D1195" s="86"/>
      <c r="E1195" s="84" t="s">
        <v>67</v>
      </c>
      <c r="F1195" s="44">
        <v>880000</v>
      </c>
      <c r="H1195" s="44">
        <f t="shared" si="80"/>
        <v>880000</v>
      </c>
      <c r="L1195" t="s">
        <v>3</v>
      </c>
      <c r="M1195" s="44" t="s">
        <v>123</v>
      </c>
    </row>
    <row r="1196" spans="1:13">
      <c r="A1196" s="86">
        <v>44866</v>
      </c>
      <c r="B1196" s="82">
        <f t="shared" si="79"/>
        <v>11</v>
      </c>
      <c r="C1196">
        <f t="shared" si="81"/>
        <v>2022</v>
      </c>
      <c r="D1196" s="86"/>
      <c r="E1196" s="84" t="s">
        <v>67</v>
      </c>
      <c r="F1196" s="44">
        <v>765000</v>
      </c>
      <c r="H1196" s="44">
        <f t="shared" si="80"/>
        <v>765000</v>
      </c>
      <c r="L1196" t="s">
        <v>4</v>
      </c>
      <c r="M1196" s="44" t="s">
        <v>123</v>
      </c>
    </row>
    <row r="1197" spans="1:13">
      <c r="A1197" s="86">
        <v>44866</v>
      </c>
      <c r="B1197" s="82">
        <f t="shared" si="79"/>
        <v>11</v>
      </c>
      <c r="C1197">
        <f t="shared" si="81"/>
        <v>2022</v>
      </c>
      <c r="D1197" s="86"/>
      <c r="E1197" s="84" t="s">
        <v>67</v>
      </c>
      <c r="F1197" s="44">
        <v>1800000</v>
      </c>
      <c r="H1197" s="44">
        <f t="shared" si="80"/>
        <v>1800000</v>
      </c>
      <c r="L1197" t="s">
        <v>5</v>
      </c>
      <c r="M1197" s="44" t="s">
        <v>123</v>
      </c>
    </row>
    <row r="1198" spans="1:13">
      <c r="A1198" s="86">
        <v>44866</v>
      </c>
      <c r="B1198" s="82">
        <f t="shared" si="79"/>
        <v>11</v>
      </c>
      <c r="C1198">
        <f t="shared" si="81"/>
        <v>2022</v>
      </c>
      <c r="D1198" s="86"/>
      <c r="E1198" s="84" t="s">
        <v>67</v>
      </c>
      <c r="F1198" s="44">
        <v>2090000</v>
      </c>
      <c r="H1198" s="44">
        <f t="shared" si="80"/>
        <v>2090000</v>
      </c>
      <c r="L1198" t="s">
        <v>6</v>
      </c>
      <c r="M1198" s="44" t="s">
        <v>124</v>
      </c>
    </row>
    <row r="1199" spans="1:13">
      <c r="A1199" s="86">
        <v>44866</v>
      </c>
      <c r="B1199" s="82">
        <f t="shared" si="79"/>
        <v>11</v>
      </c>
      <c r="C1199">
        <f t="shared" si="81"/>
        <v>2022</v>
      </c>
      <c r="D1199" s="86"/>
      <c r="E1199" s="84" t="s">
        <v>67</v>
      </c>
      <c r="F1199" s="44">
        <v>800000</v>
      </c>
      <c r="H1199" s="44">
        <f t="shared" si="80"/>
        <v>800000</v>
      </c>
      <c r="L1199" t="s">
        <v>11</v>
      </c>
      <c r="M1199" s="44" t="s">
        <v>125</v>
      </c>
    </row>
    <row r="1200" spans="1:13">
      <c r="A1200" s="86">
        <v>44866</v>
      </c>
      <c r="B1200" s="82">
        <f t="shared" si="79"/>
        <v>11</v>
      </c>
      <c r="C1200">
        <f t="shared" si="81"/>
        <v>2022</v>
      </c>
      <c r="D1200" s="86"/>
      <c r="E1200" s="84" t="s">
        <v>67</v>
      </c>
      <c r="F1200" s="44">
        <v>1774885</v>
      </c>
      <c r="H1200" s="44">
        <f t="shared" si="80"/>
        <v>1774885</v>
      </c>
      <c r="L1200" t="s">
        <v>12</v>
      </c>
      <c r="M1200" s="44" t="s">
        <v>125</v>
      </c>
    </row>
    <row r="1201" spans="1:15">
      <c r="A1201" s="86">
        <v>44866</v>
      </c>
      <c r="B1201" s="82">
        <f t="shared" si="79"/>
        <v>11</v>
      </c>
      <c r="C1201">
        <v>2022</v>
      </c>
      <c r="E1201" s="84" t="s">
        <v>156</v>
      </c>
      <c r="G1201" s="44">
        <v>50000000</v>
      </c>
      <c r="H1201" s="44">
        <f t="shared" si="80"/>
        <v>-50000000</v>
      </c>
      <c r="M1201"/>
    </row>
    <row r="1202" spans="1:15">
      <c r="A1202" s="86">
        <v>44866</v>
      </c>
      <c r="B1202" s="82">
        <f t="shared" si="79"/>
        <v>11</v>
      </c>
      <c r="C1202">
        <v>2022</v>
      </c>
      <c r="E1202" s="84" t="s">
        <v>192</v>
      </c>
      <c r="G1202" s="44">
        <v>10500000</v>
      </c>
      <c r="H1202" s="44">
        <f t="shared" si="80"/>
        <v>-10500000</v>
      </c>
      <c r="M1202"/>
    </row>
    <row r="1203" spans="1:15">
      <c r="A1203" s="86">
        <v>44871</v>
      </c>
      <c r="B1203" s="82">
        <f t="shared" si="79"/>
        <v>11</v>
      </c>
      <c r="C1203">
        <f t="shared" ref="C1203:C1234" si="82">YEAR(A1203)</f>
        <v>2022</v>
      </c>
      <c r="D1203" s="86"/>
      <c r="E1203" s="84" t="s">
        <v>68</v>
      </c>
      <c r="F1203" s="44">
        <v>2090000</v>
      </c>
      <c r="H1203" s="44">
        <f t="shared" si="80"/>
        <v>2090000</v>
      </c>
      <c r="L1203" t="s">
        <v>6</v>
      </c>
      <c r="M1203" s="44" t="s">
        <v>124</v>
      </c>
    </row>
    <row r="1204" spans="1:15">
      <c r="A1204" s="86">
        <v>44871</v>
      </c>
      <c r="B1204" s="82">
        <f t="shared" si="79"/>
        <v>11</v>
      </c>
      <c r="C1204">
        <f t="shared" si="82"/>
        <v>2022</v>
      </c>
      <c r="D1204" s="86"/>
      <c r="E1204" s="84" t="s">
        <v>150</v>
      </c>
      <c r="G1204" s="44">
        <v>2090000</v>
      </c>
      <c r="H1204" s="44">
        <f t="shared" si="80"/>
        <v>-2090000</v>
      </c>
      <c r="L1204" t="s">
        <v>6</v>
      </c>
      <c r="M1204" s="44" t="s">
        <v>124</v>
      </c>
    </row>
    <row r="1205" spans="1:15">
      <c r="A1205" s="86">
        <v>44872</v>
      </c>
      <c r="B1205" s="82">
        <f t="shared" si="79"/>
        <v>11</v>
      </c>
      <c r="C1205">
        <f t="shared" si="82"/>
        <v>2022</v>
      </c>
      <c r="D1205" s="86"/>
      <c r="E1205" s="84" t="s">
        <v>68</v>
      </c>
      <c r="F1205" s="44">
        <v>1774885</v>
      </c>
      <c r="H1205" s="44">
        <f t="shared" si="80"/>
        <v>1774885</v>
      </c>
      <c r="L1205" t="s">
        <v>12</v>
      </c>
      <c r="M1205" s="44" t="s">
        <v>125</v>
      </c>
    </row>
    <row r="1206" spans="1:15">
      <c r="A1206" s="86">
        <v>44872</v>
      </c>
      <c r="B1206" s="82">
        <f t="shared" si="79"/>
        <v>11</v>
      </c>
      <c r="C1206">
        <f t="shared" si="82"/>
        <v>2022</v>
      </c>
      <c r="D1206" s="86"/>
      <c r="E1206" s="84" t="s">
        <v>97</v>
      </c>
      <c r="G1206" s="44">
        <v>1654350</v>
      </c>
      <c r="H1206" s="44">
        <f t="shared" si="80"/>
        <v>-1654350</v>
      </c>
      <c r="L1206" s="29" t="s">
        <v>14</v>
      </c>
      <c r="M1206" s="29" t="s">
        <v>39</v>
      </c>
    </row>
    <row r="1207" spans="1:15">
      <c r="A1207" s="86">
        <v>44872</v>
      </c>
      <c r="B1207" s="82">
        <f t="shared" si="79"/>
        <v>11</v>
      </c>
      <c r="C1207">
        <f t="shared" si="82"/>
        <v>2022</v>
      </c>
      <c r="D1207" s="86"/>
      <c r="E1207" s="84" t="s">
        <v>150</v>
      </c>
      <c r="G1207" s="44">
        <v>1774885</v>
      </c>
      <c r="H1207" s="44">
        <f t="shared" si="80"/>
        <v>-1774885</v>
      </c>
      <c r="L1207" t="s">
        <v>12</v>
      </c>
      <c r="M1207" s="44" t="s">
        <v>125</v>
      </c>
    </row>
    <row r="1208" spans="1:15">
      <c r="A1208" s="86">
        <v>44872</v>
      </c>
      <c r="B1208" s="82">
        <f t="shared" si="79"/>
        <v>11</v>
      </c>
      <c r="C1208">
        <f t="shared" si="82"/>
        <v>2022</v>
      </c>
      <c r="E1208" s="84" t="s">
        <v>150</v>
      </c>
      <c r="F1208" s="44">
        <v>1654350</v>
      </c>
      <c r="H1208" s="44">
        <f t="shared" si="80"/>
        <v>1654350</v>
      </c>
      <c r="L1208" s="29" t="s">
        <v>14</v>
      </c>
      <c r="M1208" s="29" t="s">
        <v>39</v>
      </c>
    </row>
    <row r="1209" spans="1:15">
      <c r="A1209" s="86">
        <v>44873</v>
      </c>
      <c r="B1209" s="82">
        <f t="shared" si="79"/>
        <v>11</v>
      </c>
      <c r="C1209">
        <f t="shared" si="82"/>
        <v>2022</v>
      </c>
      <c r="E1209" s="84" t="s">
        <v>81</v>
      </c>
      <c r="F1209" s="44">
        <v>636362.39999999991</v>
      </c>
      <c r="H1209" s="44">
        <f t="shared" si="80"/>
        <v>636362.39999999991</v>
      </c>
      <c r="L1209" t="str">
        <f>VLOOKUP(M1209,Reference!$A$16:$B$21,2,0)</f>
        <v>Supplier A</v>
      </c>
      <c r="M1209" t="s">
        <v>3</v>
      </c>
      <c r="N1209" t="str">
        <f t="shared" ref="N1209:N1214" si="83">L1209</f>
        <v>Supplier A</v>
      </c>
      <c r="O1209" t="str">
        <f t="shared" ref="O1209:O1214" si="84">M1209</f>
        <v>Component 1</v>
      </c>
    </row>
    <row r="1210" spans="1:15">
      <c r="A1210" s="86">
        <v>44873</v>
      </c>
      <c r="B1210" s="82">
        <f t="shared" si="79"/>
        <v>11</v>
      </c>
      <c r="C1210">
        <f t="shared" si="82"/>
        <v>2022</v>
      </c>
      <c r="E1210" s="84" t="s">
        <v>81</v>
      </c>
      <c r="F1210" s="44">
        <v>790902.6399999999</v>
      </c>
      <c r="H1210" s="44">
        <f t="shared" si="80"/>
        <v>790902.6399999999</v>
      </c>
      <c r="L1210" t="str">
        <f>VLOOKUP(M1210,Reference!$A$16:$B$21,2,0)</f>
        <v>Supplier A</v>
      </c>
      <c r="M1210" t="s">
        <v>4</v>
      </c>
      <c r="N1210" t="str">
        <f t="shared" si="83"/>
        <v>Supplier A</v>
      </c>
      <c r="O1210" t="str">
        <f t="shared" si="84"/>
        <v>Component 2</v>
      </c>
    </row>
    <row r="1211" spans="1:15">
      <c r="A1211" s="86">
        <v>44873</v>
      </c>
      <c r="B1211" s="82">
        <f t="shared" si="79"/>
        <v>11</v>
      </c>
      <c r="C1211">
        <f t="shared" si="82"/>
        <v>2022</v>
      </c>
      <c r="E1211" s="84" t="s">
        <v>81</v>
      </c>
      <c r="F1211" s="44">
        <v>1931439.8200000003</v>
      </c>
      <c r="H1211" s="44">
        <f t="shared" si="80"/>
        <v>1931439.8200000003</v>
      </c>
      <c r="L1211" t="str">
        <f>VLOOKUP(M1211,Reference!$A$16:$B$21,2,0)</f>
        <v>Supplier A</v>
      </c>
      <c r="M1211" t="s">
        <v>5</v>
      </c>
      <c r="N1211" t="str">
        <f t="shared" si="83"/>
        <v>Supplier A</v>
      </c>
      <c r="O1211" t="str">
        <f t="shared" si="84"/>
        <v>Component 3</v>
      </c>
    </row>
    <row r="1212" spans="1:15">
      <c r="A1212" s="86">
        <v>44873</v>
      </c>
      <c r="B1212" s="82">
        <f t="shared" si="79"/>
        <v>11</v>
      </c>
      <c r="C1212">
        <f t="shared" si="82"/>
        <v>2022</v>
      </c>
      <c r="E1212" s="84" t="s">
        <v>81</v>
      </c>
      <c r="F1212" s="44">
        <v>2181323</v>
      </c>
      <c r="H1212" s="44">
        <f t="shared" si="80"/>
        <v>2181323</v>
      </c>
      <c r="L1212" t="str">
        <f>VLOOKUP(M1212,Reference!$A$16:$B$21,2,0)</f>
        <v>Supplier B</v>
      </c>
      <c r="M1212" t="s">
        <v>6</v>
      </c>
      <c r="N1212" t="str">
        <f t="shared" si="83"/>
        <v>Supplier B</v>
      </c>
      <c r="O1212" t="str">
        <f t="shared" si="84"/>
        <v>Component 4</v>
      </c>
    </row>
    <row r="1213" spans="1:15">
      <c r="A1213" s="86">
        <v>44873</v>
      </c>
      <c r="B1213" s="82">
        <f t="shared" si="79"/>
        <v>11</v>
      </c>
      <c r="C1213">
        <f t="shared" si="82"/>
        <v>2022</v>
      </c>
      <c r="E1213" s="84" t="s">
        <v>81</v>
      </c>
      <c r="F1213" s="44">
        <v>920426</v>
      </c>
      <c r="H1213" s="44">
        <f t="shared" si="80"/>
        <v>920426</v>
      </c>
      <c r="L1213" t="str">
        <f>VLOOKUP(M1213,Reference!$A$16:$B$21,2,0)</f>
        <v>Supplier D</v>
      </c>
      <c r="M1213" t="s">
        <v>11</v>
      </c>
      <c r="N1213" t="str">
        <f t="shared" si="83"/>
        <v>Supplier D</v>
      </c>
      <c r="O1213" t="str">
        <f t="shared" si="84"/>
        <v>Component 5</v>
      </c>
    </row>
    <row r="1214" spans="1:15">
      <c r="A1214" s="86">
        <v>44873</v>
      </c>
      <c r="B1214" s="82">
        <f t="shared" si="79"/>
        <v>11</v>
      </c>
      <c r="C1214">
        <f t="shared" si="82"/>
        <v>2022</v>
      </c>
      <c r="E1214" s="84" t="s">
        <v>81</v>
      </c>
      <c r="F1214" s="44">
        <v>1835445</v>
      </c>
      <c r="H1214" s="44">
        <f t="shared" si="80"/>
        <v>1835445</v>
      </c>
      <c r="L1214" t="str">
        <f>VLOOKUP(M1214,Reference!$A$16:$B$21,2,0)</f>
        <v>Supplier D</v>
      </c>
      <c r="M1214" t="s">
        <v>12</v>
      </c>
      <c r="N1214" t="str">
        <f t="shared" si="83"/>
        <v>Supplier D</v>
      </c>
      <c r="O1214" t="str">
        <f t="shared" si="84"/>
        <v>Component 6</v>
      </c>
    </row>
    <row r="1215" spans="1:15">
      <c r="A1215" s="86">
        <v>44873</v>
      </c>
      <c r="B1215" s="82">
        <f t="shared" si="79"/>
        <v>11</v>
      </c>
      <c r="C1215">
        <f t="shared" si="82"/>
        <v>2022</v>
      </c>
      <c r="E1215" s="84" t="s">
        <v>143</v>
      </c>
      <c r="G1215" s="44">
        <v>636362.39999999991</v>
      </c>
      <c r="H1215" s="44">
        <f t="shared" si="80"/>
        <v>-636362.39999999991</v>
      </c>
      <c r="J1215"/>
      <c r="M1215" t="s">
        <v>3</v>
      </c>
    </row>
    <row r="1216" spans="1:15">
      <c r="A1216" s="86">
        <v>44873</v>
      </c>
      <c r="B1216" s="82">
        <f t="shared" si="79"/>
        <v>11</v>
      </c>
      <c r="C1216">
        <f t="shared" si="82"/>
        <v>2022</v>
      </c>
      <c r="E1216" s="84" t="s">
        <v>143</v>
      </c>
      <c r="G1216" s="44">
        <v>790902.6399999999</v>
      </c>
      <c r="H1216" s="44">
        <f t="shared" si="80"/>
        <v>-790902.6399999999</v>
      </c>
      <c r="J1216"/>
      <c r="M1216" t="s">
        <v>4</v>
      </c>
    </row>
    <row r="1217" spans="1:13">
      <c r="A1217" s="86">
        <v>44873</v>
      </c>
      <c r="B1217" s="82">
        <f t="shared" si="79"/>
        <v>11</v>
      </c>
      <c r="C1217">
        <f t="shared" si="82"/>
        <v>2022</v>
      </c>
      <c r="E1217" s="84" t="s">
        <v>143</v>
      </c>
      <c r="G1217" s="44">
        <v>1931439.8200000003</v>
      </c>
      <c r="H1217" s="44">
        <f t="shared" si="80"/>
        <v>-1931439.8200000003</v>
      </c>
      <c r="J1217"/>
      <c r="M1217" t="s">
        <v>5</v>
      </c>
    </row>
    <row r="1218" spans="1:13">
      <c r="A1218" s="86">
        <v>44873</v>
      </c>
      <c r="B1218" s="82">
        <f t="shared" si="79"/>
        <v>11</v>
      </c>
      <c r="C1218">
        <f t="shared" si="82"/>
        <v>2022</v>
      </c>
      <c r="E1218" s="84" t="s">
        <v>143</v>
      </c>
      <c r="G1218" s="44">
        <v>2181323</v>
      </c>
      <c r="H1218" s="44">
        <f t="shared" si="80"/>
        <v>-2181323</v>
      </c>
      <c r="J1218"/>
      <c r="M1218" t="s">
        <v>6</v>
      </c>
    </row>
    <row r="1219" spans="1:13">
      <c r="A1219" s="86">
        <v>44873</v>
      </c>
      <c r="B1219" s="82">
        <f t="shared" si="79"/>
        <v>11</v>
      </c>
      <c r="C1219">
        <f t="shared" si="82"/>
        <v>2022</v>
      </c>
      <c r="E1219" s="84" t="s">
        <v>143</v>
      </c>
      <c r="G1219" s="44">
        <v>920426</v>
      </c>
      <c r="H1219" s="44">
        <f t="shared" si="80"/>
        <v>-920426</v>
      </c>
      <c r="J1219"/>
      <c r="M1219" t="s">
        <v>11</v>
      </c>
    </row>
    <row r="1220" spans="1:13">
      <c r="A1220" s="86">
        <v>44873</v>
      </c>
      <c r="B1220" s="82">
        <f t="shared" si="79"/>
        <v>11</v>
      </c>
      <c r="C1220">
        <f t="shared" si="82"/>
        <v>2022</v>
      </c>
      <c r="E1220" s="84" t="s">
        <v>143</v>
      </c>
      <c r="G1220" s="44">
        <v>1835445</v>
      </c>
      <c r="H1220" s="44">
        <f t="shared" si="80"/>
        <v>-1835445</v>
      </c>
      <c r="J1220"/>
      <c r="M1220" t="s">
        <v>12</v>
      </c>
    </row>
    <row r="1221" spans="1:13">
      <c r="A1221" s="86">
        <v>44873</v>
      </c>
      <c r="B1221" s="82">
        <f t="shared" si="79"/>
        <v>11</v>
      </c>
      <c r="C1221">
        <f t="shared" si="82"/>
        <v>2022</v>
      </c>
      <c r="E1221" s="84" t="s">
        <v>67</v>
      </c>
      <c r="G1221" s="44">
        <v>636362.39999999991</v>
      </c>
      <c r="H1221" s="44">
        <f t="shared" si="80"/>
        <v>-636362.39999999991</v>
      </c>
      <c r="L1221" t="s">
        <v>3</v>
      </c>
      <c r="M1221" s="44" t="s">
        <v>123</v>
      </c>
    </row>
    <row r="1222" spans="1:13">
      <c r="A1222" s="86">
        <v>44873</v>
      </c>
      <c r="B1222" s="82">
        <f t="shared" si="79"/>
        <v>11</v>
      </c>
      <c r="C1222">
        <f t="shared" si="82"/>
        <v>2022</v>
      </c>
      <c r="E1222" s="84" t="s">
        <v>67</v>
      </c>
      <c r="G1222" s="44">
        <v>790902.6399999999</v>
      </c>
      <c r="H1222" s="44">
        <f t="shared" si="80"/>
        <v>-790902.6399999999</v>
      </c>
      <c r="L1222" t="s">
        <v>4</v>
      </c>
      <c r="M1222" s="44" t="s">
        <v>123</v>
      </c>
    </row>
    <row r="1223" spans="1:13">
      <c r="A1223" s="86">
        <v>44873</v>
      </c>
      <c r="B1223" s="82">
        <f t="shared" si="79"/>
        <v>11</v>
      </c>
      <c r="C1223">
        <f t="shared" si="82"/>
        <v>2022</v>
      </c>
      <c r="E1223" s="84" t="s">
        <v>67</v>
      </c>
      <c r="G1223" s="44">
        <v>1931439.8200000003</v>
      </c>
      <c r="H1223" s="44">
        <f t="shared" si="80"/>
        <v>-1931439.8200000003</v>
      </c>
      <c r="L1223" t="s">
        <v>5</v>
      </c>
      <c r="M1223" s="44" t="s">
        <v>123</v>
      </c>
    </row>
    <row r="1224" spans="1:13">
      <c r="A1224" s="86">
        <v>44873</v>
      </c>
      <c r="B1224" s="82">
        <f t="shared" si="79"/>
        <v>11</v>
      </c>
      <c r="C1224">
        <f t="shared" si="82"/>
        <v>2022</v>
      </c>
      <c r="E1224" s="84" t="s">
        <v>67</v>
      </c>
      <c r="G1224" s="44">
        <v>2181323</v>
      </c>
      <c r="H1224" s="44">
        <f t="shared" si="80"/>
        <v>-2181323</v>
      </c>
      <c r="L1224" t="s">
        <v>6</v>
      </c>
      <c r="M1224" s="44" t="s">
        <v>124</v>
      </c>
    </row>
    <row r="1225" spans="1:13">
      <c r="A1225" s="86">
        <v>44873</v>
      </c>
      <c r="B1225" s="82">
        <f t="shared" si="79"/>
        <v>11</v>
      </c>
      <c r="C1225">
        <f t="shared" si="82"/>
        <v>2022</v>
      </c>
      <c r="E1225" s="84" t="s">
        <v>67</v>
      </c>
      <c r="G1225" s="44">
        <v>920426</v>
      </c>
      <c r="H1225" s="44">
        <f t="shared" si="80"/>
        <v>-920426</v>
      </c>
      <c r="L1225" t="s">
        <v>11</v>
      </c>
      <c r="M1225" s="44" t="s">
        <v>125</v>
      </c>
    </row>
    <row r="1226" spans="1:13">
      <c r="A1226" s="86">
        <v>44873</v>
      </c>
      <c r="B1226" s="82">
        <f t="shared" si="79"/>
        <v>11</v>
      </c>
      <c r="C1226">
        <f t="shared" si="82"/>
        <v>2022</v>
      </c>
      <c r="E1226" s="84" t="s">
        <v>67</v>
      </c>
      <c r="G1226" s="44">
        <v>1835445</v>
      </c>
      <c r="H1226" s="44">
        <f t="shared" si="80"/>
        <v>-1835445</v>
      </c>
      <c r="L1226" t="s">
        <v>12</v>
      </c>
      <c r="M1226" s="44" t="s">
        <v>125</v>
      </c>
    </row>
    <row r="1227" spans="1:13">
      <c r="A1227" s="86">
        <v>44874</v>
      </c>
      <c r="B1227" s="82">
        <f t="shared" si="79"/>
        <v>11</v>
      </c>
      <c r="C1227">
        <f t="shared" si="82"/>
        <v>2022</v>
      </c>
      <c r="E1227" s="84" t="s">
        <v>97</v>
      </c>
      <c r="F1227" s="44">
        <v>718977</v>
      </c>
      <c r="H1227" s="44">
        <f t="shared" si="80"/>
        <v>718977</v>
      </c>
      <c r="L1227" s="29" t="s">
        <v>10</v>
      </c>
      <c r="M1227" s="29" t="s">
        <v>37</v>
      </c>
    </row>
    <row r="1228" spans="1:13">
      <c r="A1228" s="86">
        <v>44874</v>
      </c>
      <c r="B1228" s="82">
        <f t="shared" si="79"/>
        <v>11</v>
      </c>
      <c r="C1228">
        <f t="shared" si="82"/>
        <v>2022</v>
      </c>
      <c r="E1228" s="84" t="s">
        <v>143</v>
      </c>
      <c r="F1228" s="44">
        <v>407584.84200000006</v>
      </c>
      <c r="H1228" s="44">
        <f t="shared" si="80"/>
        <v>407584.84200000006</v>
      </c>
      <c r="I1228"/>
      <c r="M1228" t="s">
        <v>10</v>
      </c>
    </row>
    <row r="1229" spans="1:13">
      <c r="A1229" s="86">
        <v>44874</v>
      </c>
      <c r="B1229" s="82">
        <f t="shared" si="79"/>
        <v>11</v>
      </c>
      <c r="C1229">
        <f t="shared" si="82"/>
        <v>2022</v>
      </c>
      <c r="E1229" s="84" t="s">
        <v>89</v>
      </c>
      <c r="F1229" s="44">
        <v>4151178.1780000003</v>
      </c>
      <c r="H1229" s="44">
        <f t="shared" si="80"/>
        <v>4151178.1780000003</v>
      </c>
      <c r="I1229"/>
      <c r="J1229"/>
      <c r="M1229"/>
    </row>
    <row r="1230" spans="1:13">
      <c r="A1230" s="86">
        <v>44874</v>
      </c>
      <c r="B1230" s="82">
        <f t="shared" si="79"/>
        <v>11</v>
      </c>
      <c r="C1230">
        <f t="shared" si="82"/>
        <v>2022</v>
      </c>
      <c r="E1230" s="84" t="s">
        <v>90</v>
      </c>
      <c r="F1230" s="44">
        <v>1192141.0340000002</v>
      </c>
      <c r="H1230" s="44">
        <f t="shared" si="80"/>
        <v>1192141.0340000002</v>
      </c>
      <c r="I1230"/>
      <c r="J1230"/>
      <c r="M1230"/>
    </row>
    <row r="1231" spans="1:13">
      <c r="A1231" s="86">
        <v>44874</v>
      </c>
      <c r="B1231" s="82">
        <f t="shared" si="79"/>
        <v>11</v>
      </c>
      <c r="C1231">
        <f t="shared" si="82"/>
        <v>2022</v>
      </c>
      <c r="E1231" s="84" t="s">
        <v>90</v>
      </c>
      <c r="G1231" s="44">
        <v>407584.84200000006</v>
      </c>
      <c r="H1231" s="44">
        <f t="shared" si="80"/>
        <v>-407584.84200000006</v>
      </c>
      <c r="I1231"/>
      <c r="M1231" t="s">
        <v>10</v>
      </c>
    </row>
    <row r="1232" spans="1:13">
      <c r="A1232" s="86">
        <v>44874</v>
      </c>
      <c r="B1232" s="82">
        <f t="shared" si="79"/>
        <v>11</v>
      </c>
      <c r="C1232">
        <f t="shared" si="82"/>
        <v>2022</v>
      </c>
      <c r="E1232" s="84" t="s">
        <v>91</v>
      </c>
      <c r="F1232" s="44">
        <v>3180209.9400000004</v>
      </c>
      <c r="H1232" s="44">
        <f t="shared" si="80"/>
        <v>3180209.9400000004</v>
      </c>
      <c r="I1232"/>
      <c r="J1232"/>
      <c r="M1232"/>
    </row>
    <row r="1233" spans="1:13">
      <c r="A1233" s="86">
        <v>44874</v>
      </c>
      <c r="B1233" s="82">
        <f t="shared" si="79"/>
        <v>11</v>
      </c>
      <c r="C1233">
        <f t="shared" si="82"/>
        <v>2022</v>
      </c>
      <c r="E1233" s="84" t="s">
        <v>98</v>
      </c>
      <c r="G1233" s="44">
        <v>718977</v>
      </c>
      <c r="H1233" s="44">
        <f t="shared" si="80"/>
        <v>-718977</v>
      </c>
      <c r="L1233" s="29" t="s">
        <v>10</v>
      </c>
      <c r="M1233" s="93" t="s">
        <v>37</v>
      </c>
    </row>
    <row r="1234" spans="1:13">
      <c r="A1234" s="86">
        <v>44874</v>
      </c>
      <c r="B1234" s="82">
        <f t="shared" si="79"/>
        <v>11</v>
      </c>
      <c r="C1234">
        <f t="shared" si="82"/>
        <v>2022</v>
      </c>
      <c r="E1234" s="84" t="s">
        <v>146</v>
      </c>
      <c r="G1234" s="44">
        <v>227630.29200000002</v>
      </c>
      <c r="H1234" s="44">
        <f t="shared" si="80"/>
        <v>-227630.29200000002</v>
      </c>
      <c r="I1234"/>
      <c r="J1234"/>
      <c r="M1234"/>
    </row>
    <row r="1235" spans="1:13">
      <c r="A1235" s="86">
        <v>44878</v>
      </c>
      <c r="B1235" s="82">
        <f t="shared" si="79"/>
        <v>11</v>
      </c>
      <c r="C1235">
        <f t="shared" ref="C1235:C1266" si="85">YEAR(A1235)</f>
        <v>2022</v>
      </c>
      <c r="D1235" s="86"/>
      <c r="E1235" s="84" t="s">
        <v>68</v>
      </c>
      <c r="F1235" s="44">
        <v>720000</v>
      </c>
      <c r="H1235" s="44">
        <f t="shared" si="80"/>
        <v>720000</v>
      </c>
      <c r="L1235" t="s">
        <v>11</v>
      </c>
      <c r="M1235" s="44" t="s">
        <v>125</v>
      </c>
    </row>
    <row r="1236" spans="1:13">
      <c r="A1236" s="86">
        <v>44878</v>
      </c>
      <c r="B1236" s="82">
        <f t="shared" si="79"/>
        <v>11</v>
      </c>
      <c r="C1236">
        <f t="shared" si="85"/>
        <v>2022</v>
      </c>
      <c r="D1236" s="86"/>
      <c r="E1236" s="84" t="s">
        <v>150</v>
      </c>
      <c r="G1236" s="44">
        <v>720000</v>
      </c>
      <c r="H1236" s="44">
        <f t="shared" si="80"/>
        <v>-720000</v>
      </c>
      <c r="L1236" t="s">
        <v>11</v>
      </c>
      <c r="M1236" s="44" t="s">
        <v>125</v>
      </c>
    </row>
    <row r="1237" spans="1:13">
      <c r="A1237" s="86">
        <v>44879</v>
      </c>
      <c r="B1237" s="82">
        <f t="shared" si="79"/>
        <v>11</v>
      </c>
      <c r="C1237">
        <f t="shared" si="85"/>
        <v>2022</v>
      </c>
      <c r="E1237" s="84" t="s">
        <v>97</v>
      </c>
      <c r="F1237" s="44">
        <v>415476</v>
      </c>
      <c r="H1237" s="44">
        <f t="shared" si="80"/>
        <v>415476</v>
      </c>
      <c r="L1237" s="29" t="s">
        <v>10</v>
      </c>
      <c r="M1237" s="29" t="s">
        <v>38</v>
      </c>
    </row>
    <row r="1238" spans="1:13">
      <c r="A1238" s="86">
        <v>44879</v>
      </c>
      <c r="B1238" s="82">
        <f t="shared" si="79"/>
        <v>11</v>
      </c>
      <c r="C1238">
        <f t="shared" si="85"/>
        <v>2022</v>
      </c>
      <c r="E1238" s="84" t="s">
        <v>97</v>
      </c>
      <c r="F1238" s="44">
        <v>1233232</v>
      </c>
      <c r="H1238" s="44">
        <f t="shared" si="80"/>
        <v>1233232</v>
      </c>
      <c r="L1238" s="29" t="s">
        <v>2</v>
      </c>
      <c r="M1238" s="29" t="s">
        <v>34</v>
      </c>
    </row>
    <row r="1239" spans="1:13">
      <c r="A1239" s="86">
        <v>44879</v>
      </c>
      <c r="B1239" s="82">
        <f t="shared" ref="B1239:B1302" si="86">MONTH(A1239)</f>
        <v>11</v>
      </c>
      <c r="C1239">
        <f t="shared" si="85"/>
        <v>2022</v>
      </c>
      <c r="E1239" s="84" t="s">
        <v>143</v>
      </c>
      <c r="F1239" s="44">
        <v>292233.50800000003</v>
      </c>
      <c r="H1239" s="44">
        <f t="shared" ref="H1239:H1302" si="87">F1239-G1239</f>
        <v>292233.50800000003</v>
      </c>
      <c r="I1239"/>
      <c r="M1239" t="s">
        <v>10</v>
      </c>
    </row>
    <row r="1240" spans="1:13">
      <c r="A1240" s="86">
        <v>44879</v>
      </c>
      <c r="B1240" s="82">
        <f t="shared" si="86"/>
        <v>11</v>
      </c>
      <c r="C1240">
        <f t="shared" si="85"/>
        <v>2022</v>
      </c>
      <c r="E1240" s="84" t="s">
        <v>143</v>
      </c>
      <c r="F1240" s="44">
        <v>1138150.4493333334</v>
      </c>
      <c r="H1240" s="44">
        <f t="shared" si="87"/>
        <v>1138150.4493333334</v>
      </c>
      <c r="I1240"/>
      <c r="M1240" t="s">
        <v>2</v>
      </c>
    </row>
    <row r="1241" spans="1:13">
      <c r="A1241" s="86">
        <v>44879</v>
      </c>
      <c r="B1241" s="82">
        <f t="shared" si="86"/>
        <v>11</v>
      </c>
      <c r="C1241">
        <f t="shared" si="85"/>
        <v>2022</v>
      </c>
      <c r="E1241" s="84" t="s">
        <v>89</v>
      </c>
      <c r="G1241" s="44">
        <v>1138150.4493333334</v>
      </c>
      <c r="H1241" s="44">
        <f t="shared" si="87"/>
        <v>-1138150.4493333334</v>
      </c>
      <c r="I1241"/>
      <c r="M1241" t="s">
        <v>2</v>
      </c>
    </row>
    <row r="1242" spans="1:13">
      <c r="A1242" s="86">
        <v>44879</v>
      </c>
      <c r="B1242" s="82">
        <f t="shared" si="86"/>
        <v>11</v>
      </c>
      <c r="C1242">
        <f t="shared" si="85"/>
        <v>2022</v>
      </c>
      <c r="E1242" s="84" t="s">
        <v>90</v>
      </c>
      <c r="G1242" s="44">
        <v>292233.50800000003</v>
      </c>
      <c r="H1242" s="44">
        <f t="shared" si="87"/>
        <v>-292233.50800000003</v>
      </c>
      <c r="I1242"/>
      <c r="M1242" t="s">
        <v>10</v>
      </c>
    </row>
    <row r="1243" spans="1:13">
      <c r="A1243" s="86">
        <v>44879</v>
      </c>
      <c r="B1243" s="82">
        <f t="shared" si="86"/>
        <v>11</v>
      </c>
      <c r="C1243">
        <f t="shared" si="85"/>
        <v>2022</v>
      </c>
      <c r="E1243" s="84" t="s">
        <v>98</v>
      </c>
      <c r="G1243" s="44">
        <v>415476</v>
      </c>
      <c r="H1243" s="44">
        <f t="shared" si="87"/>
        <v>-415476</v>
      </c>
      <c r="L1243" s="29" t="s">
        <v>10</v>
      </c>
      <c r="M1243" s="93" t="s">
        <v>38</v>
      </c>
    </row>
    <row r="1244" spans="1:13">
      <c r="A1244" s="86">
        <v>44879</v>
      </c>
      <c r="B1244" s="82">
        <f t="shared" si="86"/>
        <v>11</v>
      </c>
      <c r="C1244">
        <f t="shared" si="85"/>
        <v>2022</v>
      </c>
      <c r="E1244" s="84" t="s">
        <v>98</v>
      </c>
      <c r="G1244" s="44">
        <v>1233232</v>
      </c>
      <c r="H1244" s="44">
        <f t="shared" si="87"/>
        <v>-1233232</v>
      </c>
      <c r="L1244" s="29" t="s">
        <v>2</v>
      </c>
      <c r="M1244" s="93" t="s">
        <v>34</v>
      </c>
    </row>
    <row r="1245" spans="1:13">
      <c r="A1245" s="86">
        <v>44880</v>
      </c>
      <c r="B1245" s="82">
        <f t="shared" si="86"/>
        <v>11</v>
      </c>
      <c r="C1245">
        <f t="shared" si="85"/>
        <v>2022</v>
      </c>
      <c r="E1245" s="84" t="s">
        <v>97</v>
      </c>
      <c r="F1245" s="44">
        <v>756560</v>
      </c>
      <c r="H1245" s="44">
        <f t="shared" si="87"/>
        <v>756560</v>
      </c>
      <c r="L1245" s="29" t="s">
        <v>2</v>
      </c>
      <c r="M1245" s="29" t="s">
        <v>33</v>
      </c>
    </row>
    <row r="1246" spans="1:13">
      <c r="A1246" s="86">
        <v>44880</v>
      </c>
      <c r="B1246" s="82">
        <f t="shared" si="86"/>
        <v>11</v>
      </c>
      <c r="C1246">
        <f t="shared" si="85"/>
        <v>2022</v>
      </c>
      <c r="E1246" s="84" t="s">
        <v>143</v>
      </c>
      <c r="F1246" s="44">
        <v>741423.15333333332</v>
      </c>
      <c r="H1246" s="44">
        <f t="shared" si="87"/>
        <v>741423.15333333332</v>
      </c>
      <c r="I1246"/>
      <c r="M1246" t="s">
        <v>2</v>
      </c>
    </row>
    <row r="1247" spans="1:13">
      <c r="A1247" s="86">
        <v>44880</v>
      </c>
      <c r="B1247" s="82">
        <f t="shared" si="86"/>
        <v>11</v>
      </c>
      <c r="C1247">
        <f t="shared" si="85"/>
        <v>2022</v>
      </c>
      <c r="E1247" s="84" t="s">
        <v>89</v>
      </c>
      <c r="G1247" s="44">
        <v>741423.15333333332</v>
      </c>
      <c r="H1247" s="44">
        <f t="shared" si="87"/>
        <v>-741423.15333333332</v>
      </c>
      <c r="I1247"/>
      <c r="M1247" t="s">
        <v>2</v>
      </c>
    </row>
    <row r="1248" spans="1:13">
      <c r="A1248" s="86">
        <v>44880</v>
      </c>
      <c r="B1248" s="82">
        <f t="shared" si="86"/>
        <v>11</v>
      </c>
      <c r="C1248">
        <f t="shared" si="85"/>
        <v>2022</v>
      </c>
      <c r="E1248" s="84" t="s">
        <v>98</v>
      </c>
      <c r="G1248" s="44">
        <v>756560</v>
      </c>
      <c r="H1248" s="44">
        <f t="shared" si="87"/>
        <v>-756560</v>
      </c>
      <c r="L1248" s="29" t="s">
        <v>2</v>
      </c>
      <c r="M1248" s="93" t="s">
        <v>33</v>
      </c>
    </row>
    <row r="1249" spans="1:13">
      <c r="A1249" s="86">
        <v>44881</v>
      </c>
      <c r="B1249" s="82">
        <f t="shared" si="86"/>
        <v>11</v>
      </c>
      <c r="C1249">
        <f t="shared" si="85"/>
        <v>2022</v>
      </c>
      <c r="D1249" s="86"/>
      <c r="E1249" s="84" t="s">
        <v>97</v>
      </c>
      <c r="G1249" s="44">
        <v>2098719</v>
      </c>
      <c r="H1249" s="44">
        <f t="shared" si="87"/>
        <v>-2098719</v>
      </c>
      <c r="L1249" s="29" t="s">
        <v>14</v>
      </c>
      <c r="M1249" s="29" t="s">
        <v>39</v>
      </c>
    </row>
    <row r="1250" spans="1:13">
      <c r="A1250" s="86">
        <v>44881</v>
      </c>
      <c r="B1250" s="82">
        <f t="shared" si="86"/>
        <v>11</v>
      </c>
      <c r="C1250">
        <f t="shared" si="85"/>
        <v>2022</v>
      </c>
      <c r="E1250" s="84" t="s">
        <v>150</v>
      </c>
      <c r="F1250" s="44">
        <v>2098719</v>
      </c>
      <c r="H1250" s="44">
        <f t="shared" si="87"/>
        <v>2098719</v>
      </c>
      <c r="L1250" s="29" t="s">
        <v>14</v>
      </c>
      <c r="M1250" s="29" t="s">
        <v>39</v>
      </c>
    </row>
    <row r="1251" spans="1:13">
      <c r="A1251" s="86">
        <v>44882</v>
      </c>
      <c r="B1251" s="82">
        <f t="shared" si="86"/>
        <v>11</v>
      </c>
      <c r="C1251">
        <f t="shared" si="85"/>
        <v>2022</v>
      </c>
      <c r="E1251" s="84" t="s">
        <v>97</v>
      </c>
      <c r="F1251" s="44">
        <v>1111460</v>
      </c>
      <c r="H1251" s="44">
        <f t="shared" si="87"/>
        <v>1111460</v>
      </c>
      <c r="L1251" s="29" t="s">
        <v>2</v>
      </c>
      <c r="M1251" s="29" t="s">
        <v>35</v>
      </c>
    </row>
    <row r="1252" spans="1:13">
      <c r="A1252" s="86">
        <v>44882</v>
      </c>
      <c r="B1252" s="82">
        <f t="shared" si="86"/>
        <v>11</v>
      </c>
      <c r="C1252">
        <f t="shared" si="85"/>
        <v>2022</v>
      </c>
      <c r="E1252" s="84" t="s">
        <v>143</v>
      </c>
      <c r="F1252" s="44">
        <v>778330.86333333328</v>
      </c>
      <c r="H1252" s="44">
        <f t="shared" si="87"/>
        <v>778330.86333333328</v>
      </c>
      <c r="I1252"/>
      <c r="M1252" t="s">
        <v>2</v>
      </c>
    </row>
    <row r="1253" spans="1:13">
      <c r="A1253" s="86">
        <v>44882</v>
      </c>
      <c r="B1253" s="82">
        <f t="shared" si="86"/>
        <v>11</v>
      </c>
      <c r="C1253">
        <f t="shared" si="85"/>
        <v>2022</v>
      </c>
      <c r="E1253" s="84" t="s">
        <v>89</v>
      </c>
      <c r="G1253" s="44">
        <v>778330.86333333328</v>
      </c>
      <c r="H1253" s="44">
        <f t="shared" si="87"/>
        <v>-778330.86333333328</v>
      </c>
      <c r="I1253"/>
      <c r="M1253" t="s">
        <v>2</v>
      </c>
    </row>
    <row r="1254" spans="1:13">
      <c r="A1254" s="86">
        <v>44882</v>
      </c>
      <c r="B1254" s="82">
        <f t="shared" si="86"/>
        <v>11</v>
      </c>
      <c r="C1254">
        <f t="shared" si="85"/>
        <v>2022</v>
      </c>
      <c r="E1254" s="84" t="s">
        <v>98</v>
      </c>
      <c r="G1254" s="44">
        <v>1111460</v>
      </c>
      <c r="H1254" s="44">
        <f t="shared" si="87"/>
        <v>-1111460</v>
      </c>
      <c r="L1254" s="29" t="s">
        <v>2</v>
      </c>
      <c r="M1254" s="93" t="s">
        <v>35</v>
      </c>
    </row>
    <row r="1255" spans="1:13">
      <c r="A1255" s="86">
        <v>44883</v>
      </c>
      <c r="B1255" s="82">
        <f t="shared" si="86"/>
        <v>11</v>
      </c>
      <c r="C1255">
        <f t="shared" si="85"/>
        <v>2022</v>
      </c>
      <c r="D1255" s="86"/>
      <c r="E1255" s="84" t="s">
        <v>97</v>
      </c>
      <c r="G1255" s="44">
        <v>2665260</v>
      </c>
      <c r="H1255" s="44">
        <f t="shared" si="87"/>
        <v>-2665260</v>
      </c>
      <c r="L1255" s="29" t="s">
        <v>14</v>
      </c>
      <c r="M1255" s="29" t="s">
        <v>39</v>
      </c>
    </row>
    <row r="1256" spans="1:13">
      <c r="A1256" s="86">
        <v>44883</v>
      </c>
      <c r="B1256" s="82">
        <f t="shared" si="86"/>
        <v>11</v>
      </c>
      <c r="C1256">
        <f t="shared" si="85"/>
        <v>2022</v>
      </c>
      <c r="E1256" s="84" t="s">
        <v>150</v>
      </c>
      <c r="F1256" s="44">
        <v>2665260</v>
      </c>
      <c r="H1256" s="44">
        <f t="shared" si="87"/>
        <v>2665260</v>
      </c>
      <c r="L1256" s="29" t="s">
        <v>14</v>
      </c>
      <c r="M1256" s="29" t="s">
        <v>39</v>
      </c>
    </row>
    <row r="1257" spans="1:13">
      <c r="A1257" s="86">
        <v>44883</v>
      </c>
      <c r="B1257" s="82">
        <f t="shared" si="86"/>
        <v>11</v>
      </c>
      <c r="C1257">
        <f t="shared" si="85"/>
        <v>2022</v>
      </c>
      <c r="E1257" s="84" t="s">
        <v>143</v>
      </c>
      <c r="F1257" s="44">
        <v>769844.28600000008</v>
      </c>
      <c r="H1257" s="44">
        <f t="shared" si="87"/>
        <v>769844.28600000008</v>
      </c>
      <c r="I1257"/>
      <c r="M1257" t="s">
        <v>14</v>
      </c>
    </row>
    <row r="1258" spans="1:13">
      <c r="A1258" s="86">
        <v>44883</v>
      </c>
      <c r="B1258" s="82">
        <f t="shared" si="86"/>
        <v>11</v>
      </c>
      <c r="C1258">
        <f t="shared" si="85"/>
        <v>2022</v>
      </c>
      <c r="E1258" s="84" t="s">
        <v>91</v>
      </c>
      <c r="G1258" s="44">
        <v>769844.28600000008</v>
      </c>
      <c r="H1258" s="44">
        <f t="shared" si="87"/>
        <v>-769844.28600000008</v>
      </c>
      <c r="I1258"/>
      <c r="M1258" t="s">
        <v>14</v>
      </c>
    </row>
    <row r="1259" spans="1:13">
      <c r="A1259" s="86">
        <v>44883</v>
      </c>
      <c r="B1259" s="82">
        <f t="shared" si="86"/>
        <v>11</v>
      </c>
      <c r="C1259">
        <f t="shared" si="85"/>
        <v>2022</v>
      </c>
      <c r="E1259" s="84" t="s">
        <v>98</v>
      </c>
      <c r="G1259" s="44">
        <v>846141</v>
      </c>
      <c r="H1259" s="44">
        <f t="shared" si="87"/>
        <v>-846141</v>
      </c>
      <c r="L1259" s="29" t="s">
        <v>14</v>
      </c>
      <c r="M1259" s="93" t="s">
        <v>40</v>
      </c>
    </row>
    <row r="1260" spans="1:13">
      <c r="A1260" s="86">
        <v>44884</v>
      </c>
      <c r="B1260" s="82">
        <f t="shared" si="86"/>
        <v>11</v>
      </c>
      <c r="C1260">
        <f t="shared" si="85"/>
        <v>2022</v>
      </c>
      <c r="E1260" s="84" t="s">
        <v>97</v>
      </c>
      <c r="F1260" s="44">
        <v>761550</v>
      </c>
      <c r="H1260" s="44">
        <f t="shared" si="87"/>
        <v>761550</v>
      </c>
      <c r="L1260" s="29" t="s">
        <v>2</v>
      </c>
      <c r="M1260" s="29" t="s">
        <v>31</v>
      </c>
    </row>
    <row r="1261" spans="1:13">
      <c r="A1261" s="86">
        <v>44884</v>
      </c>
      <c r="B1261" s="82">
        <f t="shared" si="86"/>
        <v>11</v>
      </c>
      <c r="C1261">
        <f t="shared" si="85"/>
        <v>2022</v>
      </c>
      <c r="E1261" s="84" t="s">
        <v>143</v>
      </c>
      <c r="F1261" s="44">
        <v>621150.64200000011</v>
      </c>
      <c r="H1261" s="44">
        <f t="shared" si="87"/>
        <v>621150.64200000011</v>
      </c>
      <c r="I1261"/>
      <c r="M1261" t="s">
        <v>2</v>
      </c>
    </row>
    <row r="1262" spans="1:13">
      <c r="A1262" s="86">
        <v>44884</v>
      </c>
      <c r="B1262" s="82">
        <f t="shared" si="86"/>
        <v>11</v>
      </c>
      <c r="C1262">
        <f t="shared" si="85"/>
        <v>2022</v>
      </c>
      <c r="E1262" s="84" t="s">
        <v>89</v>
      </c>
      <c r="G1262" s="44">
        <v>621150.64200000011</v>
      </c>
      <c r="H1262" s="44">
        <f t="shared" si="87"/>
        <v>-621150.64200000011</v>
      </c>
      <c r="I1262"/>
      <c r="M1262" t="s">
        <v>2</v>
      </c>
    </row>
    <row r="1263" spans="1:13">
      <c r="A1263" s="86">
        <v>44884</v>
      </c>
      <c r="B1263" s="82">
        <f t="shared" si="86"/>
        <v>11</v>
      </c>
      <c r="C1263">
        <f t="shared" si="85"/>
        <v>2022</v>
      </c>
      <c r="E1263" s="84" t="s">
        <v>98</v>
      </c>
      <c r="G1263" s="44">
        <v>761550</v>
      </c>
      <c r="H1263" s="44">
        <f t="shared" si="87"/>
        <v>-761550</v>
      </c>
      <c r="L1263" s="29" t="s">
        <v>2</v>
      </c>
      <c r="M1263" s="93" t="s">
        <v>31</v>
      </c>
    </row>
    <row r="1264" spans="1:13">
      <c r="A1264" s="86">
        <v>44886</v>
      </c>
      <c r="B1264" s="82">
        <f t="shared" si="86"/>
        <v>11</v>
      </c>
      <c r="C1264">
        <f t="shared" si="85"/>
        <v>2022</v>
      </c>
      <c r="D1264" s="86"/>
      <c r="E1264" s="84" t="s">
        <v>97</v>
      </c>
      <c r="G1264" s="44">
        <v>682770</v>
      </c>
      <c r="H1264" s="44">
        <f t="shared" si="87"/>
        <v>-682770</v>
      </c>
      <c r="L1264" s="29" t="s">
        <v>10</v>
      </c>
      <c r="M1264" s="29" t="s">
        <v>37</v>
      </c>
    </row>
    <row r="1265" spans="1:13">
      <c r="A1265" s="86">
        <v>44886</v>
      </c>
      <c r="B1265" s="82">
        <f t="shared" si="86"/>
        <v>11</v>
      </c>
      <c r="C1265">
        <f t="shared" si="85"/>
        <v>2022</v>
      </c>
      <c r="E1265" s="84" t="s">
        <v>150</v>
      </c>
      <c r="F1265" s="44">
        <v>682770</v>
      </c>
      <c r="H1265" s="44">
        <f t="shared" si="87"/>
        <v>682770</v>
      </c>
      <c r="L1265" s="29" t="s">
        <v>10</v>
      </c>
      <c r="M1265" s="29" t="s">
        <v>37</v>
      </c>
    </row>
    <row r="1266" spans="1:13">
      <c r="A1266" s="86">
        <v>44890</v>
      </c>
      <c r="B1266" s="82">
        <f t="shared" si="86"/>
        <v>11</v>
      </c>
      <c r="C1266">
        <f t="shared" si="85"/>
        <v>2022</v>
      </c>
      <c r="D1266" s="86"/>
      <c r="E1266" s="84" t="s">
        <v>68</v>
      </c>
      <c r="F1266" s="44">
        <v>2200000</v>
      </c>
      <c r="H1266" s="44">
        <f t="shared" si="87"/>
        <v>2200000</v>
      </c>
      <c r="L1266" t="s">
        <v>6</v>
      </c>
      <c r="M1266" s="44" t="s">
        <v>124</v>
      </c>
    </row>
    <row r="1267" spans="1:13">
      <c r="A1267" s="86">
        <v>44890</v>
      </c>
      <c r="B1267" s="82">
        <f t="shared" si="86"/>
        <v>11</v>
      </c>
      <c r="C1267">
        <f t="shared" ref="C1267:C1297" si="88">YEAR(A1267)</f>
        <v>2022</v>
      </c>
      <c r="D1267" s="86"/>
      <c r="E1267" s="84" t="s">
        <v>150</v>
      </c>
      <c r="G1267" s="44">
        <v>2200000</v>
      </c>
      <c r="H1267" s="44">
        <f t="shared" si="87"/>
        <v>-2200000</v>
      </c>
      <c r="L1267" t="s">
        <v>6</v>
      </c>
      <c r="M1267" s="44" t="s">
        <v>124</v>
      </c>
    </row>
    <row r="1268" spans="1:13">
      <c r="A1268" s="86">
        <v>44891</v>
      </c>
      <c r="B1268" s="82">
        <f t="shared" si="86"/>
        <v>11</v>
      </c>
      <c r="C1268">
        <f t="shared" si="88"/>
        <v>2022</v>
      </c>
      <c r="E1268" s="84" t="s">
        <v>97</v>
      </c>
      <c r="F1268" s="44">
        <v>829568</v>
      </c>
      <c r="H1268" s="44">
        <f t="shared" si="87"/>
        <v>829568</v>
      </c>
      <c r="L1268" s="29" t="s">
        <v>10</v>
      </c>
      <c r="M1268" s="29" t="s">
        <v>36</v>
      </c>
    </row>
    <row r="1269" spans="1:13">
      <c r="A1269" s="86">
        <v>44891</v>
      </c>
      <c r="B1269" s="82">
        <f t="shared" si="86"/>
        <v>11</v>
      </c>
      <c r="C1269">
        <f t="shared" si="88"/>
        <v>2022</v>
      </c>
      <c r="E1269" s="84" t="s">
        <v>143</v>
      </c>
      <c r="F1269" s="44">
        <v>492322.68400000007</v>
      </c>
      <c r="H1269" s="44">
        <f t="shared" si="87"/>
        <v>492322.68400000007</v>
      </c>
      <c r="I1269"/>
      <c r="M1269" t="s">
        <v>10</v>
      </c>
    </row>
    <row r="1270" spans="1:13">
      <c r="A1270" s="86">
        <v>44891</v>
      </c>
      <c r="B1270" s="82">
        <f t="shared" si="86"/>
        <v>11</v>
      </c>
      <c r="C1270">
        <f t="shared" si="88"/>
        <v>2022</v>
      </c>
      <c r="E1270" s="84" t="s">
        <v>90</v>
      </c>
      <c r="G1270" s="44">
        <v>492322.68400000007</v>
      </c>
      <c r="H1270" s="44">
        <f t="shared" si="87"/>
        <v>-492322.68400000007</v>
      </c>
      <c r="I1270"/>
      <c r="M1270" t="s">
        <v>10</v>
      </c>
    </row>
    <row r="1271" spans="1:13">
      <c r="A1271" s="86">
        <v>44891</v>
      </c>
      <c r="B1271" s="82">
        <f t="shared" si="86"/>
        <v>11</v>
      </c>
      <c r="C1271">
        <f t="shared" si="88"/>
        <v>2022</v>
      </c>
      <c r="E1271" s="84" t="s">
        <v>98</v>
      </c>
      <c r="G1271" s="44">
        <v>829568</v>
      </c>
      <c r="H1271" s="44">
        <f t="shared" si="87"/>
        <v>-829568</v>
      </c>
      <c r="L1271" s="29" t="s">
        <v>10</v>
      </c>
      <c r="M1271" s="93" t="s">
        <v>36</v>
      </c>
    </row>
    <row r="1272" spans="1:13">
      <c r="A1272" s="86">
        <v>44892</v>
      </c>
      <c r="B1272" s="82">
        <f t="shared" si="86"/>
        <v>11</v>
      </c>
      <c r="C1272">
        <f t="shared" si="88"/>
        <v>2022</v>
      </c>
      <c r="D1272" s="86"/>
      <c r="E1272" s="84" t="s">
        <v>68</v>
      </c>
      <c r="F1272" s="44">
        <v>800000</v>
      </c>
      <c r="H1272" s="44">
        <f t="shared" si="87"/>
        <v>800000</v>
      </c>
      <c r="L1272" t="s">
        <v>11</v>
      </c>
      <c r="M1272" s="44" t="s">
        <v>125</v>
      </c>
    </row>
    <row r="1273" spans="1:13">
      <c r="A1273" s="86">
        <v>44892</v>
      </c>
      <c r="B1273" s="82">
        <f t="shared" si="86"/>
        <v>11</v>
      </c>
      <c r="C1273">
        <f t="shared" si="88"/>
        <v>2022</v>
      </c>
      <c r="D1273" s="86"/>
      <c r="E1273" s="84" t="s">
        <v>97</v>
      </c>
      <c r="G1273" s="44">
        <v>489124</v>
      </c>
      <c r="H1273" s="44">
        <f t="shared" si="87"/>
        <v>-489124</v>
      </c>
      <c r="L1273" s="29" t="s">
        <v>2</v>
      </c>
      <c r="M1273" s="29" t="s">
        <v>33</v>
      </c>
    </row>
    <row r="1274" spans="1:13">
      <c r="A1274" s="86">
        <v>44892</v>
      </c>
      <c r="B1274" s="82">
        <f t="shared" si="86"/>
        <v>11</v>
      </c>
      <c r="C1274">
        <f t="shared" si="88"/>
        <v>2022</v>
      </c>
      <c r="D1274" s="86"/>
      <c r="E1274" s="84" t="s">
        <v>97</v>
      </c>
      <c r="G1274" s="44">
        <v>1391220</v>
      </c>
      <c r="H1274" s="44">
        <f t="shared" si="87"/>
        <v>-1391220</v>
      </c>
      <c r="L1274" s="29" t="s">
        <v>10</v>
      </c>
      <c r="M1274" s="29" t="s">
        <v>38</v>
      </c>
    </row>
    <row r="1275" spans="1:13">
      <c r="A1275" s="86">
        <v>44892</v>
      </c>
      <c r="B1275" s="82">
        <f t="shared" si="86"/>
        <v>11</v>
      </c>
      <c r="C1275">
        <f t="shared" si="88"/>
        <v>2022</v>
      </c>
      <c r="D1275" s="86"/>
      <c r="E1275" s="84" t="s">
        <v>150</v>
      </c>
      <c r="G1275" s="44">
        <v>800000</v>
      </c>
      <c r="H1275" s="44">
        <f t="shared" si="87"/>
        <v>-800000</v>
      </c>
      <c r="L1275" t="s">
        <v>11</v>
      </c>
      <c r="M1275" s="44" t="s">
        <v>125</v>
      </c>
    </row>
    <row r="1276" spans="1:13">
      <c r="A1276" s="86">
        <v>44892</v>
      </c>
      <c r="B1276" s="82">
        <f t="shared" si="86"/>
        <v>11</v>
      </c>
      <c r="C1276">
        <f t="shared" si="88"/>
        <v>2022</v>
      </c>
      <c r="E1276" s="84" t="s">
        <v>150</v>
      </c>
      <c r="F1276" s="44">
        <v>489124</v>
      </c>
      <c r="H1276" s="44">
        <f t="shared" si="87"/>
        <v>489124</v>
      </c>
      <c r="L1276" s="29" t="s">
        <v>2</v>
      </c>
      <c r="M1276" s="29" t="s">
        <v>33</v>
      </c>
    </row>
    <row r="1277" spans="1:13">
      <c r="A1277" s="86">
        <v>44892</v>
      </c>
      <c r="B1277" s="82">
        <f t="shared" si="86"/>
        <v>11</v>
      </c>
      <c r="C1277">
        <f t="shared" si="88"/>
        <v>2022</v>
      </c>
      <c r="E1277" s="84" t="s">
        <v>150</v>
      </c>
      <c r="F1277" s="44">
        <v>1391220</v>
      </c>
      <c r="H1277" s="44">
        <f t="shared" si="87"/>
        <v>1391220</v>
      </c>
      <c r="L1277" s="29" t="s">
        <v>10</v>
      </c>
      <c r="M1277" s="29" t="s">
        <v>38</v>
      </c>
    </row>
    <row r="1278" spans="1:13">
      <c r="A1278" s="86">
        <v>44893</v>
      </c>
      <c r="B1278" s="82">
        <f t="shared" si="86"/>
        <v>11</v>
      </c>
      <c r="C1278">
        <f t="shared" si="88"/>
        <v>2022</v>
      </c>
      <c r="E1278" s="84" t="s">
        <v>97</v>
      </c>
      <c r="F1278" s="44">
        <v>1112020</v>
      </c>
      <c r="H1278" s="44">
        <f t="shared" si="87"/>
        <v>1112020</v>
      </c>
      <c r="L1278" s="29" t="s">
        <v>2</v>
      </c>
      <c r="M1278" s="29" t="s">
        <v>32</v>
      </c>
    </row>
    <row r="1279" spans="1:13">
      <c r="A1279" s="86">
        <v>44893</v>
      </c>
      <c r="B1279" s="82">
        <f t="shared" si="86"/>
        <v>11</v>
      </c>
      <c r="C1279">
        <f t="shared" si="88"/>
        <v>2022</v>
      </c>
      <c r="E1279" s="84" t="s">
        <v>143</v>
      </c>
      <c r="F1279" s="44">
        <v>872123.07000000007</v>
      </c>
      <c r="H1279" s="44">
        <f t="shared" si="87"/>
        <v>872123.07000000007</v>
      </c>
      <c r="I1279"/>
      <c r="M1279" t="s">
        <v>2</v>
      </c>
    </row>
    <row r="1280" spans="1:13">
      <c r="A1280" s="86">
        <v>44893</v>
      </c>
      <c r="B1280" s="82">
        <f t="shared" si="86"/>
        <v>11</v>
      </c>
      <c r="C1280">
        <f t="shared" si="88"/>
        <v>2022</v>
      </c>
      <c r="E1280" s="84" t="s">
        <v>89</v>
      </c>
      <c r="G1280" s="44">
        <v>872123.07000000007</v>
      </c>
      <c r="H1280" s="44">
        <f t="shared" si="87"/>
        <v>-872123.07000000007</v>
      </c>
      <c r="I1280"/>
      <c r="M1280" t="s">
        <v>2</v>
      </c>
    </row>
    <row r="1281" spans="1:13">
      <c r="A1281" s="86">
        <v>44893</v>
      </c>
      <c r="B1281" s="82">
        <f t="shared" si="86"/>
        <v>11</v>
      </c>
      <c r="C1281">
        <f t="shared" si="88"/>
        <v>2022</v>
      </c>
      <c r="E1281" s="84" t="s">
        <v>98</v>
      </c>
      <c r="G1281" s="44">
        <v>1112020</v>
      </c>
      <c r="H1281" s="44">
        <f t="shared" si="87"/>
        <v>-1112020</v>
      </c>
      <c r="L1281" s="29" t="s">
        <v>2</v>
      </c>
      <c r="M1281" s="93" t="s">
        <v>32</v>
      </c>
    </row>
    <row r="1282" spans="1:13">
      <c r="A1282" s="86">
        <v>44894</v>
      </c>
      <c r="B1282" s="82">
        <f t="shared" si="86"/>
        <v>11</v>
      </c>
      <c r="C1282">
        <f t="shared" si="88"/>
        <v>2022</v>
      </c>
      <c r="E1282" s="84" t="s">
        <v>97</v>
      </c>
      <c r="F1282" s="44">
        <v>3494754</v>
      </c>
      <c r="H1282" s="44">
        <f t="shared" si="87"/>
        <v>3494754</v>
      </c>
      <c r="L1282" s="29" t="s">
        <v>14</v>
      </c>
      <c r="M1282" s="29" t="s">
        <v>39</v>
      </c>
    </row>
    <row r="1283" spans="1:13">
      <c r="A1283" s="86">
        <v>44894</v>
      </c>
      <c r="B1283" s="82">
        <f t="shared" si="86"/>
        <v>11</v>
      </c>
      <c r="C1283">
        <f t="shared" si="88"/>
        <v>2022</v>
      </c>
      <c r="E1283" s="84" t="s">
        <v>143</v>
      </c>
      <c r="F1283" s="44">
        <v>2410365.6540000006</v>
      </c>
      <c r="H1283" s="44">
        <f t="shared" si="87"/>
        <v>2410365.6540000006</v>
      </c>
      <c r="I1283"/>
      <c r="M1283" t="s">
        <v>14</v>
      </c>
    </row>
    <row r="1284" spans="1:13">
      <c r="A1284" s="86">
        <v>44894</v>
      </c>
      <c r="B1284" s="82">
        <f t="shared" si="86"/>
        <v>11</v>
      </c>
      <c r="C1284">
        <f t="shared" si="88"/>
        <v>2022</v>
      </c>
      <c r="E1284" s="84" t="s">
        <v>91</v>
      </c>
      <c r="G1284" s="44">
        <v>2410365.6540000006</v>
      </c>
      <c r="H1284" s="44">
        <f t="shared" si="87"/>
        <v>-2410365.6540000006</v>
      </c>
      <c r="I1284"/>
      <c r="M1284" t="s">
        <v>14</v>
      </c>
    </row>
    <row r="1285" spans="1:13">
      <c r="A1285" s="86">
        <v>44894</v>
      </c>
      <c r="B1285" s="82">
        <f t="shared" si="86"/>
        <v>11</v>
      </c>
      <c r="C1285">
        <f t="shared" si="88"/>
        <v>2022</v>
      </c>
      <c r="E1285" s="84" t="s">
        <v>98</v>
      </c>
      <c r="G1285" s="44">
        <v>3494754</v>
      </c>
      <c r="H1285" s="44">
        <f t="shared" si="87"/>
        <v>-3494754</v>
      </c>
      <c r="L1285" s="29" t="s">
        <v>14</v>
      </c>
      <c r="M1285" s="29" t="s">
        <v>39</v>
      </c>
    </row>
    <row r="1286" spans="1:13">
      <c r="A1286" s="86">
        <v>44895</v>
      </c>
      <c r="B1286" s="82">
        <f t="shared" si="86"/>
        <v>11</v>
      </c>
      <c r="C1286">
        <f t="shared" si="88"/>
        <v>2022</v>
      </c>
      <c r="E1286" s="84" t="s">
        <v>155</v>
      </c>
      <c r="F1286" s="44">
        <v>793038</v>
      </c>
      <c r="H1286" s="44">
        <f t="shared" si="87"/>
        <v>793038</v>
      </c>
      <c r="M1286"/>
    </row>
    <row r="1287" spans="1:13">
      <c r="A1287" s="86">
        <v>44895</v>
      </c>
      <c r="B1287" s="82">
        <f t="shared" si="86"/>
        <v>11</v>
      </c>
      <c r="C1287">
        <f t="shared" si="88"/>
        <v>2022</v>
      </c>
      <c r="D1287" s="86"/>
      <c r="E1287" s="84" t="s">
        <v>150</v>
      </c>
      <c r="G1287" s="44">
        <v>227630.29200000002</v>
      </c>
      <c r="H1287" s="44">
        <f t="shared" si="87"/>
        <v>-227630.29200000002</v>
      </c>
      <c r="M1287"/>
    </row>
    <row r="1288" spans="1:13">
      <c r="A1288" s="86">
        <v>44895</v>
      </c>
      <c r="B1288" s="82">
        <f t="shared" si="86"/>
        <v>11</v>
      </c>
      <c r="C1288">
        <f t="shared" si="88"/>
        <v>2022</v>
      </c>
      <c r="E1288" s="84" t="s">
        <v>150</v>
      </c>
      <c r="G1288" s="44">
        <v>1065789</v>
      </c>
      <c r="H1288" s="44">
        <f t="shared" si="87"/>
        <v>-1065789</v>
      </c>
      <c r="M1288"/>
    </row>
    <row r="1289" spans="1:13">
      <c r="A1289" s="86">
        <v>44895</v>
      </c>
      <c r="B1289" s="82">
        <f t="shared" si="86"/>
        <v>11</v>
      </c>
      <c r="C1289">
        <f t="shared" si="88"/>
        <v>2022</v>
      </c>
      <c r="E1289" s="84" t="s">
        <v>150</v>
      </c>
      <c r="G1289" s="44">
        <v>797691</v>
      </c>
      <c r="H1289" s="44">
        <f t="shared" si="87"/>
        <v>-797691</v>
      </c>
      <c r="M1289"/>
    </row>
    <row r="1290" spans="1:13">
      <c r="A1290" s="86">
        <v>44895</v>
      </c>
      <c r="B1290" s="82">
        <f t="shared" si="86"/>
        <v>11</v>
      </c>
      <c r="C1290">
        <f t="shared" si="88"/>
        <v>2022</v>
      </c>
      <c r="E1290" s="84" t="s">
        <v>150</v>
      </c>
      <c r="G1290" s="44">
        <v>793038</v>
      </c>
      <c r="H1290" s="44">
        <f t="shared" si="87"/>
        <v>-793038</v>
      </c>
      <c r="M1290"/>
    </row>
    <row r="1291" spans="1:13">
      <c r="A1291" s="86">
        <v>44895</v>
      </c>
      <c r="B1291" s="82">
        <f t="shared" si="86"/>
        <v>11</v>
      </c>
      <c r="C1291">
        <f t="shared" si="88"/>
        <v>2022</v>
      </c>
      <c r="E1291" s="84" t="s">
        <v>150</v>
      </c>
      <c r="F1291" s="44">
        <v>1225635</v>
      </c>
      <c r="H1291" s="44">
        <f t="shared" si="87"/>
        <v>1225635</v>
      </c>
      <c r="M1291"/>
    </row>
    <row r="1292" spans="1:13">
      <c r="A1292" s="86">
        <v>44895</v>
      </c>
      <c r="B1292" s="82">
        <f t="shared" si="86"/>
        <v>11</v>
      </c>
      <c r="C1292">
        <f t="shared" si="88"/>
        <v>2022</v>
      </c>
      <c r="E1292" s="84" t="s">
        <v>150</v>
      </c>
      <c r="G1292" s="44">
        <v>1232187</v>
      </c>
      <c r="H1292" s="44">
        <f t="shared" si="87"/>
        <v>-1232187</v>
      </c>
      <c r="M1292"/>
    </row>
    <row r="1293" spans="1:13">
      <c r="A1293" s="86">
        <v>44895</v>
      </c>
      <c r="B1293" s="82">
        <f t="shared" si="86"/>
        <v>11</v>
      </c>
      <c r="C1293">
        <f t="shared" si="88"/>
        <v>2022</v>
      </c>
      <c r="E1293" s="84" t="s">
        <v>154</v>
      </c>
      <c r="F1293" s="44">
        <v>797691</v>
      </c>
      <c r="H1293" s="44">
        <f t="shared" si="87"/>
        <v>797691</v>
      </c>
      <c r="M1293"/>
    </row>
    <row r="1294" spans="1:13">
      <c r="A1294" s="86">
        <v>44895</v>
      </c>
      <c r="B1294" s="82">
        <f t="shared" si="86"/>
        <v>11</v>
      </c>
      <c r="C1294">
        <f t="shared" si="88"/>
        <v>2022</v>
      </c>
      <c r="E1294" s="84" t="s">
        <v>159</v>
      </c>
      <c r="F1294" s="44">
        <v>1232187</v>
      </c>
      <c r="H1294" s="44">
        <f t="shared" si="87"/>
        <v>1232187</v>
      </c>
      <c r="M1294"/>
    </row>
    <row r="1295" spans="1:13">
      <c r="A1295" s="86">
        <v>44895</v>
      </c>
      <c r="B1295" s="82">
        <f t="shared" si="86"/>
        <v>11</v>
      </c>
      <c r="C1295">
        <f t="shared" si="88"/>
        <v>2022</v>
      </c>
      <c r="E1295" s="84" t="s">
        <v>158</v>
      </c>
      <c r="G1295" s="44">
        <v>1225635</v>
      </c>
      <c r="H1295" s="44">
        <f t="shared" si="87"/>
        <v>-1225635</v>
      </c>
      <c r="M1295"/>
    </row>
    <row r="1296" spans="1:13">
      <c r="A1296" s="86">
        <v>44895</v>
      </c>
      <c r="B1296" s="82">
        <f t="shared" si="86"/>
        <v>11</v>
      </c>
      <c r="C1296">
        <f t="shared" si="88"/>
        <v>2022</v>
      </c>
      <c r="E1296" s="84" t="s">
        <v>157</v>
      </c>
      <c r="F1296" s="44">
        <v>1065789</v>
      </c>
      <c r="H1296" s="44">
        <f t="shared" si="87"/>
        <v>1065789</v>
      </c>
      <c r="M1296"/>
    </row>
    <row r="1297" spans="1:13">
      <c r="A1297" s="86">
        <v>44895</v>
      </c>
      <c r="B1297" s="82">
        <f t="shared" si="86"/>
        <v>11</v>
      </c>
      <c r="C1297">
        <f t="shared" si="88"/>
        <v>2022</v>
      </c>
      <c r="D1297" s="86"/>
      <c r="E1297" s="84" t="s">
        <v>146</v>
      </c>
      <c r="F1297" s="44">
        <v>227630.29200000002</v>
      </c>
      <c r="H1297" s="44">
        <f t="shared" si="87"/>
        <v>227630.29200000002</v>
      </c>
      <c r="M1297"/>
    </row>
    <row r="1298" spans="1:13">
      <c r="A1298" s="86">
        <v>44896</v>
      </c>
      <c r="B1298" s="82">
        <f t="shared" si="86"/>
        <v>12</v>
      </c>
      <c r="C1298">
        <v>2022</v>
      </c>
      <c r="E1298" s="84" t="s">
        <v>191</v>
      </c>
      <c r="F1298" s="44">
        <v>6455000</v>
      </c>
      <c r="H1298" s="44">
        <f t="shared" si="87"/>
        <v>6455000</v>
      </c>
      <c r="M1298"/>
    </row>
    <row r="1299" spans="1:13">
      <c r="A1299" s="86">
        <v>44896</v>
      </c>
      <c r="B1299" s="82">
        <f t="shared" si="86"/>
        <v>12</v>
      </c>
      <c r="C1299">
        <v>2022</v>
      </c>
      <c r="E1299" s="84" t="s">
        <v>190</v>
      </c>
      <c r="F1299" s="44">
        <v>9045000</v>
      </c>
      <c r="H1299" s="44">
        <f t="shared" si="87"/>
        <v>9045000</v>
      </c>
      <c r="M1299"/>
    </row>
    <row r="1300" spans="1:13">
      <c r="A1300" s="86">
        <v>44896</v>
      </c>
      <c r="B1300" s="82">
        <f t="shared" si="86"/>
        <v>12</v>
      </c>
      <c r="C1300">
        <v>2022</v>
      </c>
      <c r="E1300" s="84" t="s">
        <v>189</v>
      </c>
      <c r="F1300" s="44">
        <v>45000000</v>
      </c>
      <c r="H1300" s="44">
        <f t="shared" si="87"/>
        <v>45000000</v>
      </c>
      <c r="M1300"/>
    </row>
    <row r="1301" spans="1:13">
      <c r="A1301" s="86">
        <v>44896</v>
      </c>
      <c r="B1301" s="82">
        <f t="shared" si="86"/>
        <v>12</v>
      </c>
      <c r="C1301">
        <v>2022</v>
      </c>
      <c r="E1301" s="84" t="s">
        <v>156</v>
      </c>
      <c r="G1301" s="44">
        <v>50000000</v>
      </c>
      <c r="H1301" s="44">
        <f t="shared" si="87"/>
        <v>-50000000</v>
      </c>
      <c r="M1301"/>
    </row>
    <row r="1302" spans="1:13">
      <c r="A1302" s="86">
        <v>44896</v>
      </c>
      <c r="B1302" s="82">
        <f t="shared" si="86"/>
        <v>12</v>
      </c>
      <c r="C1302">
        <v>2022</v>
      </c>
      <c r="E1302" s="84" t="s">
        <v>192</v>
      </c>
      <c r="G1302" s="44">
        <v>10500000</v>
      </c>
      <c r="H1302" s="44">
        <f t="shared" si="87"/>
        <v>-10500000</v>
      </c>
      <c r="M1302"/>
    </row>
    <row r="1303" spans="1:13">
      <c r="A1303" s="86">
        <v>44897</v>
      </c>
      <c r="B1303" s="82">
        <f t="shared" ref="B1303:B1350" si="89">MONTH(A1303)</f>
        <v>12</v>
      </c>
      <c r="C1303">
        <f t="shared" ref="C1303:C1334" si="90">YEAR(A1303)</f>
        <v>2022</v>
      </c>
      <c r="D1303" s="86"/>
      <c r="E1303" s="84" t="s">
        <v>97</v>
      </c>
      <c r="G1303" s="44">
        <v>1398420</v>
      </c>
      <c r="H1303" s="44">
        <f t="shared" ref="H1303:H1350" si="91">F1303-G1303</f>
        <v>-1398420</v>
      </c>
      <c r="L1303" s="29" t="s">
        <v>2</v>
      </c>
      <c r="M1303" s="29" t="s">
        <v>32</v>
      </c>
    </row>
    <row r="1304" spans="1:13">
      <c r="A1304" s="86">
        <v>44897</v>
      </c>
      <c r="B1304" s="82">
        <f t="shared" si="89"/>
        <v>12</v>
      </c>
      <c r="C1304">
        <f t="shared" si="90"/>
        <v>2022</v>
      </c>
      <c r="E1304" s="84" t="s">
        <v>150</v>
      </c>
      <c r="F1304" s="44">
        <v>1398420</v>
      </c>
      <c r="H1304" s="44">
        <f t="shared" si="91"/>
        <v>1398420</v>
      </c>
      <c r="L1304" s="29" t="s">
        <v>2</v>
      </c>
      <c r="M1304" s="29" t="s">
        <v>32</v>
      </c>
    </row>
    <row r="1305" spans="1:13">
      <c r="A1305" s="86">
        <v>44899</v>
      </c>
      <c r="B1305" s="82">
        <f t="shared" si="89"/>
        <v>12</v>
      </c>
      <c r="C1305">
        <f t="shared" si="90"/>
        <v>2022</v>
      </c>
      <c r="D1305" s="86"/>
      <c r="E1305" s="84" t="s">
        <v>97</v>
      </c>
      <c r="G1305" s="44">
        <v>1397760</v>
      </c>
      <c r="H1305" s="44">
        <f t="shared" si="91"/>
        <v>-1397760</v>
      </c>
      <c r="L1305" s="29" t="s">
        <v>2</v>
      </c>
      <c r="M1305" s="29" t="s">
        <v>31</v>
      </c>
    </row>
    <row r="1306" spans="1:13">
      <c r="A1306" s="86">
        <v>44899</v>
      </c>
      <c r="B1306" s="82">
        <f t="shared" si="89"/>
        <v>12</v>
      </c>
      <c r="C1306">
        <f t="shared" si="90"/>
        <v>2022</v>
      </c>
      <c r="E1306" s="84" t="s">
        <v>150</v>
      </c>
      <c r="F1306" s="44">
        <v>1397760</v>
      </c>
      <c r="H1306" s="44">
        <f t="shared" si="91"/>
        <v>1397760</v>
      </c>
      <c r="L1306" s="29" t="s">
        <v>2</v>
      </c>
      <c r="M1306" s="29" t="s">
        <v>31</v>
      </c>
    </row>
    <row r="1307" spans="1:13">
      <c r="A1307" s="86">
        <v>44900</v>
      </c>
      <c r="B1307" s="82">
        <f t="shared" si="89"/>
        <v>12</v>
      </c>
      <c r="C1307">
        <f t="shared" si="90"/>
        <v>2022</v>
      </c>
      <c r="D1307" s="86"/>
      <c r="E1307" s="84" t="s">
        <v>68</v>
      </c>
      <c r="G1307" s="44">
        <v>720000</v>
      </c>
      <c r="H1307" s="44">
        <f t="shared" si="91"/>
        <v>-720000</v>
      </c>
      <c r="L1307" t="s">
        <v>3</v>
      </c>
      <c r="M1307" s="44" t="s">
        <v>123</v>
      </c>
    </row>
    <row r="1308" spans="1:13">
      <c r="A1308" s="86">
        <v>44900</v>
      </c>
      <c r="B1308" s="82">
        <f t="shared" si="89"/>
        <v>12</v>
      </c>
      <c r="C1308">
        <f t="shared" si="90"/>
        <v>2022</v>
      </c>
      <c r="D1308" s="86"/>
      <c r="E1308" s="84" t="s">
        <v>68</v>
      </c>
      <c r="G1308" s="44">
        <v>990000</v>
      </c>
      <c r="H1308" s="44">
        <f t="shared" si="91"/>
        <v>-990000</v>
      </c>
      <c r="L1308" t="s">
        <v>4</v>
      </c>
      <c r="M1308" s="44" t="s">
        <v>123</v>
      </c>
    </row>
    <row r="1309" spans="1:13">
      <c r="A1309" s="86">
        <v>44900</v>
      </c>
      <c r="B1309" s="82">
        <f t="shared" si="89"/>
        <v>12</v>
      </c>
      <c r="C1309">
        <f t="shared" si="90"/>
        <v>2022</v>
      </c>
      <c r="D1309" s="86"/>
      <c r="E1309" s="84" t="s">
        <v>68</v>
      </c>
      <c r="G1309" s="44">
        <v>1800000</v>
      </c>
      <c r="H1309" s="44">
        <f t="shared" si="91"/>
        <v>-1800000</v>
      </c>
      <c r="L1309" t="s">
        <v>5</v>
      </c>
      <c r="M1309" s="44" t="s">
        <v>123</v>
      </c>
    </row>
    <row r="1310" spans="1:13">
      <c r="A1310" s="86">
        <v>44900</v>
      </c>
      <c r="B1310" s="82">
        <f t="shared" si="89"/>
        <v>12</v>
      </c>
      <c r="C1310">
        <f t="shared" si="90"/>
        <v>2022</v>
      </c>
      <c r="D1310" s="86"/>
      <c r="E1310" s="84" t="s">
        <v>68</v>
      </c>
      <c r="G1310" s="44">
        <v>2310000</v>
      </c>
      <c r="H1310" s="44">
        <f t="shared" si="91"/>
        <v>-2310000</v>
      </c>
      <c r="L1310" t="s">
        <v>6</v>
      </c>
      <c r="M1310" s="44" t="s">
        <v>124</v>
      </c>
    </row>
    <row r="1311" spans="1:13">
      <c r="A1311" s="86">
        <v>44900</v>
      </c>
      <c r="B1311" s="82">
        <f t="shared" si="89"/>
        <v>12</v>
      </c>
      <c r="C1311">
        <f t="shared" si="90"/>
        <v>2022</v>
      </c>
      <c r="D1311" s="86"/>
      <c r="E1311" s="84" t="s">
        <v>68</v>
      </c>
      <c r="G1311" s="44">
        <v>720000</v>
      </c>
      <c r="H1311" s="44">
        <f t="shared" si="91"/>
        <v>-720000</v>
      </c>
      <c r="L1311" t="s">
        <v>11</v>
      </c>
      <c r="M1311" s="44" t="s">
        <v>125</v>
      </c>
    </row>
    <row r="1312" spans="1:13">
      <c r="A1312" s="86">
        <v>44900</v>
      </c>
      <c r="B1312" s="82">
        <f t="shared" si="89"/>
        <v>12</v>
      </c>
      <c r="C1312">
        <f t="shared" si="90"/>
        <v>2022</v>
      </c>
      <c r="D1312" s="86"/>
      <c r="E1312" s="84" t="s">
        <v>68</v>
      </c>
      <c r="G1312" s="44">
        <v>1774885</v>
      </c>
      <c r="H1312" s="44">
        <f t="shared" si="91"/>
        <v>-1774885</v>
      </c>
      <c r="L1312" t="s">
        <v>12</v>
      </c>
      <c r="M1312" s="44" t="s">
        <v>125</v>
      </c>
    </row>
    <row r="1313" spans="1:13">
      <c r="A1313" s="86">
        <v>44900</v>
      </c>
      <c r="B1313" s="82">
        <f t="shared" si="89"/>
        <v>12</v>
      </c>
      <c r="C1313">
        <f t="shared" si="90"/>
        <v>2022</v>
      </c>
      <c r="D1313" s="86"/>
      <c r="E1313" s="84" t="s">
        <v>67</v>
      </c>
      <c r="F1313" s="44">
        <v>720000</v>
      </c>
      <c r="H1313" s="44">
        <f t="shared" si="91"/>
        <v>720000</v>
      </c>
      <c r="L1313" t="s">
        <v>3</v>
      </c>
      <c r="M1313" s="44" t="s">
        <v>123</v>
      </c>
    </row>
    <row r="1314" spans="1:13">
      <c r="A1314" s="86">
        <v>44900</v>
      </c>
      <c r="B1314" s="82">
        <f t="shared" si="89"/>
        <v>12</v>
      </c>
      <c r="C1314">
        <f t="shared" si="90"/>
        <v>2022</v>
      </c>
      <c r="D1314" s="86"/>
      <c r="E1314" s="84" t="s">
        <v>67</v>
      </c>
      <c r="F1314" s="44">
        <v>990000</v>
      </c>
      <c r="H1314" s="44">
        <f t="shared" si="91"/>
        <v>990000</v>
      </c>
      <c r="L1314" t="s">
        <v>4</v>
      </c>
      <c r="M1314" s="44" t="s">
        <v>123</v>
      </c>
    </row>
    <row r="1315" spans="1:13">
      <c r="A1315" s="86">
        <v>44900</v>
      </c>
      <c r="B1315" s="82">
        <f t="shared" si="89"/>
        <v>12</v>
      </c>
      <c r="C1315">
        <f t="shared" si="90"/>
        <v>2022</v>
      </c>
      <c r="D1315" s="86"/>
      <c r="E1315" s="84" t="s">
        <v>67</v>
      </c>
      <c r="F1315" s="44">
        <v>1800000</v>
      </c>
      <c r="H1315" s="44">
        <f t="shared" si="91"/>
        <v>1800000</v>
      </c>
      <c r="L1315" t="s">
        <v>5</v>
      </c>
      <c r="M1315" s="44" t="s">
        <v>123</v>
      </c>
    </row>
    <row r="1316" spans="1:13">
      <c r="A1316" s="86">
        <v>44900</v>
      </c>
      <c r="B1316" s="82">
        <f t="shared" si="89"/>
        <v>12</v>
      </c>
      <c r="C1316">
        <f t="shared" si="90"/>
        <v>2022</v>
      </c>
      <c r="D1316" s="86"/>
      <c r="E1316" s="84" t="s">
        <v>67</v>
      </c>
      <c r="F1316" s="44">
        <v>2310000</v>
      </c>
      <c r="H1316" s="44">
        <f t="shared" si="91"/>
        <v>2310000</v>
      </c>
      <c r="L1316" t="s">
        <v>6</v>
      </c>
      <c r="M1316" s="44" t="s">
        <v>124</v>
      </c>
    </row>
    <row r="1317" spans="1:13">
      <c r="A1317" s="86">
        <v>44900</v>
      </c>
      <c r="B1317" s="82">
        <f t="shared" si="89"/>
        <v>12</v>
      </c>
      <c r="C1317">
        <f t="shared" si="90"/>
        <v>2022</v>
      </c>
      <c r="D1317" s="86"/>
      <c r="E1317" s="84" t="s">
        <v>67</v>
      </c>
      <c r="F1317" s="44">
        <v>720000</v>
      </c>
      <c r="H1317" s="44">
        <f t="shared" si="91"/>
        <v>720000</v>
      </c>
      <c r="L1317" t="s">
        <v>11</v>
      </c>
      <c r="M1317" s="44" t="s">
        <v>125</v>
      </c>
    </row>
    <row r="1318" spans="1:13">
      <c r="A1318" s="86">
        <v>44900</v>
      </c>
      <c r="B1318" s="82">
        <f t="shared" si="89"/>
        <v>12</v>
      </c>
      <c r="C1318">
        <f t="shared" si="90"/>
        <v>2022</v>
      </c>
      <c r="D1318" s="86"/>
      <c r="E1318" s="84" t="s">
        <v>67</v>
      </c>
      <c r="F1318" s="44">
        <v>1774885</v>
      </c>
      <c r="H1318" s="44">
        <f t="shared" si="91"/>
        <v>1774885</v>
      </c>
      <c r="L1318" t="s">
        <v>12</v>
      </c>
      <c r="M1318" s="44" t="s">
        <v>125</v>
      </c>
    </row>
    <row r="1319" spans="1:13">
      <c r="A1319" s="86">
        <v>44901</v>
      </c>
      <c r="B1319" s="82">
        <f t="shared" si="89"/>
        <v>12</v>
      </c>
      <c r="C1319">
        <f t="shared" si="90"/>
        <v>2022</v>
      </c>
      <c r="D1319" s="86"/>
      <c r="E1319" s="84" t="s">
        <v>68</v>
      </c>
      <c r="F1319" s="44">
        <v>2310000</v>
      </c>
      <c r="H1319" s="44">
        <f t="shared" si="91"/>
        <v>2310000</v>
      </c>
      <c r="L1319" t="s">
        <v>6</v>
      </c>
      <c r="M1319" s="44" t="s">
        <v>124</v>
      </c>
    </row>
    <row r="1320" spans="1:13">
      <c r="A1320" s="86">
        <v>44901</v>
      </c>
      <c r="B1320" s="82">
        <f t="shared" si="89"/>
        <v>12</v>
      </c>
      <c r="C1320">
        <f t="shared" si="90"/>
        <v>2022</v>
      </c>
      <c r="D1320" s="86"/>
      <c r="E1320" s="84" t="s">
        <v>150</v>
      </c>
      <c r="G1320" s="44">
        <v>2310000</v>
      </c>
      <c r="H1320" s="44">
        <f t="shared" si="91"/>
        <v>-2310000</v>
      </c>
      <c r="L1320" t="s">
        <v>6</v>
      </c>
      <c r="M1320" s="44" t="s">
        <v>124</v>
      </c>
    </row>
    <row r="1321" spans="1:13">
      <c r="A1321" s="86">
        <v>44902</v>
      </c>
      <c r="B1321" s="82">
        <f t="shared" si="89"/>
        <v>12</v>
      </c>
      <c r="C1321">
        <f t="shared" si="90"/>
        <v>2022</v>
      </c>
      <c r="D1321" s="86"/>
      <c r="E1321" s="84" t="s">
        <v>97</v>
      </c>
      <c r="G1321" s="44">
        <v>1125402</v>
      </c>
      <c r="H1321" s="44">
        <f t="shared" si="91"/>
        <v>-1125402</v>
      </c>
      <c r="L1321" s="29" t="s">
        <v>2</v>
      </c>
      <c r="M1321" s="29" t="s">
        <v>34</v>
      </c>
    </row>
    <row r="1322" spans="1:13">
      <c r="A1322" s="86">
        <v>44902</v>
      </c>
      <c r="B1322" s="82">
        <f t="shared" si="89"/>
        <v>12</v>
      </c>
      <c r="C1322">
        <f t="shared" si="90"/>
        <v>2022</v>
      </c>
      <c r="E1322" s="84" t="s">
        <v>150</v>
      </c>
      <c r="F1322" s="44">
        <v>1125402</v>
      </c>
      <c r="H1322" s="44">
        <f t="shared" si="91"/>
        <v>1125402</v>
      </c>
      <c r="L1322" s="29" t="s">
        <v>2</v>
      </c>
      <c r="M1322" s="29" t="s">
        <v>34</v>
      </c>
    </row>
    <row r="1323" spans="1:13">
      <c r="A1323" s="86">
        <v>44903</v>
      </c>
      <c r="B1323" s="82">
        <f t="shared" si="89"/>
        <v>12</v>
      </c>
      <c r="C1323">
        <f t="shared" si="90"/>
        <v>2022</v>
      </c>
      <c r="D1323" s="86"/>
      <c r="E1323" s="84" t="s">
        <v>68</v>
      </c>
      <c r="F1323" s="44">
        <v>2000000</v>
      </c>
      <c r="H1323" s="44">
        <f t="shared" si="91"/>
        <v>2000000</v>
      </c>
      <c r="L1323" t="s">
        <v>5</v>
      </c>
      <c r="M1323" s="44" t="s">
        <v>123</v>
      </c>
    </row>
    <row r="1324" spans="1:13">
      <c r="A1324" s="86">
        <v>44903</v>
      </c>
      <c r="B1324" s="82">
        <f t="shared" si="89"/>
        <v>12</v>
      </c>
      <c r="C1324">
        <f t="shared" si="90"/>
        <v>2022</v>
      </c>
      <c r="D1324" s="86"/>
      <c r="E1324" s="84" t="s">
        <v>150</v>
      </c>
      <c r="G1324" s="44">
        <v>2000000</v>
      </c>
      <c r="H1324" s="44">
        <f t="shared" si="91"/>
        <v>-2000000</v>
      </c>
      <c r="L1324" t="s">
        <v>5</v>
      </c>
      <c r="M1324" s="44" t="s">
        <v>123</v>
      </c>
    </row>
    <row r="1325" spans="1:13">
      <c r="A1325" s="86">
        <v>44904</v>
      </c>
      <c r="B1325" s="82">
        <f t="shared" si="89"/>
        <v>12</v>
      </c>
      <c r="C1325">
        <f t="shared" si="90"/>
        <v>2022</v>
      </c>
      <c r="D1325" s="86"/>
      <c r="E1325" s="84" t="s">
        <v>97</v>
      </c>
      <c r="G1325" s="44">
        <v>1355424</v>
      </c>
      <c r="H1325" s="44">
        <f t="shared" si="91"/>
        <v>-1355424</v>
      </c>
      <c r="L1325" s="29" t="s">
        <v>2</v>
      </c>
      <c r="M1325" s="29" t="s">
        <v>31</v>
      </c>
    </row>
    <row r="1326" spans="1:13">
      <c r="A1326" s="86">
        <v>44904</v>
      </c>
      <c r="B1326" s="82">
        <f t="shared" si="89"/>
        <v>12</v>
      </c>
      <c r="C1326">
        <f t="shared" si="90"/>
        <v>2022</v>
      </c>
      <c r="D1326" s="86"/>
      <c r="E1326" s="84" t="s">
        <v>97</v>
      </c>
      <c r="G1326" s="44">
        <v>947030</v>
      </c>
      <c r="H1326" s="44">
        <f t="shared" si="91"/>
        <v>-947030</v>
      </c>
      <c r="L1326" s="29" t="s">
        <v>10</v>
      </c>
      <c r="M1326" s="29" t="s">
        <v>36</v>
      </c>
    </row>
    <row r="1327" spans="1:13">
      <c r="A1327" s="86">
        <v>44904</v>
      </c>
      <c r="B1327" s="82">
        <f t="shared" si="89"/>
        <v>12</v>
      </c>
      <c r="C1327">
        <f t="shared" si="90"/>
        <v>2022</v>
      </c>
      <c r="E1327" s="84" t="s">
        <v>150</v>
      </c>
      <c r="F1327" s="44">
        <v>1355424</v>
      </c>
      <c r="H1327" s="44">
        <f t="shared" si="91"/>
        <v>1355424</v>
      </c>
      <c r="L1327" s="29" t="s">
        <v>2</v>
      </c>
      <c r="M1327" s="29" t="s">
        <v>31</v>
      </c>
    </row>
    <row r="1328" spans="1:13">
      <c r="A1328" s="86">
        <v>44904</v>
      </c>
      <c r="B1328" s="82">
        <f t="shared" si="89"/>
        <v>12</v>
      </c>
      <c r="C1328">
        <f t="shared" si="90"/>
        <v>2022</v>
      </c>
      <c r="E1328" s="84" t="s">
        <v>150</v>
      </c>
      <c r="F1328" s="44">
        <v>947030</v>
      </c>
      <c r="H1328" s="44">
        <f t="shared" si="91"/>
        <v>947030</v>
      </c>
      <c r="L1328" s="29" t="s">
        <v>10</v>
      </c>
      <c r="M1328" s="29" t="s">
        <v>36</v>
      </c>
    </row>
    <row r="1329" spans="1:15">
      <c r="A1329" s="86">
        <v>44906</v>
      </c>
      <c r="B1329" s="82">
        <f t="shared" si="89"/>
        <v>12</v>
      </c>
      <c r="C1329">
        <f t="shared" si="90"/>
        <v>2022</v>
      </c>
      <c r="D1329" s="86"/>
      <c r="E1329" s="84" t="s">
        <v>68</v>
      </c>
      <c r="F1329" s="44">
        <v>840000</v>
      </c>
      <c r="H1329" s="44">
        <f t="shared" si="91"/>
        <v>840000</v>
      </c>
      <c r="L1329" t="s">
        <v>3</v>
      </c>
      <c r="M1329" s="44" t="s">
        <v>123</v>
      </c>
    </row>
    <row r="1330" spans="1:15">
      <c r="A1330" s="86">
        <v>44906</v>
      </c>
      <c r="B1330" s="82">
        <f t="shared" si="89"/>
        <v>12</v>
      </c>
      <c r="C1330">
        <f t="shared" si="90"/>
        <v>2022</v>
      </c>
      <c r="D1330" s="86"/>
      <c r="E1330" s="84" t="s">
        <v>150</v>
      </c>
      <c r="G1330" s="44">
        <v>840000</v>
      </c>
      <c r="H1330" s="44">
        <f t="shared" si="91"/>
        <v>-840000</v>
      </c>
      <c r="L1330" t="s">
        <v>3</v>
      </c>
      <c r="M1330" s="44" t="s">
        <v>123</v>
      </c>
    </row>
    <row r="1331" spans="1:15">
      <c r="A1331" s="86">
        <v>44907</v>
      </c>
      <c r="B1331" s="82">
        <f t="shared" si="89"/>
        <v>12</v>
      </c>
      <c r="C1331">
        <f t="shared" si="90"/>
        <v>2022</v>
      </c>
      <c r="D1331" s="86"/>
      <c r="E1331" s="84" t="s">
        <v>68</v>
      </c>
      <c r="F1331" s="44">
        <v>720000</v>
      </c>
      <c r="H1331" s="44">
        <f t="shared" si="91"/>
        <v>720000</v>
      </c>
      <c r="L1331" t="s">
        <v>3</v>
      </c>
      <c r="M1331" s="44" t="s">
        <v>123</v>
      </c>
    </row>
    <row r="1332" spans="1:15">
      <c r="A1332" s="86">
        <v>44907</v>
      </c>
      <c r="B1332" s="82">
        <f t="shared" si="89"/>
        <v>12</v>
      </c>
      <c r="C1332">
        <f t="shared" si="90"/>
        <v>2022</v>
      </c>
      <c r="D1332" s="86"/>
      <c r="E1332" s="84" t="s">
        <v>150</v>
      </c>
      <c r="G1332" s="44">
        <v>720000</v>
      </c>
      <c r="H1332" s="44">
        <f t="shared" si="91"/>
        <v>-720000</v>
      </c>
      <c r="L1332" t="s">
        <v>3</v>
      </c>
      <c r="M1332" s="44" t="s">
        <v>123</v>
      </c>
    </row>
    <row r="1333" spans="1:15">
      <c r="A1333" s="86">
        <v>44907</v>
      </c>
      <c r="B1333" s="82">
        <f t="shared" si="89"/>
        <v>12</v>
      </c>
      <c r="C1333">
        <f t="shared" si="90"/>
        <v>2022</v>
      </c>
      <c r="E1333" s="84" t="s">
        <v>81</v>
      </c>
      <c r="F1333" s="44">
        <v>918443.20000000019</v>
      </c>
      <c r="H1333" s="44">
        <f t="shared" si="91"/>
        <v>918443.20000000019</v>
      </c>
      <c r="L1333" t="str">
        <f>VLOOKUP(M1333,Reference!$A$16:$B$21,2,0)</f>
        <v>Supplier A</v>
      </c>
      <c r="M1333" t="s">
        <v>3</v>
      </c>
      <c r="N1333" t="str">
        <f t="shared" ref="N1333:N1338" si="92">L1333</f>
        <v>Supplier A</v>
      </c>
      <c r="O1333" t="str">
        <f t="shared" ref="O1333:O1338" si="93">M1333</f>
        <v>Component 1</v>
      </c>
    </row>
    <row r="1334" spans="1:15">
      <c r="A1334" s="86">
        <v>44907</v>
      </c>
      <c r="B1334" s="82">
        <f t="shared" si="89"/>
        <v>12</v>
      </c>
      <c r="C1334">
        <f t="shared" si="90"/>
        <v>2022</v>
      </c>
      <c r="E1334" s="84" t="s">
        <v>81</v>
      </c>
      <c r="F1334" s="44">
        <v>825855.3</v>
      </c>
      <c r="H1334" s="44">
        <f t="shared" si="91"/>
        <v>825855.3</v>
      </c>
      <c r="L1334" t="str">
        <f>VLOOKUP(M1334,Reference!$A$16:$B$21,2,0)</f>
        <v>Supplier A</v>
      </c>
      <c r="M1334" t="s">
        <v>4</v>
      </c>
      <c r="N1334" t="str">
        <f t="shared" si="92"/>
        <v>Supplier A</v>
      </c>
      <c r="O1334" t="str">
        <f t="shared" si="93"/>
        <v>Component 2</v>
      </c>
    </row>
    <row r="1335" spans="1:15">
      <c r="A1335" s="86">
        <v>44907</v>
      </c>
      <c r="B1335" s="82">
        <f t="shared" si="89"/>
        <v>12</v>
      </c>
      <c r="C1335">
        <f t="shared" ref="C1335:C1366" si="94">YEAR(A1335)</f>
        <v>2022</v>
      </c>
      <c r="E1335" s="84" t="s">
        <v>81</v>
      </c>
      <c r="F1335" s="44">
        <v>1778721.1199999999</v>
      </c>
      <c r="H1335" s="44">
        <f t="shared" si="91"/>
        <v>1778721.1199999999</v>
      </c>
      <c r="L1335" t="str">
        <f>VLOOKUP(M1335,Reference!$A$16:$B$21,2,0)</f>
        <v>Supplier A</v>
      </c>
      <c r="M1335" t="s">
        <v>5</v>
      </c>
      <c r="N1335" t="str">
        <f t="shared" si="92"/>
        <v>Supplier A</v>
      </c>
      <c r="O1335" t="str">
        <f t="shared" si="93"/>
        <v>Component 3</v>
      </c>
    </row>
    <row r="1336" spans="1:15">
      <c r="A1336" s="86">
        <v>44907</v>
      </c>
      <c r="B1336" s="82">
        <f t="shared" si="89"/>
        <v>12</v>
      </c>
      <c r="C1336">
        <f t="shared" si="94"/>
        <v>2022</v>
      </c>
      <c r="E1336" s="84" t="s">
        <v>81</v>
      </c>
      <c r="F1336" s="44">
        <v>1666860</v>
      </c>
      <c r="H1336" s="44">
        <f t="shared" si="91"/>
        <v>1666860</v>
      </c>
      <c r="L1336" t="str">
        <f>VLOOKUP(M1336,Reference!$A$16:$B$21,2,0)</f>
        <v>Supplier B</v>
      </c>
      <c r="M1336" t="s">
        <v>6</v>
      </c>
      <c r="N1336" t="str">
        <f t="shared" si="92"/>
        <v>Supplier B</v>
      </c>
      <c r="O1336" t="str">
        <f t="shared" si="93"/>
        <v>Component 4</v>
      </c>
    </row>
    <row r="1337" spans="1:15">
      <c r="A1337" s="86">
        <v>44907</v>
      </c>
      <c r="B1337" s="82">
        <f t="shared" si="89"/>
        <v>12</v>
      </c>
      <c r="C1337">
        <f t="shared" si="94"/>
        <v>2022</v>
      </c>
      <c r="E1337" s="84" t="s">
        <v>81</v>
      </c>
      <c r="F1337" s="44">
        <v>735751.39999999991</v>
      </c>
      <c r="H1337" s="44">
        <f t="shared" si="91"/>
        <v>735751.39999999991</v>
      </c>
      <c r="L1337" t="str">
        <f>VLOOKUP(M1337,Reference!$A$16:$B$21,2,0)</f>
        <v>Supplier D</v>
      </c>
      <c r="M1337" t="s">
        <v>11</v>
      </c>
      <c r="N1337" t="str">
        <f t="shared" si="92"/>
        <v>Supplier D</v>
      </c>
      <c r="O1337" t="str">
        <f t="shared" si="93"/>
        <v>Component 5</v>
      </c>
    </row>
    <row r="1338" spans="1:15">
      <c r="A1338" s="86">
        <v>44907</v>
      </c>
      <c r="B1338" s="82">
        <f t="shared" si="89"/>
        <v>12</v>
      </c>
      <c r="C1338">
        <f t="shared" si="94"/>
        <v>2022</v>
      </c>
      <c r="E1338" s="84" t="s">
        <v>81</v>
      </c>
      <c r="F1338" s="44">
        <v>1617142</v>
      </c>
      <c r="H1338" s="44">
        <f t="shared" si="91"/>
        <v>1617142</v>
      </c>
      <c r="L1338" t="str">
        <f>VLOOKUP(M1338,Reference!$A$16:$B$21,2,0)</f>
        <v>Supplier D</v>
      </c>
      <c r="M1338" t="s">
        <v>12</v>
      </c>
      <c r="N1338" t="str">
        <f t="shared" si="92"/>
        <v>Supplier D</v>
      </c>
      <c r="O1338" t="str">
        <f t="shared" si="93"/>
        <v>Component 6</v>
      </c>
    </row>
    <row r="1339" spans="1:15">
      <c r="A1339" s="86">
        <v>44907</v>
      </c>
      <c r="B1339" s="82">
        <f t="shared" si="89"/>
        <v>12</v>
      </c>
      <c r="C1339">
        <f t="shared" si="94"/>
        <v>2022</v>
      </c>
      <c r="E1339" s="84" t="s">
        <v>143</v>
      </c>
      <c r="G1339" s="44">
        <v>918443.20000000019</v>
      </c>
      <c r="H1339" s="44">
        <f t="shared" si="91"/>
        <v>-918443.20000000019</v>
      </c>
      <c r="J1339"/>
      <c r="M1339" t="s">
        <v>3</v>
      </c>
    </row>
    <row r="1340" spans="1:15">
      <c r="A1340" s="86">
        <v>44907</v>
      </c>
      <c r="B1340" s="82">
        <f t="shared" si="89"/>
        <v>12</v>
      </c>
      <c r="C1340">
        <f t="shared" si="94"/>
        <v>2022</v>
      </c>
      <c r="E1340" s="84" t="s">
        <v>143</v>
      </c>
      <c r="G1340" s="44">
        <v>825855.3</v>
      </c>
      <c r="H1340" s="44">
        <f t="shared" si="91"/>
        <v>-825855.3</v>
      </c>
      <c r="J1340"/>
      <c r="M1340" t="s">
        <v>4</v>
      </c>
    </row>
    <row r="1341" spans="1:15">
      <c r="A1341" s="86">
        <v>44907</v>
      </c>
      <c r="B1341" s="82">
        <f t="shared" si="89"/>
        <v>12</v>
      </c>
      <c r="C1341">
        <f t="shared" si="94"/>
        <v>2022</v>
      </c>
      <c r="E1341" s="84" t="s">
        <v>143</v>
      </c>
      <c r="G1341" s="44">
        <v>1778721.1199999999</v>
      </c>
      <c r="H1341" s="44">
        <f t="shared" si="91"/>
        <v>-1778721.1199999999</v>
      </c>
      <c r="J1341"/>
      <c r="M1341" t="s">
        <v>5</v>
      </c>
    </row>
    <row r="1342" spans="1:15">
      <c r="A1342" s="86">
        <v>44907</v>
      </c>
      <c r="B1342" s="82">
        <f t="shared" si="89"/>
        <v>12</v>
      </c>
      <c r="C1342">
        <f t="shared" si="94"/>
        <v>2022</v>
      </c>
      <c r="E1342" s="84" t="s">
        <v>143</v>
      </c>
      <c r="G1342" s="44">
        <f>-0.489999995566905+1666860</f>
        <v>1666859.5100000044</v>
      </c>
      <c r="H1342" s="44">
        <f t="shared" si="91"/>
        <v>-1666859.5100000044</v>
      </c>
      <c r="J1342"/>
      <c r="M1342" t="s">
        <v>6</v>
      </c>
    </row>
    <row r="1343" spans="1:15">
      <c r="A1343" s="86">
        <v>44907</v>
      </c>
      <c r="B1343" s="82">
        <f t="shared" si="89"/>
        <v>12</v>
      </c>
      <c r="C1343">
        <f t="shared" si="94"/>
        <v>2022</v>
      </c>
      <c r="E1343" s="84" t="s">
        <v>143</v>
      </c>
      <c r="G1343" s="44">
        <v>735751.39999999991</v>
      </c>
      <c r="H1343" s="44">
        <f t="shared" si="91"/>
        <v>-735751.39999999991</v>
      </c>
      <c r="J1343"/>
      <c r="M1343" t="s">
        <v>11</v>
      </c>
    </row>
    <row r="1344" spans="1:15">
      <c r="A1344" s="86">
        <v>44907</v>
      </c>
      <c r="B1344" s="82">
        <f t="shared" si="89"/>
        <v>12</v>
      </c>
      <c r="C1344">
        <f t="shared" si="94"/>
        <v>2022</v>
      </c>
      <c r="E1344" s="84" t="s">
        <v>143</v>
      </c>
      <c r="G1344" s="44">
        <v>1617142</v>
      </c>
      <c r="H1344" s="44">
        <f t="shared" si="91"/>
        <v>-1617142</v>
      </c>
      <c r="J1344"/>
      <c r="M1344" t="s">
        <v>12</v>
      </c>
    </row>
    <row r="1345" spans="1:13">
      <c r="A1345" s="86">
        <v>44907</v>
      </c>
      <c r="B1345" s="82">
        <f t="shared" si="89"/>
        <v>12</v>
      </c>
      <c r="C1345">
        <f t="shared" si="94"/>
        <v>2022</v>
      </c>
      <c r="E1345" s="84" t="s">
        <v>67</v>
      </c>
      <c r="G1345" s="44">
        <v>918443.20000000019</v>
      </c>
      <c r="H1345" s="44">
        <f t="shared" si="91"/>
        <v>-918443.20000000019</v>
      </c>
      <c r="L1345" t="s">
        <v>3</v>
      </c>
      <c r="M1345" s="44" t="s">
        <v>123</v>
      </c>
    </row>
    <row r="1346" spans="1:13">
      <c r="A1346" s="86">
        <v>44907</v>
      </c>
      <c r="B1346" s="82">
        <f t="shared" si="89"/>
        <v>12</v>
      </c>
      <c r="C1346">
        <f t="shared" si="94"/>
        <v>2022</v>
      </c>
      <c r="E1346" s="84" t="s">
        <v>67</v>
      </c>
      <c r="G1346" s="44">
        <v>825855.3</v>
      </c>
      <c r="H1346" s="44">
        <f t="shared" si="91"/>
        <v>-825855.3</v>
      </c>
      <c r="L1346" t="s">
        <v>4</v>
      </c>
      <c r="M1346" s="44" t="s">
        <v>123</v>
      </c>
    </row>
    <row r="1347" spans="1:13">
      <c r="A1347" s="86">
        <v>44907</v>
      </c>
      <c r="B1347" s="82">
        <f t="shared" si="89"/>
        <v>12</v>
      </c>
      <c r="C1347">
        <f t="shared" si="94"/>
        <v>2022</v>
      </c>
      <c r="E1347" s="84" t="s">
        <v>67</v>
      </c>
      <c r="G1347" s="44">
        <v>1778721.1199999999</v>
      </c>
      <c r="H1347" s="44">
        <f t="shared" si="91"/>
        <v>-1778721.1199999999</v>
      </c>
      <c r="L1347" t="s">
        <v>5</v>
      </c>
      <c r="M1347" s="44" t="s">
        <v>123</v>
      </c>
    </row>
    <row r="1348" spans="1:13">
      <c r="A1348" s="86">
        <v>44907</v>
      </c>
      <c r="B1348" s="82">
        <f t="shared" si="89"/>
        <v>12</v>
      </c>
      <c r="C1348">
        <f t="shared" si="94"/>
        <v>2022</v>
      </c>
      <c r="E1348" s="84" t="s">
        <v>67</v>
      </c>
      <c r="G1348" s="44">
        <v>1666860</v>
      </c>
      <c r="H1348" s="44">
        <f t="shared" si="91"/>
        <v>-1666860</v>
      </c>
      <c r="L1348" t="s">
        <v>6</v>
      </c>
      <c r="M1348" s="44" t="s">
        <v>124</v>
      </c>
    </row>
    <row r="1349" spans="1:13">
      <c r="A1349" s="86">
        <v>44907</v>
      </c>
      <c r="B1349" s="82">
        <f t="shared" si="89"/>
        <v>12</v>
      </c>
      <c r="C1349">
        <f t="shared" si="94"/>
        <v>2022</v>
      </c>
      <c r="E1349" s="84" t="s">
        <v>67</v>
      </c>
      <c r="G1349" s="44">
        <v>735751.39999999991</v>
      </c>
      <c r="H1349" s="44">
        <f t="shared" si="91"/>
        <v>-735751.39999999991</v>
      </c>
      <c r="L1349" t="s">
        <v>11</v>
      </c>
      <c r="M1349" s="44" t="s">
        <v>125</v>
      </c>
    </row>
    <row r="1350" spans="1:13">
      <c r="A1350" s="86">
        <v>44907</v>
      </c>
      <c r="B1350" s="82">
        <f t="shared" si="89"/>
        <v>12</v>
      </c>
      <c r="C1350">
        <f t="shared" si="94"/>
        <v>2022</v>
      </c>
      <c r="E1350" s="84" t="s">
        <v>67</v>
      </c>
      <c r="G1350" s="44">
        <v>1617142</v>
      </c>
      <c r="H1350" s="44">
        <f t="shared" si="91"/>
        <v>-1617142</v>
      </c>
      <c r="L1350" t="s">
        <v>12</v>
      </c>
      <c r="M1350" s="44" t="s">
        <v>125</v>
      </c>
    </row>
    <row r="1351" spans="1:13">
      <c r="A1351" s="86">
        <v>44908</v>
      </c>
      <c r="B1351" s="82">
        <f t="shared" ref="B1351:B1410" si="95">MONTH(A1351)</f>
        <v>12</v>
      </c>
      <c r="C1351">
        <f t="shared" si="94"/>
        <v>2022</v>
      </c>
      <c r="D1351" s="86"/>
      <c r="E1351" s="84" t="s">
        <v>97</v>
      </c>
      <c r="G1351" s="44">
        <v>1400236</v>
      </c>
      <c r="H1351" s="44">
        <f t="shared" ref="H1351:H1409" si="96">F1351-G1351</f>
        <v>-1400236</v>
      </c>
      <c r="L1351" s="29" t="s">
        <v>10</v>
      </c>
      <c r="M1351" s="29" t="s">
        <v>36</v>
      </c>
    </row>
    <row r="1352" spans="1:13">
      <c r="A1352" s="86">
        <v>44908</v>
      </c>
      <c r="B1352" s="82">
        <f t="shared" si="95"/>
        <v>12</v>
      </c>
      <c r="C1352">
        <f t="shared" si="94"/>
        <v>2022</v>
      </c>
      <c r="E1352" s="84" t="s">
        <v>150</v>
      </c>
      <c r="F1352" s="44">
        <v>1400236</v>
      </c>
      <c r="H1352" s="44">
        <f t="shared" si="96"/>
        <v>1400236</v>
      </c>
      <c r="L1352" s="29" t="s">
        <v>10</v>
      </c>
      <c r="M1352" s="29" t="s">
        <v>36</v>
      </c>
    </row>
    <row r="1353" spans="1:13">
      <c r="A1353" s="86">
        <v>44908</v>
      </c>
      <c r="B1353" s="82">
        <f t="shared" si="95"/>
        <v>12</v>
      </c>
      <c r="C1353">
        <f t="shared" si="94"/>
        <v>2022</v>
      </c>
      <c r="E1353" s="84" t="s">
        <v>89</v>
      </c>
      <c r="F1353" s="44">
        <v>3880322.5279999999</v>
      </c>
      <c r="H1353" s="44">
        <f t="shared" si="96"/>
        <v>3880322.5279999999</v>
      </c>
      <c r="I1353"/>
      <c r="J1353"/>
      <c r="M1353"/>
    </row>
    <row r="1354" spans="1:13">
      <c r="A1354" s="86">
        <v>44908</v>
      </c>
      <c r="B1354" s="82">
        <f t="shared" si="95"/>
        <v>12</v>
      </c>
      <c r="C1354">
        <f t="shared" si="94"/>
        <v>2022</v>
      </c>
      <c r="E1354" s="84" t="s">
        <v>90</v>
      </c>
      <c r="F1354" s="44">
        <v>1646968.2040000001</v>
      </c>
      <c r="H1354" s="44">
        <f t="shared" si="96"/>
        <v>1646968.2040000001</v>
      </c>
      <c r="I1354"/>
      <c r="J1354"/>
      <c r="M1354"/>
    </row>
    <row r="1355" spans="1:13">
      <c r="A1355" s="86">
        <v>44908</v>
      </c>
      <c r="B1355" s="82">
        <f t="shared" si="95"/>
        <v>12</v>
      </c>
      <c r="C1355">
        <f t="shared" si="94"/>
        <v>2022</v>
      </c>
      <c r="E1355" s="84" t="s">
        <v>91</v>
      </c>
      <c r="F1355" s="44">
        <v>2238492.048</v>
      </c>
      <c r="H1355" s="44">
        <f t="shared" si="96"/>
        <v>2238492.048</v>
      </c>
      <c r="I1355"/>
      <c r="J1355"/>
      <c r="M1355"/>
    </row>
    <row r="1356" spans="1:13">
      <c r="A1356" s="86">
        <v>44908</v>
      </c>
      <c r="B1356" s="82">
        <f t="shared" si="95"/>
        <v>12</v>
      </c>
      <c r="C1356">
        <f t="shared" si="94"/>
        <v>2022</v>
      </c>
      <c r="E1356" s="84" t="s">
        <v>146</v>
      </c>
      <c r="G1356" s="44">
        <v>223010.25</v>
      </c>
      <c r="H1356" s="44">
        <f t="shared" si="96"/>
        <v>-223010.25</v>
      </c>
      <c r="I1356"/>
      <c r="J1356"/>
      <c r="M1356"/>
    </row>
    <row r="1357" spans="1:13">
      <c r="A1357" s="86">
        <v>44910</v>
      </c>
      <c r="B1357" s="82">
        <f t="shared" si="95"/>
        <v>12</v>
      </c>
      <c r="C1357">
        <f t="shared" si="94"/>
        <v>2022</v>
      </c>
      <c r="E1357" s="84" t="s">
        <v>97</v>
      </c>
      <c r="F1357" s="44">
        <v>2085210</v>
      </c>
      <c r="H1357" s="44">
        <f t="shared" si="96"/>
        <v>2085210</v>
      </c>
      <c r="L1357" s="29" t="s">
        <v>14</v>
      </c>
      <c r="M1357" s="29" t="s">
        <v>39</v>
      </c>
    </row>
    <row r="1358" spans="1:13">
      <c r="A1358" s="86">
        <v>44910</v>
      </c>
      <c r="B1358" s="82">
        <f t="shared" si="95"/>
        <v>12</v>
      </c>
      <c r="C1358">
        <f t="shared" si="94"/>
        <v>2022</v>
      </c>
      <c r="E1358" s="84" t="s">
        <v>97</v>
      </c>
      <c r="F1358" s="44">
        <v>677376</v>
      </c>
      <c r="H1358" s="44">
        <f t="shared" si="96"/>
        <v>677376</v>
      </c>
      <c r="L1358" s="29" t="s">
        <v>2</v>
      </c>
      <c r="M1358" s="29" t="s">
        <v>32</v>
      </c>
    </row>
    <row r="1359" spans="1:13">
      <c r="A1359" s="86">
        <v>44910</v>
      </c>
      <c r="B1359" s="82">
        <f t="shared" si="95"/>
        <v>12</v>
      </c>
      <c r="C1359">
        <f t="shared" si="94"/>
        <v>2022</v>
      </c>
      <c r="E1359" s="84" t="s">
        <v>97</v>
      </c>
      <c r="F1359" s="44">
        <v>1075932</v>
      </c>
      <c r="H1359" s="44">
        <f t="shared" si="96"/>
        <v>1075932</v>
      </c>
      <c r="L1359" s="29" t="s">
        <v>10</v>
      </c>
      <c r="M1359" s="29" t="s">
        <v>38</v>
      </c>
    </row>
    <row r="1360" spans="1:13">
      <c r="A1360" s="86">
        <v>44910</v>
      </c>
      <c r="B1360" s="82">
        <f t="shared" si="95"/>
        <v>12</v>
      </c>
      <c r="C1360">
        <f t="shared" si="94"/>
        <v>2022</v>
      </c>
      <c r="E1360" s="84" t="s">
        <v>143</v>
      </c>
      <c r="F1360" s="44">
        <v>1990773.1560000002</v>
      </c>
      <c r="H1360" s="44">
        <f t="shared" si="96"/>
        <v>1990773.1560000002</v>
      </c>
      <c r="I1360"/>
      <c r="M1360" t="s">
        <v>14</v>
      </c>
    </row>
    <row r="1361" spans="1:13">
      <c r="A1361" s="86">
        <v>44910</v>
      </c>
      <c r="B1361" s="82">
        <f t="shared" si="95"/>
        <v>12</v>
      </c>
      <c r="C1361">
        <f t="shared" si="94"/>
        <v>2022</v>
      </c>
      <c r="E1361" s="84" t="s">
        <v>143</v>
      </c>
      <c r="F1361" s="44">
        <v>447512.68800000002</v>
      </c>
      <c r="H1361" s="44">
        <f t="shared" si="96"/>
        <v>447512.68800000002</v>
      </c>
      <c r="I1361"/>
      <c r="M1361" t="s">
        <v>2</v>
      </c>
    </row>
    <row r="1362" spans="1:13">
      <c r="A1362" s="86">
        <v>44910</v>
      </c>
      <c r="B1362" s="82">
        <f t="shared" si="95"/>
        <v>12</v>
      </c>
      <c r="C1362">
        <f t="shared" si="94"/>
        <v>2022</v>
      </c>
      <c r="E1362" s="84" t="s">
        <v>143</v>
      </c>
      <c r="F1362" s="44">
        <v>624073.16400000011</v>
      </c>
      <c r="H1362" s="44">
        <f t="shared" si="96"/>
        <v>624073.16400000011</v>
      </c>
      <c r="I1362"/>
      <c r="M1362" t="s">
        <v>10</v>
      </c>
    </row>
    <row r="1363" spans="1:13">
      <c r="A1363" s="86">
        <v>44910</v>
      </c>
      <c r="B1363" s="82">
        <f t="shared" si="95"/>
        <v>12</v>
      </c>
      <c r="C1363">
        <f t="shared" si="94"/>
        <v>2022</v>
      </c>
      <c r="E1363" s="84" t="s">
        <v>89</v>
      </c>
      <c r="G1363" s="44">
        <v>447512.68800000002</v>
      </c>
      <c r="H1363" s="44">
        <f t="shared" si="96"/>
        <v>-447512.68800000002</v>
      </c>
      <c r="I1363"/>
      <c r="M1363" t="s">
        <v>2</v>
      </c>
    </row>
    <row r="1364" spans="1:13">
      <c r="A1364" s="86">
        <v>44910</v>
      </c>
      <c r="B1364" s="82">
        <f t="shared" si="95"/>
        <v>12</v>
      </c>
      <c r="C1364">
        <f t="shared" si="94"/>
        <v>2022</v>
      </c>
      <c r="E1364" s="84" t="s">
        <v>90</v>
      </c>
      <c r="G1364" s="44">
        <v>624073.16400000011</v>
      </c>
      <c r="H1364" s="44">
        <f t="shared" si="96"/>
        <v>-624073.16400000011</v>
      </c>
      <c r="I1364"/>
      <c r="M1364" t="s">
        <v>10</v>
      </c>
    </row>
    <row r="1365" spans="1:13">
      <c r="A1365" s="86">
        <v>44910</v>
      </c>
      <c r="B1365" s="82">
        <f t="shared" si="95"/>
        <v>12</v>
      </c>
      <c r="C1365">
        <f t="shared" si="94"/>
        <v>2022</v>
      </c>
      <c r="E1365" s="84" t="s">
        <v>91</v>
      </c>
      <c r="G1365" s="44">
        <v>1990773.1560000002</v>
      </c>
      <c r="H1365" s="44">
        <f t="shared" si="96"/>
        <v>-1990773.1560000002</v>
      </c>
      <c r="I1365"/>
      <c r="M1365" t="s">
        <v>14</v>
      </c>
    </row>
    <row r="1366" spans="1:13">
      <c r="A1366" s="86">
        <v>44910</v>
      </c>
      <c r="B1366" s="82">
        <f t="shared" si="95"/>
        <v>12</v>
      </c>
      <c r="C1366">
        <f t="shared" si="94"/>
        <v>2022</v>
      </c>
      <c r="E1366" s="84" t="s">
        <v>98</v>
      </c>
      <c r="G1366" s="44">
        <v>2085210</v>
      </c>
      <c r="H1366" s="44">
        <f t="shared" si="96"/>
        <v>-2085210</v>
      </c>
      <c r="L1366" s="29" t="s">
        <v>14</v>
      </c>
      <c r="M1366" s="29" t="s">
        <v>39</v>
      </c>
    </row>
    <row r="1367" spans="1:13">
      <c r="A1367" s="86">
        <v>44910</v>
      </c>
      <c r="B1367" s="82">
        <f t="shared" si="95"/>
        <v>12</v>
      </c>
      <c r="C1367">
        <f t="shared" ref="C1367:C1398" si="97">YEAR(A1367)</f>
        <v>2022</v>
      </c>
      <c r="E1367" s="84" t="s">
        <v>98</v>
      </c>
      <c r="G1367" s="44">
        <v>677376</v>
      </c>
      <c r="H1367" s="44">
        <f t="shared" si="96"/>
        <v>-677376</v>
      </c>
      <c r="L1367" s="29" t="s">
        <v>2</v>
      </c>
      <c r="M1367" s="93" t="s">
        <v>32</v>
      </c>
    </row>
    <row r="1368" spans="1:13">
      <c r="A1368" s="86">
        <v>44910</v>
      </c>
      <c r="B1368" s="82">
        <f t="shared" si="95"/>
        <v>12</v>
      </c>
      <c r="C1368">
        <f t="shared" si="97"/>
        <v>2022</v>
      </c>
      <c r="E1368" s="84" t="s">
        <v>98</v>
      </c>
      <c r="G1368" s="44">
        <v>1075932</v>
      </c>
      <c r="H1368" s="44">
        <f t="shared" si="96"/>
        <v>-1075932</v>
      </c>
      <c r="L1368" s="29" t="s">
        <v>10</v>
      </c>
      <c r="M1368" s="93" t="s">
        <v>38</v>
      </c>
    </row>
    <row r="1369" spans="1:13">
      <c r="A1369" s="86">
        <v>44911</v>
      </c>
      <c r="B1369" s="82">
        <f t="shared" si="95"/>
        <v>12</v>
      </c>
      <c r="C1369">
        <f t="shared" si="97"/>
        <v>2022</v>
      </c>
      <c r="D1369" s="86"/>
      <c r="E1369" s="84" t="s">
        <v>68</v>
      </c>
      <c r="F1369" s="44">
        <v>880000</v>
      </c>
      <c r="H1369" s="44">
        <f t="shared" si="96"/>
        <v>880000</v>
      </c>
      <c r="L1369" t="s">
        <v>3</v>
      </c>
      <c r="M1369" s="44" t="s">
        <v>123</v>
      </c>
    </row>
    <row r="1370" spans="1:13">
      <c r="A1370" s="86">
        <v>44911</v>
      </c>
      <c r="B1370" s="82">
        <f t="shared" si="95"/>
        <v>12</v>
      </c>
      <c r="C1370">
        <f t="shared" si="97"/>
        <v>2022</v>
      </c>
      <c r="D1370" s="86"/>
      <c r="E1370" s="84" t="s">
        <v>150</v>
      </c>
      <c r="G1370" s="44">
        <v>880000</v>
      </c>
      <c r="H1370" s="44">
        <f t="shared" si="96"/>
        <v>-880000</v>
      </c>
      <c r="L1370" t="s">
        <v>3</v>
      </c>
      <c r="M1370" s="44" t="s">
        <v>123</v>
      </c>
    </row>
    <row r="1371" spans="1:13">
      <c r="A1371" s="86">
        <v>44912</v>
      </c>
      <c r="B1371" s="82">
        <f t="shared" si="95"/>
        <v>12</v>
      </c>
      <c r="C1371">
        <f t="shared" si="97"/>
        <v>2022</v>
      </c>
      <c r="E1371" s="84" t="s">
        <v>97</v>
      </c>
      <c r="F1371" s="44">
        <v>1640576</v>
      </c>
      <c r="H1371" s="44">
        <f t="shared" si="96"/>
        <v>1640576</v>
      </c>
      <c r="L1371" s="29" t="s">
        <v>2</v>
      </c>
      <c r="M1371" s="29" t="s">
        <v>35</v>
      </c>
    </row>
    <row r="1372" spans="1:13">
      <c r="A1372" s="86">
        <v>44912</v>
      </c>
      <c r="B1372" s="82">
        <f t="shared" si="95"/>
        <v>12</v>
      </c>
      <c r="C1372">
        <f t="shared" si="97"/>
        <v>2022</v>
      </c>
      <c r="E1372" s="84" t="s">
        <v>143</v>
      </c>
      <c r="F1372" s="44">
        <v>1120563.8386666665</v>
      </c>
      <c r="H1372" s="44">
        <f t="shared" si="96"/>
        <v>1120563.8386666665</v>
      </c>
      <c r="I1372"/>
      <c r="M1372" t="s">
        <v>2</v>
      </c>
    </row>
    <row r="1373" spans="1:13">
      <c r="A1373" s="86">
        <v>44912</v>
      </c>
      <c r="B1373" s="82">
        <f t="shared" si="95"/>
        <v>12</v>
      </c>
      <c r="C1373">
        <f t="shared" si="97"/>
        <v>2022</v>
      </c>
      <c r="E1373" s="84" t="s">
        <v>89</v>
      </c>
      <c r="G1373" s="44">
        <v>1120563.8386666665</v>
      </c>
      <c r="H1373" s="44">
        <f t="shared" si="96"/>
        <v>-1120563.8386666665</v>
      </c>
      <c r="I1373"/>
      <c r="M1373" t="s">
        <v>2</v>
      </c>
    </row>
    <row r="1374" spans="1:13">
      <c r="A1374" s="86">
        <v>44912</v>
      </c>
      <c r="B1374" s="82">
        <f t="shared" si="95"/>
        <v>12</v>
      </c>
      <c r="C1374">
        <f t="shared" si="97"/>
        <v>2022</v>
      </c>
      <c r="E1374" s="84" t="s">
        <v>98</v>
      </c>
      <c r="G1374" s="44">
        <v>1640576</v>
      </c>
      <c r="H1374" s="44">
        <f t="shared" si="96"/>
        <v>-1640576</v>
      </c>
      <c r="L1374" s="29" t="s">
        <v>2</v>
      </c>
      <c r="M1374" s="93" t="s">
        <v>35</v>
      </c>
    </row>
    <row r="1375" spans="1:13">
      <c r="A1375" s="86">
        <v>44913</v>
      </c>
      <c r="B1375" s="82">
        <f t="shared" si="95"/>
        <v>12</v>
      </c>
      <c r="C1375">
        <f t="shared" si="97"/>
        <v>2022</v>
      </c>
      <c r="E1375" s="84" t="s">
        <v>97</v>
      </c>
      <c r="F1375" s="44">
        <v>567736</v>
      </c>
      <c r="H1375" s="44">
        <f t="shared" si="96"/>
        <v>567736</v>
      </c>
      <c r="L1375" s="29" t="s">
        <v>10</v>
      </c>
      <c r="M1375" s="29" t="s">
        <v>37</v>
      </c>
    </row>
    <row r="1376" spans="1:13">
      <c r="A1376" s="86">
        <v>44913</v>
      </c>
      <c r="B1376" s="82">
        <f t="shared" si="95"/>
        <v>12</v>
      </c>
      <c r="C1376">
        <f t="shared" si="97"/>
        <v>2022</v>
      </c>
      <c r="E1376" s="84" t="s">
        <v>97</v>
      </c>
      <c r="F1376" s="44">
        <v>1199400</v>
      </c>
      <c r="H1376" s="44">
        <f t="shared" si="96"/>
        <v>1199400</v>
      </c>
      <c r="L1376" s="29" t="s">
        <v>2</v>
      </c>
      <c r="M1376" s="29" t="s">
        <v>33</v>
      </c>
    </row>
    <row r="1377" spans="1:13">
      <c r="A1377" s="86">
        <v>44913</v>
      </c>
      <c r="B1377" s="82">
        <f t="shared" si="95"/>
        <v>12</v>
      </c>
      <c r="C1377">
        <f t="shared" si="97"/>
        <v>2022</v>
      </c>
      <c r="E1377" s="84" t="s">
        <v>143</v>
      </c>
      <c r="F1377" s="44">
        <v>410076.78400000004</v>
      </c>
      <c r="H1377" s="44">
        <f t="shared" si="96"/>
        <v>410076.78400000004</v>
      </c>
      <c r="I1377"/>
      <c r="M1377" t="s">
        <v>10</v>
      </c>
    </row>
    <row r="1378" spans="1:13">
      <c r="A1378" s="86">
        <v>44913</v>
      </c>
      <c r="B1378" s="82">
        <f t="shared" si="95"/>
        <v>12</v>
      </c>
      <c r="C1378">
        <f t="shared" si="97"/>
        <v>2022</v>
      </c>
      <c r="E1378" s="84" t="s">
        <v>143</v>
      </c>
      <c r="F1378" s="44">
        <v>896130.98266666662</v>
      </c>
      <c r="H1378" s="44">
        <f t="shared" si="96"/>
        <v>896130.98266666662</v>
      </c>
      <c r="I1378"/>
      <c r="M1378" t="s">
        <v>2</v>
      </c>
    </row>
    <row r="1379" spans="1:13">
      <c r="A1379" s="86">
        <v>44913</v>
      </c>
      <c r="B1379" s="82">
        <f t="shared" si="95"/>
        <v>12</v>
      </c>
      <c r="C1379">
        <f t="shared" si="97"/>
        <v>2022</v>
      </c>
      <c r="E1379" s="84" t="s">
        <v>89</v>
      </c>
      <c r="G1379" s="44">
        <v>896130.98266666662</v>
      </c>
      <c r="H1379" s="44">
        <f t="shared" si="96"/>
        <v>-896130.98266666662</v>
      </c>
      <c r="I1379"/>
      <c r="M1379" t="s">
        <v>2</v>
      </c>
    </row>
    <row r="1380" spans="1:13">
      <c r="A1380" s="86">
        <v>44913</v>
      </c>
      <c r="B1380" s="82">
        <f t="shared" si="95"/>
        <v>12</v>
      </c>
      <c r="C1380">
        <f t="shared" si="97"/>
        <v>2022</v>
      </c>
      <c r="E1380" s="84" t="s">
        <v>90</v>
      </c>
      <c r="G1380" s="44">
        <v>410076.78400000004</v>
      </c>
      <c r="H1380" s="44">
        <f t="shared" si="96"/>
        <v>-410076.78400000004</v>
      </c>
      <c r="I1380"/>
      <c r="M1380" t="s">
        <v>10</v>
      </c>
    </row>
    <row r="1381" spans="1:13">
      <c r="A1381" s="86">
        <v>44913</v>
      </c>
      <c r="B1381" s="82">
        <f t="shared" si="95"/>
        <v>12</v>
      </c>
      <c r="C1381">
        <f t="shared" si="97"/>
        <v>2022</v>
      </c>
      <c r="E1381" s="84" t="s">
        <v>98</v>
      </c>
      <c r="G1381" s="44">
        <v>567736</v>
      </c>
      <c r="H1381" s="44">
        <f t="shared" si="96"/>
        <v>-567736</v>
      </c>
      <c r="L1381" s="29" t="s">
        <v>10</v>
      </c>
      <c r="M1381" s="93" t="s">
        <v>37</v>
      </c>
    </row>
    <row r="1382" spans="1:13">
      <c r="A1382" s="86">
        <v>44913</v>
      </c>
      <c r="B1382" s="82">
        <f t="shared" si="95"/>
        <v>12</v>
      </c>
      <c r="C1382">
        <f t="shared" si="97"/>
        <v>2022</v>
      </c>
      <c r="E1382" s="84" t="s">
        <v>98</v>
      </c>
      <c r="G1382" s="44">
        <v>1199400</v>
      </c>
      <c r="H1382" s="44">
        <f t="shared" si="96"/>
        <v>-1199400</v>
      </c>
      <c r="L1382" s="29" t="s">
        <v>2</v>
      </c>
      <c r="M1382" s="93" t="s">
        <v>33</v>
      </c>
    </row>
    <row r="1383" spans="1:13">
      <c r="A1383" s="86">
        <v>44916</v>
      </c>
      <c r="B1383" s="82">
        <f t="shared" si="95"/>
        <v>12</v>
      </c>
      <c r="C1383">
        <f t="shared" si="97"/>
        <v>2022</v>
      </c>
      <c r="D1383" s="86"/>
      <c r="E1383" s="84" t="s">
        <v>97</v>
      </c>
      <c r="F1383" s="44">
        <v>976488</v>
      </c>
      <c r="H1383" s="44">
        <f t="shared" si="96"/>
        <v>976488</v>
      </c>
      <c r="L1383" s="29" t="s">
        <v>10</v>
      </c>
      <c r="M1383" s="29" t="s">
        <v>36</v>
      </c>
    </row>
    <row r="1384" spans="1:13">
      <c r="A1384" s="86">
        <v>44916</v>
      </c>
      <c r="B1384" s="82">
        <f t="shared" si="95"/>
        <v>12</v>
      </c>
      <c r="C1384">
        <f t="shared" si="97"/>
        <v>2022</v>
      </c>
      <c r="E1384" s="84" t="s">
        <v>143</v>
      </c>
      <c r="F1384" s="44">
        <v>612818.25600000005</v>
      </c>
      <c r="H1384" s="44">
        <f t="shared" si="96"/>
        <v>612818.25600000005</v>
      </c>
      <c r="I1384"/>
      <c r="M1384" t="s">
        <v>10</v>
      </c>
    </row>
    <row r="1385" spans="1:13">
      <c r="A1385" s="86">
        <v>44916</v>
      </c>
      <c r="B1385" s="82">
        <f t="shared" si="95"/>
        <v>12</v>
      </c>
      <c r="C1385">
        <f t="shared" si="97"/>
        <v>2022</v>
      </c>
      <c r="E1385" s="84" t="s">
        <v>90</v>
      </c>
      <c r="G1385" s="44">
        <v>612818.25600000005</v>
      </c>
      <c r="H1385" s="44">
        <f t="shared" si="96"/>
        <v>-612818.25600000005</v>
      </c>
      <c r="I1385"/>
      <c r="M1385" t="s">
        <v>10</v>
      </c>
    </row>
    <row r="1386" spans="1:13">
      <c r="A1386" s="86">
        <v>44916</v>
      </c>
      <c r="B1386" s="82">
        <f t="shared" si="95"/>
        <v>12</v>
      </c>
      <c r="C1386">
        <f t="shared" si="97"/>
        <v>2022</v>
      </c>
      <c r="E1386" s="84" t="s">
        <v>98</v>
      </c>
      <c r="G1386" s="44">
        <v>976488</v>
      </c>
      <c r="H1386" s="44">
        <f t="shared" si="96"/>
        <v>-976488</v>
      </c>
      <c r="L1386" s="29" t="s">
        <v>10</v>
      </c>
      <c r="M1386" s="93" t="s">
        <v>36</v>
      </c>
    </row>
    <row r="1387" spans="1:13">
      <c r="A1387" s="86">
        <v>44917</v>
      </c>
      <c r="B1387" s="82">
        <f t="shared" si="95"/>
        <v>12</v>
      </c>
      <c r="C1387">
        <f t="shared" si="97"/>
        <v>2022</v>
      </c>
      <c r="D1387" s="86"/>
      <c r="E1387" s="84" t="s">
        <v>97</v>
      </c>
      <c r="G1387" s="44">
        <v>1976853</v>
      </c>
      <c r="H1387" s="44">
        <f t="shared" si="96"/>
        <v>-1976853</v>
      </c>
      <c r="L1387" s="29" t="s">
        <v>2</v>
      </c>
      <c r="M1387" s="29" t="s">
        <v>32</v>
      </c>
    </row>
    <row r="1388" spans="1:13">
      <c r="A1388" s="86">
        <v>44917</v>
      </c>
      <c r="B1388" s="82">
        <f t="shared" si="95"/>
        <v>12</v>
      </c>
      <c r="C1388">
        <f t="shared" si="97"/>
        <v>2022</v>
      </c>
      <c r="D1388" s="86"/>
      <c r="E1388" s="84" t="s">
        <v>97</v>
      </c>
      <c r="G1388" s="44">
        <v>554164</v>
      </c>
      <c r="H1388" s="44">
        <f t="shared" si="96"/>
        <v>-554164</v>
      </c>
      <c r="L1388" s="29" t="s">
        <v>2</v>
      </c>
      <c r="M1388" s="29" t="s">
        <v>35</v>
      </c>
    </row>
    <row r="1389" spans="1:13">
      <c r="A1389" s="86">
        <v>44917</v>
      </c>
      <c r="B1389" s="82">
        <f t="shared" si="95"/>
        <v>12</v>
      </c>
      <c r="C1389">
        <f t="shared" si="97"/>
        <v>2022</v>
      </c>
      <c r="E1389" s="84" t="s">
        <v>150</v>
      </c>
      <c r="F1389" s="44">
        <v>1976853</v>
      </c>
      <c r="H1389" s="44">
        <f t="shared" si="96"/>
        <v>1976853</v>
      </c>
      <c r="L1389" s="29" t="s">
        <v>2</v>
      </c>
      <c r="M1389" s="29" t="s">
        <v>32</v>
      </c>
    </row>
    <row r="1390" spans="1:13">
      <c r="A1390" s="86">
        <v>44917</v>
      </c>
      <c r="B1390" s="82">
        <f t="shared" si="95"/>
        <v>12</v>
      </c>
      <c r="C1390">
        <f t="shared" si="97"/>
        <v>2022</v>
      </c>
      <c r="E1390" s="84" t="s">
        <v>150</v>
      </c>
      <c r="F1390" s="44">
        <v>554164</v>
      </c>
      <c r="H1390" s="44">
        <f t="shared" si="96"/>
        <v>554164</v>
      </c>
      <c r="L1390" s="29" t="s">
        <v>2</v>
      </c>
      <c r="M1390" s="29" t="s">
        <v>35</v>
      </c>
    </row>
    <row r="1391" spans="1:13">
      <c r="A1391" s="86">
        <v>44918</v>
      </c>
      <c r="B1391" s="82">
        <f t="shared" si="95"/>
        <v>12</v>
      </c>
      <c r="C1391">
        <f t="shared" si="97"/>
        <v>2022</v>
      </c>
      <c r="D1391" s="86"/>
      <c r="E1391" s="84" t="s">
        <v>68</v>
      </c>
      <c r="F1391" s="44">
        <v>1983695</v>
      </c>
      <c r="H1391" s="44">
        <f t="shared" si="96"/>
        <v>1983695</v>
      </c>
      <c r="L1391" t="s">
        <v>12</v>
      </c>
      <c r="M1391" s="44" t="s">
        <v>125</v>
      </c>
    </row>
    <row r="1392" spans="1:13">
      <c r="A1392" s="86">
        <v>44918</v>
      </c>
      <c r="B1392" s="82">
        <f t="shared" si="95"/>
        <v>12</v>
      </c>
      <c r="C1392">
        <f t="shared" si="97"/>
        <v>2022</v>
      </c>
      <c r="D1392" s="86"/>
      <c r="E1392" s="84" t="s">
        <v>150</v>
      </c>
      <c r="G1392" s="44">
        <v>1983695</v>
      </c>
      <c r="H1392" s="44">
        <f t="shared" si="96"/>
        <v>-1983695</v>
      </c>
      <c r="L1392" t="s">
        <v>12</v>
      </c>
      <c r="M1392" s="44" t="s">
        <v>125</v>
      </c>
    </row>
    <row r="1393" spans="1:13">
      <c r="A1393" s="86">
        <v>44919</v>
      </c>
      <c r="B1393" s="82">
        <f t="shared" si="95"/>
        <v>12</v>
      </c>
      <c r="C1393">
        <f t="shared" si="97"/>
        <v>2022</v>
      </c>
      <c r="D1393" s="86"/>
      <c r="E1393" s="84" t="s">
        <v>68</v>
      </c>
      <c r="F1393" s="44">
        <v>800000</v>
      </c>
      <c r="H1393" s="44">
        <f t="shared" si="96"/>
        <v>800000</v>
      </c>
      <c r="L1393" t="s">
        <v>11</v>
      </c>
      <c r="M1393" s="44" t="s">
        <v>125</v>
      </c>
    </row>
    <row r="1394" spans="1:13">
      <c r="A1394" s="86">
        <v>44787</v>
      </c>
      <c r="B1394" s="82">
        <f t="shared" si="95"/>
        <v>8</v>
      </c>
      <c r="C1394">
        <f t="shared" si="97"/>
        <v>2022</v>
      </c>
      <c r="E1394" s="84" t="s">
        <v>97</v>
      </c>
      <c r="F1394" s="44">
        <v>444024</v>
      </c>
      <c r="H1394" s="44">
        <f t="shared" si="96"/>
        <v>444024</v>
      </c>
      <c r="L1394" s="29" t="s">
        <v>14</v>
      </c>
      <c r="M1394" s="29" t="s">
        <v>40</v>
      </c>
    </row>
    <row r="1395" spans="1:13">
      <c r="A1395" s="86">
        <v>44919</v>
      </c>
      <c r="B1395" s="82">
        <f t="shared" si="95"/>
        <v>12</v>
      </c>
      <c r="C1395">
        <f t="shared" si="97"/>
        <v>2022</v>
      </c>
      <c r="D1395" s="86"/>
      <c r="E1395" s="84" t="s">
        <v>97</v>
      </c>
      <c r="G1395" s="44">
        <v>718977</v>
      </c>
      <c r="H1395" s="44">
        <f t="shared" si="96"/>
        <v>-718977</v>
      </c>
      <c r="L1395" s="29" t="s">
        <v>10</v>
      </c>
      <c r="M1395" s="29" t="s">
        <v>37</v>
      </c>
    </row>
    <row r="1396" spans="1:13">
      <c r="A1396" s="86">
        <v>44919</v>
      </c>
      <c r="B1396" s="82">
        <f t="shared" si="95"/>
        <v>12</v>
      </c>
      <c r="C1396">
        <f t="shared" si="97"/>
        <v>2022</v>
      </c>
      <c r="D1396" s="86"/>
      <c r="E1396" s="84" t="s">
        <v>150</v>
      </c>
      <c r="G1396" s="44">
        <v>800000</v>
      </c>
      <c r="H1396" s="44">
        <f t="shared" si="96"/>
        <v>-800000</v>
      </c>
      <c r="L1396" t="s">
        <v>11</v>
      </c>
      <c r="M1396" s="44" t="s">
        <v>125</v>
      </c>
    </row>
    <row r="1397" spans="1:13">
      <c r="A1397" s="86">
        <v>44919</v>
      </c>
      <c r="B1397" s="82">
        <f t="shared" si="95"/>
        <v>12</v>
      </c>
      <c r="C1397">
        <f t="shared" si="97"/>
        <v>2022</v>
      </c>
      <c r="E1397" s="84" t="s">
        <v>150</v>
      </c>
      <c r="F1397" s="44">
        <v>718977</v>
      </c>
      <c r="H1397" s="44">
        <f t="shared" si="96"/>
        <v>718977</v>
      </c>
      <c r="L1397" s="29" t="s">
        <v>10</v>
      </c>
      <c r="M1397" s="29" t="s">
        <v>37</v>
      </c>
    </row>
    <row r="1398" spans="1:13">
      <c r="A1398" s="86">
        <v>44919</v>
      </c>
      <c r="B1398" s="82">
        <f t="shared" si="95"/>
        <v>12</v>
      </c>
      <c r="C1398">
        <f t="shared" si="97"/>
        <v>2022</v>
      </c>
      <c r="E1398" s="84" t="s">
        <v>143</v>
      </c>
      <c r="F1398" s="44">
        <v>247718.89200000002</v>
      </c>
      <c r="H1398" s="44">
        <f t="shared" si="96"/>
        <v>247718.89200000002</v>
      </c>
      <c r="I1398"/>
      <c r="M1398" t="s">
        <v>14</v>
      </c>
    </row>
    <row r="1399" spans="1:13">
      <c r="A1399" s="86">
        <v>44919</v>
      </c>
      <c r="B1399" s="82">
        <f t="shared" si="95"/>
        <v>12</v>
      </c>
      <c r="C1399">
        <f t="shared" ref="C1399:C1416" si="98">YEAR(A1399)</f>
        <v>2022</v>
      </c>
      <c r="E1399" s="84" t="s">
        <v>91</v>
      </c>
      <c r="G1399" s="44">
        <v>247718.89200000002</v>
      </c>
      <c r="H1399" s="44">
        <f t="shared" si="96"/>
        <v>-247718.89200000002</v>
      </c>
      <c r="I1399"/>
      <c r="M1399" t="s">
        <v>14</v>
      </c>
    </row>
    <row r="1400" spans="1:13">
      <c r="A1400" s="86">
        <v>44919</v>
      </c>
      <c r="B1400" s="82">
        <f t="shared" si="95"/>
        <v>12</v>
      </c>
      <c r="C1400">
        <f t="shared" si="98"/>
        <v>2022</v>
      </c>
      <c r="D1400" s="86"/>
      <c r="E1400" s="84" t="s">
        <v>98</v>
      </c>
      <c r="G1400" s="44">
        <v>369024</v>
      </c>
      <c r="H1400" s="44">
        <f t="shared" si="96"/>
        <v>-369024</v>
      </c>
      <c r="L1400" s="29" t="s">
        <v>14</v>
      </c>
      <c r="M1400" s="93" t="s">
        <v>40</v>
      </c>
    </row>
    <row r="1401" spans="1:13">
      <c r="A1401" s="86">
        <v>44921</v>
      </c>
      <c r="B1401" s="82">
        <f t="shared" si="95"/>
        <v>12</v>
      </c>
      <c r="C1401">
        <f t="shared" si="98"/>
        <v>2022</v>
      </c>
      <c r="D1401" s="86"/>
      <c r="E1401" s="84" t="s">
        <v>97</v>
      </c>
      <c r="G1401" s="44">
        <v>761550</v>
      </c>
      <c r="H1401" s="44">
        <f t="shared" si="96"/>
        <v>-761550</v>
      </c>
      <c r="L1401" s="29" t="s">
        <v>2</v>
      </c>
      <c r="M1401" s="29" t="s">
        <v>31</v>
      </c>
    </row>
    <row r="1402" spans="1:13">
      <c r="A1402" s="86">
        <v>44921</v>
      </c>
      <c r="B1402" s="82">
        <f t="shared" si="95"/>
        <v>12</v>
      </c>
      <c r="C1402">
        <f t="shared" si="98"/>
        <v>2022</v>
      </c>
      <c r="E1402" s="84" t="s">
        <v>150</v>
      </c>
      <c r="F1402" s="44">
        <v>761550</v>
      </c>
      <c r="H1402" s="44">
        <f t="shared" si="96"/>
        <v>761550</v>
      </c>
      <c r="L1402" s="29" t="s">
        <v>2</v>
      </c>
      <c r="M1402" s="29" t="s">
        <v>31</v>
      </c>
    </row>
    <row r="1403" spans="1:13">
      <c r="A1403" s="86">
        <v>44798</v>
      </c>
      <c r="B1403" s="82">
        <f t="shared" si="95"/>
        <v>8</v>
      </c>
      <c r="C1403">
        <f t="shared" si="98"/>
        <v>2022</v>
      </c>
      <c r="D1403" s="86"/>
      <c r="E1403" s="84" t="s">
        <v>97</v>
      </c>
      <c r="G1403" s="44">
        <v>173788</v>
      </c>
      <c r="H1403" s="44">
        <f t="shared" si="96"/>
        <v>-173788</v>
      </c>
      <c r="L1403" s="29" t="s">
        <v>14</v>
      </c>
      <c r="M1403" s="29" t="s">
        <v>40</v>
      </c>
    </row>
    <row r="1404" spans="1:13">
      <c r="A1404" s="86">
        <v>44923</v>
      </c>
      <c r="B1404" s="82">
        <f t="shared" si="95"/>
        <v>12</v>
      </c>
      <c r="C1404">
        <f t="shared" si="98"/>
        <v>2022</v>
      </c>
      <c r="E1404" s="84" t="s">
        <v>150</v>
      </c>
      <c r="F1404" s="44">
        <v>846141</v>
      </c>
      <c r="H1404" s="44">
        <f t="shared" si="96"/>
        <v>846141</v>
      </c>
      <c r="L1404" s="29" t="s">
        <v>14</v>
      </c>
      <c r="M1404" s="29" t="s">
        <v>40</v>
      </c>
    </row>
    <row r="1405" spans="1:13">
      <c r="A1405" s="86">
        <v>44924</v>
      </c>
      <c r="B1405" s="82">
        <f t="shared" si="95"/>
        <v>12</v>
      </c>
      <c r="C1405">
        <f t="shared" si="98"/>
        <v>2022</v>
      </c>
      <c r="E1405" s="84" t="s">
        <v>150</v>
      </c>
      <c r="F1405" s="44">
        <v>383184</v>
      </c>
      <c r="H1405" s="44">
        <f t="shared" si="96"/>
        <v>383184</v>
      </c>
      <c r="L1405" s="29" t="s">
        <v>14</v>
      </c>
      <c r="M1405" s="29" t="s">
        <v>40</v>
      </c>
    </row>
    <row r="1406" spans="1:13">
      <c r="A1406" s="86">
        <v>44925</v>
      </c>
      <c r="B1406" s="82">
        <f t="shared" si="95"/>
        <v>12</v>
      </c>
      <c r="C1406">
        <f t="shared" si="98"/>
        <v>2022</v>
      </c>
      <c r="D1406" s="86"/>
      <c r="E1406" s="84" t="s">
        <v>97</v>
      </c>
      <c r="F1406" s="44">
        <v>457200</v>
      </c>
      <c r="H1406" s="44">
        <f t="shared" si="96"/>
        <v>457200</v>
      </c>
      <c r="L1406" s="29" t="s">
        <v>2</v>
      </c>
      <c r="M1406" s="29" t="s">
        <v>31</v>
      </c>
    </row>
    <row r="1407" spans="1:13">
      <c r="A1407" s="86">
        <v>44925</v>
      </c>
      <c r="B1407" s="82">
        <f t="shared" si="95"/>
        <v>12</v>
      </c>
      <c r="C1407">
        <f t="shared" si="98"/>
        <v>2022</v>
      </c>
      <c r="D1407" s="86"/>
      <c r="E1407" s="84" t="s">
        <v>97</v>
      </c>
      <c r="F1407" s="44">
        <v>1748626</v>
      </c>
      <c r="H1407" s="44">
        <f t="shared" si="96"/>
        <v>1748626</v>
      </c>
      <c r="L1407" s="29" t="s">
        <v>2</v>
      </c>
      <c r="M1407" s="29" t="s">
        <v>34</v>
      </c>
    </row>
    <row r="1408" spans="1:13">
      <c r="A1408" s="86">
        <v>44925</v>
      </c>
      <c r="B1408" s="82">
        <f t="shared" si="95"/>
        <v>12</v>
      </c>
      <c r="C1408">
        <f t="shared" si="98"/>
        <v>2022</v>
      </c>
      <c r="D1408" s="86"/>
      <c r="E1408" s="84" t="s">
        <v>97</v>
      </c>
      <c r="G1408" s="44">
        <v>425961</v>
      </c>
      <c r="H1408" s="44">
        <f t="shared" si="96"/>
        <v>-425961</v>
      </c>
      <c r="L1408" s="29" t="s">
        <v>2</v>
      </c>
      <c r="M1408" s="29" t="s">
        <v>31</v>
      </c>
    </row>
    <row r="1409" spans="1:13">
      <c r="A1409" s="86">
        <v>44925</v>
      </c>
      <c r="B1409" s="82">
        <f t="shared" si="95"/>
        <v>12</v>
      </c>
      <c r="C1409">
        <f t="shared" si="98"/>
        <v>2022</v>
      </c>
      <c r="E1409" s="84" t="s">
        <v>150</v>
      </c>
      <c r="F1409" s="44">
        <v>425961</v>
      </c>
      <c r="H1409" s="44">
        <f t="shared" si="96"/>
        <v>425961</v>
      </c>
      <c r="L1409" s="29" t="s">
        <v>2</v>
      </c>
      <c r="M1409" s="29" t="s">
        <v>31</v>
      </c>
    </row>
    <row r="1410" spans="1:13">
      <c r="A1410" s="86">
        <v>44925</v>
      </c>
      <c r="B1410" s="82">
        <f t="shared" si="95"/>
        <v>12</v>
      </c>
      <c r="C1410">
        <f t="shared" si="98"/>
        <v>2022</v>
      </c>
      <c r="E1410" s="84" t="s">
        <v>143</v>
      </c>
      <c r="F1410" s="44">
        <v>322188.84000000003</v>
      </c>
      <c r="H1410" s="44">
        <f t="shared" ref="H1410:H1473" si="99">F1410-G1410</f>
        <v>322188.84000000003</v>
      </c>
      <c r="I1410"/>
      <c r="M1410" t="s">
        <v>2</v>
      </c>
    </row>
    <row r="1411" spans="1:13">
      <c r="A1411" s="86">
        <v>44925</v>
      </c>
      <c r="B1411" s="82">
        <f t="shared" ref="B1411:B1474" si="100">MONTH(A1411)</f>
        <v>12</v>
      </c>
      <c r="C1411">
        <f t="shared" si="98"/>
        <v>2022</v>
      </c>
      <c r="E1411" s="84" t="s">
        <v>143</v>
      </c>
      <c r="F1411" s="44">
        <v>1093926.1786666666</v>
      </c>
      <c r="H1411" s="44">
        <f t="shared" si="99"/>
        <v>1093926.1786666666</v>
      </c>
      <c r="I1411"/>
      <c r="M1411" t="s">
        <v>2</v>
      </c>
    </row>
    <row r="1412" spans="1:13">
      <c r="A1412" s="86">
        <v>44925</v>
      </c>
      <c r="B1412" s="82">
        <f t="shared" si="100"/>
        <v>12</v>
      </c>
      <c r="C1412">
        <f t="shared" si="98"/>
        <v>2022</v>
      </c>
      <c r="E1412" s="84" t="s">
        <v>89</v>
      </c>
      <c r="G1412" s="44">
        <v>322188.84000000003</v>
      </c>
      <c r="H1412" s="44">
        <f t="shared" si="99"/>
        <v>-322188.84000000003</v>
      </c>
      <c r="I1412"/>
      <c r="M1412" t="s">
        <v>2</v>
      </c>
    </row>
    <row r="1413" spans="1:13">
      <c r="A1413" s="86">
        <v>44925</v>
      </c>
      <c r="B1413" s="82">
        <f t="shared" si="100"/>
        <v>12</v>
      </c>
      <c r="C1413">
        <f t="shared" si="98"/>
        <v>2022</v>
      </c>
      <c r="E1413" s="84" t="s">
        <v>89</v>
      </c>
      <c r="G1413" s="44">
        <v>1093926.1786666666</v>
      </c>
      <c r="H1413" s="44">
        <f t="shared" si="99"/>
        <v>-1093926.1786666666</v>
      </c>
      <c r="I1413"/>
      <c r="M1413" t="s">
        <v>2</v>
      </c>
    </row>
    <row r="1414" spans="1:13">
      <c r="A1414" s="86">
        <v>44925</v>
      </c>
      <c r="B1414" s="82">
        <f t="shared" si="100"/>
        <v>12</v>
      </c>
      <c r="C1414">
        <f t="shared" si="98"/>
        <v>2022</v>
      </c>
      <c r="D1414" s="86"/>
      <c r="E1414" s="84" t="s">
        <v>98</v>
      </c>
      <c r="G1414" s="44">
        <v>457200</v>
      </c>
      <c r="H1414" s="44">
        <f t="shared" si="99"/>
        <v>-457200</v>
      </c>
      <c r="L1414" s="29" t="s">
        <v>2</v>
      </c>
      <c r="M1414" s="93" t="s">
        <v>31</v>
      </c>
    </row>
    <row r="1415" spans="1:13">
      <c r="A1415" s="86">
        <v>44925</v>
      </c>
      <c r="B1415" s="82">
        <f t="shared" si="100"/>
        <v>12</v>
      </c>
      <c r="C1415">
        <f t="shared" si="98"/>
        <v>2022</v>
      </c>
      <c r="D1415" s="86"/>
      <c r="E1415" s="84" t="s">
        <v>98</v>
      </c>
      <c r="G1415" s="44">
        <v>1748626</v>
      </c>
      <c r="H1415" s="44">
        <f t="shared" si="99"/>
        <v>-1748626</v>
      </c>
      <c r="L1415" s="29" t="s">
        <v>2</v>
      </c>
      <c r="M1415" s="93" t="s">
        <v>34</v>
      </c>
    </row>
    <row r="1416" spans="1:13">
      <c r="A1416" s="86">
        <v>44926</v>
      </c>
      <c r="B1416" s="82">
        <f t="shared" si="100"/>
        <v>12</v>
      </c>
      <c r="C1416">
        <f t="shared" si="98"/>
        <v>2022</v>
      </c>
      <c r="E1416" s="84" t="s">
        <v>155</v>
      </c>
      <c r="F1416" s="44">
        <v>796575</v>
      </c>
      <c r="H1416" s="44">
        <f t="shared" si="99"/>
        <v>796575</v>
      </c>
      <c r="M1416"/>
    </row>
    <row r="1417" spans="1:13">
      <c r="A1417" s="86">
        <v>44926</v>
      </c>
      <c r="B1417" s="82">
        <f t="shared" si="100"/>
        <v>12</v>
      </c>
      <c r="C1417">
        <v>2022</v>
      </c>
      <c r="D1417" t="s">
        <v>193</v>
      </c>
      <c r="E1417" s="84" t="s">
        <v>225</v>
      </c>
      <c r="G1417" s="44">
        <v>71005000</v>
      </c>
      <c r="H1417" s="44">
        <f t="shared" si="99"/>
        <v>-71005000</v>
      </c>
      <c r="M1417"/>
    </row>
    <row r="1418" spans="1:13">
      <c r="A1418" s="86">
        <v>44926</v>
      </c>
      <c r="B1418" s="82">
        <f t="shared" si="100"/>
        <v>12</v>
      </c>
      <c r="C1418">
        <v>2022</v>
      </c>
      <c r="D1418" t="s">
        <v>193</v>
      </c>
      <c r="E1418" s="84" t="s">
        <v>227</v>
      </c>
      <c r="F1418" s="44">
        <v>550000000</v>
      </c>
      <c r="H1418" s="44">
        <f t="shared" si="99"/>
        <v>550000000</v>
      </c>
      <c r="M1418"/>
    </row>
    <row r="1419" spans="1:13">
      <c r="A1419" s="86">
        <v>44926</v>
      </c>
      <c r="B1419" s="82">
        <f t="shared" si="100"/>
        <v>12</v>
      </c>
      <c r="C1419">
        <v>2022</v>
      </c>
      <c r="D1419" t="s">
        <v>193</v>
      </c>
      <c r="E1419" s="84" t="s">
        <v>226</v>
      </c>
      <c r="F1419" s="44">
        <v>115500000</v>
      </c>
      <c r="H1419" s="44">
        <f t="shared" si="99"/>
        <v>115500000</v>
      </c>
      <c r="M1419"/>
    </row>
    <row r="1420" spans="1:13">
      <c r="A1420" s="86">
        <v>44926</v>
      </c>
      <c r="B1420" s="82">
        <f t="shared" si="100"/>
        <v>12</v>
      </c>
      <c r="C1420">
        <f t="shared" ref="C1420:C1428" si="101">YEAR(A1420)</f>
        <v>2022</v>
      </c>
      <c r="D1420" s="86"/>
      <c r="E1420" s="84" t="s">
        <v>150</v>
      </c>
      <c r="G1420" s="44">
        <v>223010.25</v>
      </c>
      <c r="H1420" s="44">
        <f t="shared" si="99"/>
        <v>-223010.25</v>
      </c>
      <c r="M1420"/>
    </row>
    <row r="1421" spans="1:13">
      <c r="A1421" s="86">
        <v>44926</v>
      </c>
      <c r="B1421" s="82">
        <f t="shared" si="100"/>
        <v>12</v>
      </c>
      <c r="C1421">
        <f t="shared" si="101"/>
        <v>2022</v>
      </c>
      <c r="E1421" s="84" t="s">
        <v>150</v>
      </c>
      <c r="G1421" s="44">
        <v>1033220</v>
      </c>
      <c r="H1421" s="44">
        <f t="shared" si="99"/>
        <v>-1033220</v>
      </c>
      <c r="M1421"/>
    </row>
    <row r="1422" spans="1:13">
      <c r="A1422" s="86">
        <v>44926</v>
      </c>
      <c r="B1422" s="82">
        <f t="shared" si="100"/>
        <v>12</v>
      </c>
      <c r="C1422">
        <f t="shared" si="101"/>
        <v>2022</v>
      </c>
      <c r="E1422" s="84" t="s">
        <v>150</v>
      </c>
      <c r="G1422" s="44">
        <v>804188</v>
      </c>
      <c r="H1422" s="44">
        <f t="shared" si="99"/>
        <v>-804188</v>
      </c>
      <c r="M1422"/>
    </row>
    <row r="1423" spans="1:13">
      <c r="A1423" s="86">
        <v>44926</v>
      </c>
      <c r="B1423" s="82">
        <f t="shared" si="100"/>
        <v>12</v>
      </c>
      <c r="C1423">
        <f t="shared" si="101"/>
        <v>2022</v>
      </c>
      <c r="E1423" s="84" t="s">
        <v>150</v>
      </c>
      <c r="G1423" s="44">
        <v>796575</v>
      </c>
      <c r="H1423" s="44">
        <f t="shared" si="99"/>
        <v>-796575</v>
      </c>
      <c r="M1423"/>
    </row>
    <row r="1424" spans="1:13">
      <c r="A1424" s="86">
        <v>44926</v>
      </c>
      <c r="B1424" s="82">
        <f t="shared" si="100"/>
        <v>12</v>
      </c>
      <c r="C1424">
        <f t="shared" si="101"/>
        <v>2022</v>
      </c>
      <c r="E1424" s="84" t="s">
        <v>150</v>
      </c>
      <c r="F1424" s="44">
        <v>1201981</v>
      </c>
      <c r="H1424" s="44">
        <f t="shared" si="99"/>
        <v>1201981</v>
      </c>
      <c r="M1424"/>
    </row>
    <row r="1425" spans="1:13" ht="12.5" customHeight="1">
      <c r="A1425" s="86">
        <v>44926</v>
      </c>
      <c r="B1425" s="82">
        <f t="shared" si="100"/>
        <v>12</v>
      </c>
      <c r="C1425">
        <f t="shared" si="101"/>
        <v>2022</v>
      </c>
      <c r="E1425" s="84" t="s">
        <v>150</v>
      </c>
      <c r="G1425" s="44">
        <v>1204389</v>
      </c>
      <c r="H1425" s="44">
        <f t="shared" si="99"/>
        <v>-1204389</v>
      </c>
      <c r="M1425"/>
    </row>
    <row r="1426" spans="1:13">
      <c r="A1426" s="86">
        <v>44926</v>
      </c>
      <c r="B1426" s="82">
        <f t="shared" si="100"/>
        <v>12</v>
      </c>
      <c r="C1426">
        <f t="shared" si="101"/>
        <v>2022</v>
      </c>
      <c r="E1426" s="84" t="s">
        <v>154</v>
      </c>
      <c r="F1426" s="44">
        <v>804188</v>
      </c>
      <c r="H1426" s="44">
        <f t="shared" si="99"/>
        <v>804188</v>
      </c>
      <c r="M1426"/>
    </row>
    <row r="1427" spans="1:13">
      <c r="A1427" s="86">
        <v>44926</v>
      </c>
      <c r="B1427" s="82">
        <f t="shared" si="100"/>
        <v>12</v>
      </c>
      <c r="C1427">
        <f t="shared" si="101"/>
        <v>2022</v>
      </c>
      <c r="E1427" s="84" t="s">
        <v>159</v>
      </c>
      <c r="F1427" s="44">
        <v>1204389</v>
      </c>
      <c r="H1427" s="44">
        <f t="shared" si="99"/>
        <v>1204389</v>
      </c>
      <c r="M1427"/>
    </row>
    <row r="1428" spans="1:13">
      <c r="A1428" s="86">
        <v>44926</v>
      </c>
      <c r="B1428" s="82">
        <f t="shared" si="100"/>
        <v>12</v>
      </c>
      <c r="C1428">
        <f t="shared" si="101"/>
        <v>2022</v>
      </c>
      <c r="E1428" s="84" t="s">
        <v>158</v>
      </c>
      <c r="G1428" s="44">
        <v>1201981</v>
      </c>
      <c r="H1428" s="44">
        <f t="shared" si="99"/>
        <v>-1201981</v>
      </c>
      <c r="M1428"/>
    </row>
    <row r="1429" spans="1:13">
      <c r="A1429" s="86">
        <v>44926</v>
      </c>
      <c r="B1429" s="82">
        <f t="shared" si="100"/>
        <v>12</v>
      </c>
      <c r="C1429">
        <v>2022</v>
      </c>
      <c r="D1429" t="s">
        <v>193</v>
      </c>
      <c r="E1429" s="84" t="s">
        <v>224</v>
      </c>
      <c r="G1429" s="44">
        <v>99495000</v>
      </c>
      <c r="H1429" s="44">
        <f t="shared" si="99"/>
        <v>-99495000</v>
      </c>
      <c r="M1429"/>
    </row>
    <row r="1430" spans="1:13">
      <c r="A1430" s="86">
        <v>44926</v>
      </c>
      <c r="B1430" s="82">
        <f t="shared" si="100"/>
        <v>12</v>
      </c>
      <c r="C1430">
        <f>YEAR(A1430)</f>
        <v>2022</v>
      </c>
      <c r="E1430" s="84" t="s">
        <v>157</v>
      </c>
      <c r="F1430" s="44">
        <v>1033220</v>
      </c>
      <c r="H1430" s="44">
        <f t="shared" si="99"/>
        <v>1033220</v>
      </c>
      <c r="M1430"/>
    </row>
    <row r="1431" spans="1:13">
      <c r="A1431" s="86">
        <v>44926</v>
      </c>
      <c r="B1431" s="82">
        <f t="shared" si="100"/>
        <v>12</v>
      </c>
      <c r="C1431">
        <v>2022</v>
      </c>
      <c r="D1431" t="s">
        <v>193</v>
      </c>
      <c r="E1431" s="84" t="s">
        <v>223</v>
      </c>
      <c r="G1431" s="44">
        <v>495000000</v>
      </c>
      <c r="H1431" s="44">
        <f t="shared" si="99"/>
        <v>-495000000</v>
      </c>
      <c r="M1431"/>
    </row>
    <row r="1432" spans="1:13">
      <c r="A1432" s="86">
        <v>44926</v>
      </c>
      <c r="B1432" s="82">
        <f t="shared" si="100"/>
        <v>12</v>
      </c>
      <c r="C1432">
        <f t="shared" ref="C1432:C1463" si="102">YEAR(A1432)</f>
        <v>2022</v>
      </c>
      <c r="D1432" s="86"/>
      <c r="E1432" s="84" t="s">
        <v>146</v>
      </c>
      <c r="F1432" s="44">
        <v>223010.25</v>
      </c>
      <c r="H1432" s="44">
        <f t="shared" si="99"/>
        <v>223010.25</v>
      </c>
      <c r="M1432"/>
    </row>
    <row r="1433" spans="1:13">
      <c r="A1433" s="86">
        <v>44927</v>
      </c>
      <c r="B1433" s="82">
        <f t="shared" si="100"/>
        <v>1</v>
      </c>
      <c r="C1433">
        <f t="shared" si="102"/>
        <v>2023</v>
      </c>
      <c r="D1433" s="86"/>
      <c r="E1433" s="84" t="s">
        <v>68</v>
      </c>
      <c r="F1433" s="44">
        <v>855000</v>
      </c>
      <c r="H1433" s="44">
        <f t="shared" si="99"/>
        <v>855000</v>
      </c>
      <c r="L1433" t="s">
        <v>4</v>
      </c>
      <c r="M1433" s="44" t="s">
        <v>123</v>
      </c>
    </row>
    <row r="1434" spans="1:13">
      <c r="A1434" s="86">
        <v>44927</v>
      </c>
      <c r="B1434" s="82">
        <f t="shared" si="100"/>
        <v>1</v>
      </c>
      <c r="C1434">
        <f t="shared" si="102"/>
        <v>2023</v>
      </c>
      <c r="D1434" s="86"/>
      <c r="E1434" s="331" t="s">
        <v>150</v>
      </c>
      <c r="G1434" s="44">
        <v>855000</v>
      </c>
      <c r="H1434" s="44">
        <f t="shared" si="99"/>
        <v>-855000</v>
      </c>
      <c r="L1434" t="s">
        <v>4</v>
      </c>
      <c r="M1434" s="44" t="s">
        <v>123</v>
      </c>
    </row>
    <row r="1435" spans="1:13">
      <c r="A1435" s="86">
        <v>44928</v>
      </c>
      <c r="B1435" s="82">
        <f t="shared" si="100"/>
        <v>1</v>
      </c>
      <c r="C1435">
        <f t="shared" si="102"/>
        <v>2023</v>
      </c>
      <c r="D1435" s="86"/>
      <c r="E1435" s="84" t="s">
        <v>97</v>
      </c>
      <c r="G1435" s="44">
        <v>1452928</v>
      </c>
      <c r="H1435" s="44">
        <f t="shared" si="99"/>
        <v>-1452928</v>
      </c>
      <c r="L1435" s="29" t="s">
        <v>2</v>
      </c>
      <c r="M1435" s="29" t="s">
        <v>34</v>
      </c>
    </row>
    <row r="1436" spans="1:13">
      <c r="A1436" s="86">
        <v>44928</v>
      </c>
      <c r="B1436" s="82">
        <f t="shared" si="100"/>
        <v>1</v>
      </c>
      <c r="C1436">
        <f t="shared" si="102"/>
        <v>2023</v>
      </c>
      <c r="D1436" s="86"/>
      <c r="E1436" s="84" t="s">
        <v>97</v>
      </c>
      <c r="G1436" s="44">
        <v>1149234</v>
      </c>
      <c r="H1436" s="44">
        <f t="shared" si="99"/>
        <v>-1149234</v>
      </c>
      <c r="L1436" s="29" t="s">
        <v>2</v>
      </c>
      <c r="M1436" s="29" t="s">
        <v>33</v>
      </c>
    </row>
    <row r="1437" spans="1:13">
      <c r="A1437" s="86">
        <v>44928</v>
      </c>
      <c r="B1437" s="82">
        <f t="shared" si="100"/>
        <v>1</v>
      </c>
      <c r="C1437">
        <f t="shared" si="102"/>
        <v>2023</v>
      </c>
      <c r="E1437" s="331" t="s">
        <v>150</v>
      </c>
      <c r="F1437" s="44">
        <v>1452928</v>
      </c>
      <c r="H1437" s="44">
        <f t="shared" si="99"/>
        <v>1452928</v>
      </c>
      <c r="L1437" s="29" t="s">
        <v>2</v>
      </c>
      <c r="M1437" s="29" t="s">
        <v>34</v>
      </c>
    </row>
    <row r="1438" spans="1:13">
      <c r="A1438" s="86">
        <v>44928</v>
      </c>
      <c r="B1438" s="82">
        <f t="shared" si="100"/>
        <v>1</v>
      </c>
      <c r="C1438">
        <f t="shared" si="102"/>
        <v>2023</v>
      </c>
      <c r="E1438" s="331" t="s">
        <v>150</v>
      </c>
      <c r="F1438" s="44">
        <v>1149234</v>
      </c>
      <c r="H1438" s="44">
        <f t="shared" si="99"/>
        <v>1149234</v>
      </c>
      <c r="L1438" s="29" t="s">
        <v>2</v>
      </c>
      <c r="M1438" s="29" t="s">
        <v>33</v>
      </c>
    </row>
    <row r="1439" spans="1:13">
      <c r="A1439" s="86">
        <v>44930</v>
      </c>
      <c r="B1439" s="82">
        <f t="shared" si="100"/>
        <v>1</v>
      </c>
      <c r="C1439">
        <f t="shared" si="102"/>
        <v>2023</v>
      </c>
      <c r="D1439" s="86"/>
      <c r="E1439" s="84" t="s">
        <v>68</v>
      </c>
      <c r="F1439" s="44">
        <v>990000</v>
      </c>
      <c r="H1439" s="44">
        <f t="shared" si="99"/>
        <v>990000</v>
      </c>
      <c r="L1439" t="s">
        <v>4</v>
      </c>
      <c r="M1439" s="44" t="s">
        <v>123</v>
      </c>
    </row>
    <row r="1440" spans="1:13">
      <c r="A1440" s="86">
        <v>44930</v>
      </c>
      <c r="B1440" s="82">
        <f t="shared" si="100"/>
        <v>1</v>
      </c>
      <c r="C1440">
        <f t="shared" si="102"/>
        <v>2023</v>
      </c>
      <c r="D1440" s="86"/>
      <c r="E1440" s="331" t="s">
        <v>150</v>
      </c>
      <c r="G1440" s="44">
        <v>990000</v>
      </c>
      <c r="H1440" s="44">
        <f t="shared" si="99"/>
        <v>-990000</v>
      </c>
      <c r="L1440" t="s">
        <v>4</v>
      </c>
      <c r="M1440" s="44" t="s">
        <v>123</v>
      </c>
    </row>
    <row r="1441" spans="1:13">
      <c r="A1441" s="86">
        <v>44935</v>
      </c>
      <c r="B1441" s="82">
        <f t="shared" si="100"/>
        <v>1</v>
      </c>
      <c r="C1441">
        <f t="shared" si="102"/>
        <v>2023</v>
      </c>
      <c r="D1441" s="86"/>
      <c r="E1441" s="84" t="s">
        <v>68</v>
      </c>
      <c r="F1441" s="44">
        <v>720000</v>
      </c>
      <c r="H1441" s="44">
        <f t="shared" si="99"/>
        <v>720000</v>
      </c>
      <c r="L1441" t="s">
        <v>11</v>
      </c>
      <c r="M1441" s="44" t="s">
        <v>125</v>
      </c>
    </row>
    <row r="1442" spans="1:13">
      <c r="A1442" s="86">
        <v>44935</v>
      </c>
      <c r="B1442" s="82">
        <f t="shared" si="100"/>
        <v>1</v>
      </c>
      <c r="C1442">
        <f t="shared" si="102"/>
        <v>2023</v>
      </c>
      <c r="D1442" s="86"/>
      <c r="E1442" s="331" t="s">
        <v>150</v>
      </c>
      <c r="G1442" s="44">
        <v>720000</v>
      </c>
      <c r="H1442" s="44">
        <f t="shared" si="99"/>
        <v>-720000</v>
      </c>
      <c r="L1442" t="s">
        <v>11</v>
      </c>
      <c r="M1442" s="44" t="s">
        <v>125</v>
      </c>
    </row>
    <row r="1443" spans="1:13">
      <c r="A1443" s="86">
        <v>44940</v>
      </c>
      <c r="B1443" s="82">
        <f t="shared" si="100"/>
        <v>1</v>
      </c>
      <c r="C1443">
        <f t="shared" si="102"/>
        <v>2023</v>
      </c>
      <c r="D1443" s="86"/>
      <c r="E1443" s="84" t="s">
        <v>97</v>
      </c>
      <c r="G1443" s="44">
        <v>1051848</v>
      </c>
      <c r="H1443" s="44">
        <f t="shared" si="99"/>
        <v>-1051848</v>
      </c>
      <c r="L1443" s="29" t="s">
        <v>10</v>
      </c>
      <c r="M1443" s="29" t="s">
        <v>38</v>
      </c>
    </row>
    <row r="1444" spans="1:13">
      <c r="A1444" s="86">
        <v>44940</v>
      </c>
      <c r="B1444" s="82">
        <f t="shared" si="100"/>
        <v>1</v>
      </c>
      <c r="C1444">
        <f t="shared" si="102"/>
        <v>2023</v>
      </c>
      <c r="E1444" s="331" t="s">
        <v>150</v>
      </c>
      <c r="F1444" s="44">
        <v>1051848</v>
      </c>
      <c r="H1444" s="44">
        <f t="shared" si="99"/>
        <v>1051848</v>
      </c>
      <c r="L1444" s="29" t="s">
        <v>10</v>
      </c>
      <c r="M1444" s="29" t="s">
        <v>38</v>
      </c>
    </row>
    <row r="1445" spans="1:13">
      <c r="A1445" s="86">
        <v>44941</v>
      </c>
      <c r="B1445" s="82">
        <f t="shared" si="100"/>
        <v>1</v>
      </c>
      <c r="C1445">
        <f t="shared" si="102"/>
        <v>2023</v>
      </c>
      <c r="D1445" s="86"/>
      <c r="E1445" s="84" t="s">
        <v>68</v>
      </c>
      <c r="F1445" s="44">
        <v>2310000</v>
      </c>
      <c r="H1445" s="44">
        <f t="shared" si="99"/>
        <v>2310000</v>
      </c>
      <c r="L1445" t="s">
        <v>6</v>
      </c>
      <c r="M1445" s="44" t="s">
        <v>124</v>
      </c>
    </row>
    <row r="1446" spans="1:13">
      <c r="A1446" s="86">
        <v>44941</v>
      </c>
      <c r="B1446" s="82">
        <f t="shared" si="100"/>
        <v>1</v>
      </c>
      <c r="C1446">
        <f t="shared" si="102"/>
        <v>2023</v>
      </c>
      <c r="D1446" s="86"/>
      <c r="E1446" s="331" t="s">
        <v>150</v>
      </c>
      <c r="G1446" s="44">
        <v>2310000</v>
      </c>
      <c r="H1446" s="44">
        <f t="shared" si="99"/>
        <v>-2310000</v>
      </c>
      <c r="L1446" t="s">
        <v>6</v>
      </c>
      <c r="M1446" s="44" t="s">
        <v>124</v>
      </c>
    </row>
    <row r="1447" spans="1:13">
      <c r="A1447" s="86">
        <v>44946</v>
      </c>
      <c r="B1447" s="82">
        <f t="shared" si="100"/>
        <v>1</v>
      </c>
      <c r="C1447">
        <f t="shared" si="102"/>
        <v>2023</v>
      </c>
      <c r="D1447" s="86"/>
      <c r="E1447" s="84" t="s">
        <v>97</v>
      </c>
      <c r="G1447" s="44">
        <v>415476</v>
      </c>
      <c r="H1447" s="44">
        <f t="shared" si="99"/>
        <v>-415476</v>
      </c>
      <c r="L1447" s="29" t="s">
        <v>10</v>
      </c>
      <c r="M1447" s="29" t="s">
        <v>38</v>
      </c>
    </row>
    <row r="1448" spans="1:13">
      <c r="A1448" s="86">
        <v>44946</v>
      </c>
      <c r="B1448" s="82">
        <f t="shared" si="100"/>
        <v>1</v>
      </c>
      <c r="C1448">
        <f t="shared" si="102"/>
        <v>2023</v>
      </c>
      <c r="E1448" s="331" t="s">
        <v>150</v>
      </c>
      <c r="F1448" s="44">
        <v>415476</v>
      </c>
      <c r="H1448" s="44">
        <f t="shared" si="99"/>
        <v>415476</v>
      </c>
      <c r="L1448" s="29" t="s">
        <v>10</v>
      </c>
      <c r="M1448" s="29" t="s">
        <v>38</v>
      </c>
    </row>
    <row r="1449" spans="1:13">
      <c r="A1449" s="86">
        <v>44947</v>
      </c>
      <c r="B1449" s="82">
        <f t="shared" si="100"/>
        <v>1</v>
      </c>
      <c r="C1449">
        <f t="shared" si="102"/>
        <v>2023</v>
      </c>
      <c r="D1449" s="86"/>
      <c r="E1449" s="84" t="s">
        <v>97</v>
      </c>
      <c r="G1449" s="44">
        <v>1075932</v>
      </c>
      <c r="H1449" s="44">
        <f t="shared" si="99"/>
        <v>-1075932</v>
      </c>
      <c r="L1449" s="29" t="s">
        <v>10</v>
      </c>
      <c r="M1449" s="29" t="s">
        <v>38</v>
      </c>
    </row>
    <row r="1450" spans="1:13">
      <c r="A1450" s="86">
        <v>44947</v>
      </c>
      <c r="B1450" s="82">
        <f t="shared" si="100"/>
        <v>1</v>
      </c>
      <c r="C1450">
        <f t="shared" si="102"/>
        <v>2023</v>
      </c>
      <c r="E1450" s="331" t="s">
        <v>150</v>
      </c>
      <c r="F1450" s="44">
        <v>1075932</v>
      </c>
      <c r="H1450" s="44">
        <f t="shared" si="99"/>
        <v>1075932</v>
      </c>
      <c r="L1450" s="29" t="s">
        <v>10</v>
      </c>
      <c r="M1450" s="29" t="s">
        <v>38</v>
      </c>
    </row>
    <row r="1451" spans="1:13">
      <c r="A1451" s="86">
        <v>44950</v>
      </c>
      <c r="B1451" s="82">
        <f t="shared" si="100"/>
        <v>1</v>
      </c>
      <c r="C1451">
        <f t="shared" si="102"/>
        <v>2023</v>
      </c>
      <c r="D1451" s="86"/>
      <c r="E1451" s="84" t="s">
        <v>97</v>
      </c>
      <c r="G1451" s="44">
        <v>487665</v>
      </c>
      <c r="H1451" s="44">
        <f t="shared" si="99"/>
        <v>-487665</v>
      </c>
      <c r="L1451" s="29" t="s">
        <v>10</v>
      </c>
      <c r="M1451" s="29" t="s">
        <v>37</v>
      </c>
    </row>
    <row r="1452" spans="1:13">
      <c r="A1452" s="86">
        <v>44950</v>
      </c>
      <c r="B1452" s="82">
        <f t="shared" si="100"/>
        <v>1</v>
      </c>
      <c r="C1452">
        <f t="shared" si="102"/>
        <v>2023</v>
      </c>
      <c r="E1452" s="331" t="s">
        <v>150</v>
      </c>
      <c r="F1452" s="44">
        <v>487665</v>
      </c>
      <c r="H1452" s="44">
        <f t="shared" si="99"/>
        <v>487665</v>
      </c>
      <c r="L1452" s="29" t="s">
        <v>10</v>
      </c>
      <c r="M1452" s="29" t="s">
        <v>37</v>
      </c>
    </row>
    <row r="1453" spans="1:13">
      <c r="A1453" s="86">
        <v>44953</v>
      </c>
      <c r="B1453" s="82">
        <f t="shared" si="100"/>
        <v>1</v>
      </c>
      <c r="C1453">
        <f t="shared" si="102"/>
        <v>2023</v>
      </c>
      <c r="D1453" s="86"/>
      <c r="E1453" s="84" t="s">
        <v>68</v>
      </c>
      <c r="F1453" s="44">
        <v>765000</v>
      </c>
      <c r="H1453" s="44">
        <f t="shared" si="99"/>
        <v>765000</v>
      </c>
      <c r="L1453" t="s">
        <v>4</v>
      </c>
      <c r="M1453" s="44" t="s">
        <v>123</v>
      </c>
    </row>
    <row r="1454" spans="1:13">
      <c r="A1454" s="86">
        <v>44953</v>
      </c>
      <c r="B1454" s="82">
        <f t="shared" si="100"/>
        <v>1</v>
      </c>
      <c r="C1454">
        <f t="shared" si="102"/>
        <v>2023</v>
      </c>
      <c r="D1454" s="86"/>
      <c r="E1454" s="84" t="s">
        <v>97</v>
      </c>
      <c r="G1454" s="44">
        <v>976488</v>
      </c>
      <c r="H1454" s="44">
        <f t="shared" si="99"/>
        <v>-976488</v>
      </c>
      <c r="L1454" s="29" t="s">
        <v>10</v>
      </c>
      <c r="M1454" s="29" t="s">
        <v>36</v>
      </c>
    </row>
    <row r="1455" spans="1:13">
      <c r="A1455" s="86">
        <v>44953</v>
      </c>
      <c r="B1455" s="82">
        <f t="shared" si="100"/>
        <v>1</v>
      </c>
      <c r="C1455">
        <f t="shared" si="102"/>
        <v>2023</v>
      </c>
      <c r="D1455" s="86"/>
      <c r="E1455" s="331" t="s">
        <v>150</v>
      </c>
      <c r="G1455" s="44">
        <v>765000</v>
      </c>
      <c r="H1455" s="44">
        <f t="shared" si="99"/>
        <v>-765000</v>
      </c>
      <c r="L1455" t="s">
        <v>4</v>
      </c>
      <c r="M1455" s="44" t="s">
        <v>123</v>
      </c>
    </row>
    <row r="1456" spans="1:13">
      <c r="A1456" s="86">
        <v>44953</v>
      </c>
      <c r="B1456" s="82">
        <f t="shared" si="100"/>
        <v>1</v>
      </c>
      <c r="C1456">
        <f t="shared" si="102"/>
        <v>2023</v>
      </c>
      <c r="E1456" s="331" t="s">
        <v>150</v>
      </c>
      <c r="F1456" s="44">
        <v>976488</v>
      </c>
      <c r="H1456" s="44">
        <f t="shared" si="99"/>
        <v>976488</v>
      </c>
      <c r="L1456" s="29" t="s">
        <v>10</v>
      </c>
      <c r="M1456" s="29" t="s">
        <v>36</v>
      </c>
    </row>
    <row r="1457" spans="1:13">
      <c r="A1457" s="86">
        <v>44822</v>
      </c>
      <c r="B1457" s="82">
        <f t="shared" si="100"/>
        <v>9</v>
      </c>
      <c r="C1457">
        <f t="shared" si="102"/>
        <v>2022</v>
      </c>
      <c r="D1457" s="86"/>
      <c r="E1457" s="84" t="s">
        <v>97</v>
      </c>
      <c r="G1457" s="44">
        <v>1750932</v>
      </c>
      <c r="H1457" s="44">
        <f t="shared" si="99"/>
        <v>-1750932</v>
      </c>
      <c r="L1457" s="29" t="s">
        <v>14</v>
      </c>
      <c r="M1457" s="29" t="s">
        <v>40</v>
      </c>
    </row>
    <row r="1458" spans="1:13">
      <c r="A1458" s="86">
        <v>44954</v>
      </c>
      <c r="B1458" s="82">
        <f t="shared" si="100"/>
        <v>1</v>
      </c>
      <c r="C1458">
        <f t="shared" si="102"/>
        <v>2023</v>
      </c>
      <c r="D1458" s="86"/>
      <c r="E1458" s="84" t="s">
        <v>97</v>
      </c>
      <c r="G1458" s="44">
        <v>1233232</v>
      </c>
      <c r="H1458" s="44">
        <f t="shared" si="99"/>
        <v>-1233232</v>
      </c>
      <c r="L1458" s="29" t="s">
        <v>2</v>
      </c>
      <c r="M1458" s="29" t="s">
        <v>34</v>
      </c>
    </row>
    <row r="1459" spans="1:13">
      <c r="A1459" s="86">
        <v>44954</v>
      </c>
      <c r="B1459" s="82">
        <f t="shared" si="100"/>
        <v>1</v>
      </c>
      <c r="C1459">
        <f t="shared" si="102"/>
        <v>2023</v>
      </c>
      <c r="E1459" s="331" t="s">
        <v>150</v>
      </c>
      <c r="F1459" s="44">
        <v>173664</v>
      </c>
      <c r="H1459" s="44">
        <f t="shared" si="99"/>
        <v>173664</v>
      </c>
      <c r="L1459" s="29" t="s">
        <v>14</v>
      </c>
      <c r="M1459" s="29" t="s">
        <v>40</v>
      </c>
    </row>
    <row r="1460" spans="1:13">
      <c r="A1460" s="86">
        <v>44954</v>
      </c>
      <c r="B1460" s="82">
        <f t="shared" si="100"/>
        <v>1</v>
      </c>
      <c r="C1460">
        <f t="shared" si="102"/>
        <v>2023</v>
      </c>
      <c r="E1460" s="331" t="s">
        <v>150</v>
      </c>
      <c r="F1460" s="44">
        <v>1233232</v>
      </c>
      <c r="H1460" s="44">
        <f t="shared" si="99"/>
        <v>1233232</v>
      </c>
      <c r="L1460" s="29" t="s">
        <v>2</v>
      </c>
      <c r="M1460" s="29" t="s">
        <v>34</v>
      </c>
    </row>
    <row r="1461" spans="1:13">
      <c r="A1461" s="86">
        <v>44956</v>
      </c>
      <c r="B1461" s="82">
        <f t="shared" si="100"/>
        <v>1</v>
      </c>
      <c r="C1461">
        <f t="shared" si="102"/>
        <v>2023</v>
      </c>
      <c r="D1461" s="86"/>
      <c r="E1461" s="84" t="s">
        <v>68</v>
      </c>
      <c r="F1461" s="44">
        <v>2090000</v>
      </c>
      <c r="H1461" s="44">
        <f t="shared" si="99"/>
        <v>2090000</v>
      </c>
      <c r="L1461" t="s">
        <v>6</v>
      </c>
      <c r="M1461" s="44" t="s">
        <v>124</v>
      </c>
    </row>
    <row r="1462" spans="1:13">
      <c r="A1462" s="86">
        <v>44956</v>
      </c>
      <c r="B1462" s="82">
        <f t="shared" si="100"/>
        <v>1</v>
      </c>
      <c r="C1462">
        <f t="shared" si="102"/>
        <v>2023</v>
      </c>
      <c r="D1462" s="86"/>
      <c r="E1462" s="84" t="s">
        <v>97</v>
      </c>
      <c r="G1462" s="44">
        <v>829568</v>
      </c>
      <c r="H1462" s="44">
        <f t="shared" si="99"/>
        <v>-829568</v>
      </c>
      <c r="L1462" s="29" t="s">
        <v>10</v>
      </c>
      <c r="M1462" s="29" t="s">
        <v>36</v>
      </c>
    </row>
    <row r="1463" spans="1:13">
      <c r="A1463" s="86">
        <v>44956</v>
      </c>
      <c r="B1463" s="82">
        <f t="shared" si="100"/>
        <v>1</v>
      </c>
      <c r="C1463">
        <f t="shared" si="102"/>
        <v>2023</v>
      </c>
      <c r="D1463" s="86"/>
      <c r="E1463" s="331" t="s">
        <v>150</v>
      </c>
      <c r="G1463" s="44">
        <v>2090000</v>
      </c>
      <c r="H1463" s="44">
        <f t="shared" si="99"/>
        <v>-2090000</v>
      </c>
      <c r="L1463" t="s">
        <v>6</v>
      </c>
      <c r="M1463" s="44" t="s">
        <v>124</v>
      </c>
    </row>
    <row r="1464" spans="1:13">
      <c r="A1464" s="86">
        <v>44956</v>
      </c>
      <c r="B1464" s="82">
        <f t="shared" si="100"/>
        <v>1</v>
      </c>
      <c r="C1464">
        <f t="shared" ref="C1464:C1495" si="103">YEAR(A1464)</f>
        <v>2023</v>
      </c>
      <c r="E1464" s="331" t="s">
        <v>150</v>
      </c>
      <c r="F1464" s="44">
        <v>829568</v>
      </c>
      <c r="H1464" s="44">
        <f t="shared" si="99"/>
        <v>829568</v>
      </c>
      <c r="L1464" s="29" t="s">
        <v>10</v>
      </c>
      <c r="M1464" s="29" t="s">
        <v>36</v>
      </c>
    </row>
    <row r="1465" spans="1:13">
      <c r="A1465" s="86">
        <v>44959</v>
      </c>
      <c r="B1465" s="82">
        <f t="shared" si="100"/>
        <v>2</v>
      </c>
      <c r="C1465">
        <f t="shared" si="103"/>
        <v>2023</v>
      </c>
      <c r="D1465" s="86"/>
      <c r="E1465" s="84" t="s">
        <v>97</v>
      </c>
      <c r="G1465" s="44">
        <v>567736</v>
      </c>
      <c r="H1465" s="44">
        <f t="shared" si="99"/>
        <v>-567736</v>
      </c>
      <c r="L1465" s="29" t="s">
        <v>10</v>
      </c>
      <c r="M1465" s="29" t="s">
        <v>37</v>
      </c>
    </row>
    <row r="1466" spans="1:13">
      <c r="A1466" s="86">
        <v>44959</v>
      </c>
      <c r="B1466" s="82">
        <f t="shared" si="100"/>
        <v>2</v>
      </c>
      <c r="C1466">
        <f t="shared" si="103"/>
        <v>2023</v>
      </c>
      <c r="D1466" s="86"/>
      <c r="E1466" s="84" t="s">
        <v>97</v>
      </c>
      <c r="G1466" s="44">
        <v>1199400</v>
      </c>
      <c r="H1466" s="44">
        <f t="shared" si="99"/>
        <v>-1199400</v>
      </c>
      <c r="L1466" s="29" t="s">
        <v>2</v>
      </c>
      <c r="M1466" s="29" t="s">
        <v>33</v>
      </c>
    </row>
    <row r="1467" spans="1:13">
      <c r="A1467" s="86">
        <v>44959</v>
      </c>
      <c r="B1467" s="82">
        <f t="shared" si="100"/>
        <v>2</v>
      </c>
      <c r="C1467">
        <f t="shared" si="103"/>
        <v>2023</v>
      </c>
      <c r="E1467" s="331" t="s">
        <v>150</v>
      </c>
      <c r="F1467" s="44">
        <v>567736</v>
      </c>
      <c r="H1467" s="44">
        <f t="shared" si="99"/>
        <v>567736</v>
      </c>
      <c r="L1467" s="29" t="s">
        <v>10</v>
      </c>
      <c r="M1467" s="29" t="s">
        <v>37</v>
      </c>
    </row>
    <row r="1468" spans="1:13">
      <c r="A1468" s="86">
        <v>44959</v>
      </c>
      <c r="B1468" s="82">
        <f t="shared" si="100"/>
        <v>2</v>
      </c>
      <c r="C1468">
        <f t="shared" si="103"/>
        <v>2023</v>
      </c>
      <c r="E1468" s="331" t="s">
        <v>150</v>
      </c>
      <c r="F1468" s="44">
        <v>1199400</v>
      </c>
      <c r="H1468" s="44">
        <f t="shared" si="99"/>
        <v>1199400</v>
      </c>
      <c r="L1468" s="29" t="s">
        <v>2</v>
      </c>
      <c r="M1468" s="29" t="s">
        <v>33</v>
      </c>
    </row>
    <row r="1469" spans="1:13">
      <c r="A1469" s="86">
        <v>44963</v>
      </c>
      <c r="B1469" s="82">
        <f t="shared" si="100"/>
        <v>2</v>
      </c>
      <c r="C1469">
        <f t="shared" si="103"/>
        <v>2023</v>
      </c>
      <c r="D1469" s="86"/>
      <c r="E1469" s="84" t="s">
        <v>68</v>
      </c>
      <c r="F1469" s="44">
        <v>1800000</v>
      </c>
      <c r="H1469" s="44">
        <f t="shared" si="99"/>
        <v>1800000</v>
      </c>
      <c r="L1469" t="s">
        <v>5</v>
      </c>
      <c r="M1469" s="44" t="s">
        <v>123</v>
      </c>
    </row>
    <row r="1470" spans="1:13">
      <c r="A1470" s="86">
        <v>44963</v>
      </c>
      <c r="B1470" s="82">
        <f t="shared" si="100"/>
        <v>2</v>
      </c>
      <c r="C1470">
        <f t="shared" si="103"/>
        <v>2023</v>
      </c>
      <c r="D1470" s="86"/>
      <c r="E1470" s="331" t="s">
        <v>150</v>
      </c>
      <c r="G1470" s="44">
        <v>1800000</v>
      </c>
      <c r="H1470" s="44">
        <f t="shared" si="99"/>
        <v>-1800000</v>
      </c>
      <c r="L1470" t="s">
        <v>5</v>
      </c>
      <c r="M1470" s="44" t="s">
        <v>123</v>
      </c>
    </row>
    <row r="1471" spans="1:13">
      <c r="A1471" s="86">
        <v>44964</v>
      </c>
      <c r="B1471" s="82">
        <f t="shared" si="100"/>
        <v>2</v>
      </c>
      <c r="C1471">
        <f t="shared" si="103"/>
        <v>2023</v>
      </c>
      <c r="D1471" s="86"/>
      <c r="E1471" s="84" t="s">
        <v>68</v>
      </c>
      <c r="F1471" s="44">
        <v>1774885</v>
      </c>
      <c r="H1471" s="44">
        <f t="shared" si="99"/>
        <v>1774885</v>
      </c>
      <c r="L1471" t="s">
        <v>12</v>
      </c>
      <c r="M1471" s="44" t="s">
        <v>125</v>
      </c>
    </row>
    <row r="1472" spans="1:13">
      <c r="A1472" s="86">
        <v>44964</v>
      </c>
      <c r="B1472" s="82">
        <f t="shared" si="100"/>
        <v>2</v>
      </c>
      <c r="C1472">
        <f t="shared" si="103"/>
        <v>2023</v>
      </c>
      <c r="D1472" s="86"/>
      <c r="E1472" s="331" t="s">
        <v>150</v>
      </c>
      <c r="G1472" s="44">
        <v>1774885</v>
      </c>
      <c r="H1472" s="44">
        <f t="shared" si="99"/>
        <v>-1774885</v>
      </c>
      <c r="L1472" t="s">
        <v>12</v>
      </c>
      <c r="M1472" s="44" t="s">
        <v>125</v>
      </c>
    </row>
    <row r="1473" spans="1:13">
      <c r="A1473" s="86">
        <v>44967</v>
      </c>
      <c r="B1473" s="82">
        <f t="shared" si="100"/>
        <v>2</v>
      </c>
      <c r="C1473">
        <f t="shared" si="103"/>
        <v>2023</v>
      </c>
      <c r="D1473" s="86"/>
      <c r="E1473" s="84" t="s">
        <v>68</v>
      </c>
      <c r="F1473" s="44">
        <v>720000</v>
      </c>
      <c r="H1473" s="44">
        <f t="shared" si="99"/>
        <v>720000</v>
      </c>
      <c r="L1473" t="s">
        <v>3</v>
      </c>
      <c r="M1473" s="44" t="s">
        <v>123</v>
      </c>
    </row>
    <row r="1474" spans="1:13">
      <c r="A1474" s="86">
        <v>44967</v>
      </c>
      <c r="B1474" s="82">
        <f t="shared" si="100"/>
        <v>2</v>
      </c>
      <c r="C1474">
        <f t="shared" si="103"/>
        <v>2023</v>
      </c>
      <c r="D1474" s="86"/>
      <c r="E1474" s="331" t="s">
        <v>150</v>
      </c>
      <c r="G1474" s="44">
        <v>720000</v>
      </c>
      <c r="H1474" s="44">
        <f t="shared" ref="H1474:H1537" si="104">F1474-G1474</f>
        <v>-720000</v>
      </c>
      <c r="L1474" t="s">
        <v>3</v>
      </c>
      <c r="M1474" s="44" t="s">
        <v>123</v>
      </c>
    </row>
    <row r="1475" spans="1:13">
      <c r="A1475" s="86">
        <v>44968</v>
      </c>
      <c r="B1475" s="82">
        <f t="shared" ref="B1475:B1538" si="105">MONTH(A1475)</f>
        <v>2</v>
      </c>
      <c r="C1475">
        <f t="shared" si="103"/>
        <v>2023</v>
      </c>
      <c r="D1475" s="86"/>
      <c r="E1475" s="84" t="s">
        <v>97</v>
      </c>
      <c r="G1475" s="44">
        <v>1589335</v>
      </c>
      <c r="H1475" s="44">
        <f t="shared" si="104"/>
        <v>-1589335</v>
      </c>
      <c r="L1475" s="29" t="s">
        <v>2</v>
      </c>
      <c r="M1475" s="29" t="s">
        <v>35</v>
      </c>
    </row>
    <row r="1476" spans="1:13">
      <c r="A1476" s="86">
        <v>44968</v>
      </c>
      <c r="B1476" s="82">
        <f t="shared" si="105"/>
        <v>2</v>
      </c>
      <c r="C1476">
        <f t="shared" si="103"/>
        <v>2023</v>
      </c>
      <c r="E1476" s="331" t="s">
        <v>150</v>
      </c>
      <c r="F1476" s="44">
        <v>1589335</v>
      </c>
      <c r="H1476" s="44">
        <f t="shared" si="104"/>
        <v>1589335</v>
      </c>
      <c r="L1476" s="29" t="s">
        <v>2</v>
      </c>
      <c r="M1476" s="29" t="s">
        <v>35</v>
      </c>
    </row>
    <row r="1477" spans="1:13">
      <c r="A1477" s="86">
        <v>44976</v>
      </c>
      <c r="B1477" s="82">
        <f t="shared" si="105"/>
        <v>2</v>
      </c>
      <c r="C1477">
        <f t="shared" si="103"/>
        <v>2023</v>
      </c>
      <c r="D1477" s="86"/>
      <c r="E1477" s="84" t="s">
        <v>97</v>
      </c>
      <c r="G1477" s="44">
        <v>457200</v>
      </c>
      <c r="H1477" s="44">
        <f t="shared" si="104"/>
        <v>-457200</v>
      </c>
      <c r="L1477" s="29" t="s">
        <v>2</v>
      </c>
      <c r="M1477" s="29" t="s">
        <v>31</v>
      </c>
    </row>
    <row r="1478" spans="1:13">
      <c r="A1478" s="86">
        <v>44976</v>
      </c>
      <c r="B1478" s="82">
        <f t="shared" si="105"/>
        <v>2</v>
      </c>
      <c r="C1478">
        <f t="shared" si="103"/>
        <v>2023</v>
      </c>
      <c r="E1478" s="331" t="s">
        <v>150</v>
      </c>
      <c r="F1478" s="44">
        <v>457200</v>
      </c>
      <c r="H1478" s="44">
        <f t="shared" si="104"/>
        <v>457200</v>
      </c>
      <c r="L1478" s="29" t="s">
        <v>2</v>
      </c>
      <c r="M1478" s="29" t="s">
        <v>31</v>
      </c>
    </row>
    <row r="1479" spans="1:13">
      <c r="A1479" s="86">
        <v>44978</v>
      </c>
      <c r="B1479" s="82">
        <f t="shared" si="105"/>
        <v>2</v>
      </c>
      <c r="C1479">
        <f t="shared" si="103"/>
        <v>2023</v>
      </c>
      <c r="D1479" s="86"/>
      <c r="E1479" s="84" t="s">
        <v>97</v>
      </c>
      <c r="G1479" s="44">
        <v>1112020</v>
      </c>
      <c r="H1479" s="44">
        <f t="shared" si="104"/>
        <v>-1112020</v>
      </c>
      <c r="L1479" s="29" t="s">
        <v>2</v>
      </c>
      <c r="M1479" s="29" t="s">
        <v>32</v>
      </c>
    </row>
    <row r="1480" spans="1:13">
      <c r="A1480" s="86">
        <v>44978</v>
      </c>
      <c r="B1480" s="82">
        <f t="shared" si="105"/>
        <v>2</v>
      </c>
      <c r="C1480">
        <f t="shared" si="103"/>
        <v>2023</v>
      </c>
      <c r="E1480" s="331" t="s">
        <v>150</v>
      </c>
      <c r="F1480" s="44">
        <v>1112020</v>
      </c>
      <c r="H1480" s="44">
        <f t="shared" si="104"/>
        <v>1112020</v>
      </c>
      <c r="L1480" s="29" t="s">
        <v>2</v>
      </c>
      <c r="M1480" s="29" t="s">
        <v>32</v>
      </c>
    </row>
    <row r="1481" spans="1:13">
      <c r="A1481" s="86">
        <v>44985</v>
      </c>
      <c r="B1481" s="82">
        <f t="shared" si="105"/>
        <v>2</v>
      </c>
      <c r="C1481">
        <f t="shared" si="103"/>
        <v>2023</v>
      </c>
      <c r="D1481" s="86"/>
      <c r="E1481" s="84" t="s">
        <v>97</v>
      </c>
      <c r="G1481" s="44">
        <v>1111460</v>
      </c>
      <c r="H1481" s="44">
        <f t="shared" si="104"/>
        <v>-1111460</v>
      </c>
      <c r="L1481" s="29" t="s">
        <v>2</v>
      </c>
      <c r="M1481" s="29" t="s">
        <v>35</v>
      </c>
    </row>
    <row r="1482" spans="1:13">
      <c r="A1482" s="86">
        <v>44985</v>
      </c>
      <c r="B1482" s="82">
        <f t="shared" si="105"/>
        <v>2</v>
      </c>
      <c r="C1482">
        <f t="shared" si="103"/>
        <v>2023</v>
      </c>
      <c r="E1482" s="331" t="s">
        <v>150</v>
      </c>
      <c r="F1482" s="44">
        <v>1111460</v>
      </c>
      <c r="H1482" s="44">
        <f t="shared" si="104"/>
        <v>1111460</v>
      </c>
      <c r="L1482" s="29" t="s">
        <v>2</v>
      </c>
      <c r="M1482" s="29" t="s">
        <v>35</v>
      </c>
    </row>
    <row r="1483" spans="1:13">
      <c r="A1483" s="86">
        <v>44986</v>
      </c>
      <c r="B1483" s="82">
        <f t="shared" si="105"/>
        <v>3</v>
      </c>
      <c r="C1483">
        <f t="shared" si="103"/>
        <v>2023</v>
      </c>
      <c r="D1483" s="86"/>
      <c r="E1483" s="84" t="s">
        <v>97</v>
      </c>
      <c r="G1483" s="44">
        <v>756560</v>
      </c>
      <c r="H1483" s="44">
        <f t="shared" si="104"/>
        <v>-756560</v>
      </c>
      <c r="L1483" s="29" t="s">
        <v>2</v>
      </c>
      <c r="M1483" s="29" t="s">
        <v>33</v>
      </c>
    </row>
    <row r="1484" spans="1:13">
      <c r="A1484" s="86">
        <v>44986</v>
      </c>
      <c r="B1484" s="82">
        <f t="shared" si="105"/>
        <v>3</v>
      </c>
      <c r="C1484">
        <f t="shared" si="103"/>
        <v>2023</v>
      </c>
      <c r="E1484" s="84" t="s">
        <v>150</v>
      </c>
      <c r="F1484" s="44">
        <v>756560</v>
      </c>
      <c r="H1484" s="44">
        <f t="shared" si="104"/>
        <v>756560</v>
      </c>
      <c r="L1484" s="29" t="s">
        <v>2</v>
      </c>
      <c r="M1484" s="29" t="s">
        <v>33</v>
      </c>
    </row>
    <row r="1485" spans="1:13">
      <c r="A1485" s="86">
        <v>44990</v>
      </c>
      <c r="B1485" s="82">
        <f t="shared" si="105"/>
        <v>3</v>
      </c>
      <c r="C1485">
        <f t="shared" si="103"/>
        <v>2023</v>
      </c>
      <c r="D1485" s="86"/>
      <c r="E1485" s="84" t="s">
        <v>97</v>
      </c>
      <c r="G1485" s="44">
        <v>3494754</v>
      </c>
      <c r="H1485" s="44">
        <f t="shared" si="104"/>
        <v>-3494754</v>
      </c>
      <c r="L1485" s="29" t="s">
        <v>14</v>
      </c>
      <c r="M1485" s="29" t="s">
        <v>39</v>
      </c>
    </row>
    <row r="1486" spans="1:13">
      <c r="A1486" s="86">
        <v>44990</v>
      </c>
      <c r="B1486" s="82">
        <f t="shared" si="105"/>
        <v>3</v>
      </c>
      <c r="C1486">
        <f t="shared" si="103"/>
        <v>2023</v>
      </c>
      <c r="D1486" s="86"/>
      <c r="E1486" s="84" t="s">
        <v>97</v>
      </c>
      <c r="G1486" s="44">
        <v>677376</v>
      </c>
      <c r="H1486" s="44">
        <f t="shared" si="104"/>
        <v>-677376</v>
      </c>
      <c r="L1486" s="29" t="s">
        <v>2</v>
      </c>
      <c r="M1486" s="29" t="s">
        <v>32</v>
      </c>
    </row>
    <row r="1487" spans="1:13">
      <c r="A1487" s="86">
        <v>44990</v>
      </c>
      <c r="B1487" s="82">
        <f t="shared" si="105"/>
        <v>3</v>
      </c>
      <c r="C1487">
        <f t="shared" si="103"/>
        <v>2023</v>
      </c>
      <c r="E1487" s="84" t="s">
        <v>150</v>
      </c>
      <c r="F1487" s="44">
        <v>3494754</v>
      </c>
      <c r="H1487" s="44">
        <f t="shared" si="104"/>
        <v>3494754</v>
      </c>
      <c r="L1487" s="29" t="s">
        <v>14</v>
      </c>
      <c r="M1487" s="29" t="s">
        <v>39</v>
      </c>
    </row>
    <row r="1488" spans="1:13">
      <c r="A1488" s="86">
        <v>44990</v>
      </c>
      <c r="B1488" s="82">
        <f t="shared" si="105"/>
        <v>3</v>
      </c>
      <c r="C1488">
        <f t="shared" si="103"/>
        <v>2023</v>
      </c>
      <c r="E1488" s="84" t="s">
        <v>150</v>
      </c>
      <c r="F1488" s="44">
        <v>677376</v>
      </c>
      <c r="H1488" s="44">
        <f t="shared" si="104"/>
        <v>677376</v>
      </c>
      <c r="L1488" s="29" t="s">
        <v>2</v>
      </c>
      <c r="M1488" s="29" t="s">
        <v>32</v>
      </c>
    </row>
    <row r="1489" spans="1:13">
      <c r="A1489" s="86">
        <v>44991</v>
      </c>
      <c r="B1489" s="82">
        <f t="shared" si="105"/>
        <v>3</v>
      </c>
      <c r="C1489">
        <f t="shared" si="103"/>
        <v>2023</v>
      </c>
      <c r="D1489" s="86"/>
      <c r="E1489" s="84" t="s">
        <v>97</v>
      </c>
      <c r="G1489" s="44">
        <v>2085210</v>
      </c>
      <c r="H1489" s="44">
        <f t="shared" si="104"/>
        <v>-2085210</v>
      </c>
      <c r="L1489" s="29" t="s">
        <v>14</v>
      </c>
      <c r="M1489" s="29" t="s">
        <v>39</v>
      </c>
    </row>
    <row r="1490" spans="1:13">
      <c r="A1490" s="86">
        <v>44991</v>
      </c>
      <c r="B1490" s="82">
        <f t="shared" si="105"/>
        <v>3</v>
      </c>
      <c r="C1490">
        <f t="shared" si="103"/>
        <v>2023</v>
      </c>
      <c r="E1490" s="84" t="s">
        <v>150</v>
      </c>
      <c r="F1490" s="44">
        <v>2085210</v>
      </c>
      <c r="H1490" s="44">
        <f t="shared" si="104"/>
        <v>2085210</v>
      </c>
      <c r="L1490" s="29" t="s">
        <v>14</v>
      </c>
      <c r="M1490" s="29" t="s">
        <v>39</v>
      </c>
    </row>
    <row r="1491" spans="1:13">
      <c r="A1491" s="86">
        <v>44994</v>
      </c>
      <c r="B1491" s="82">
        <f t="shared" si="105"/>
        <v>3</v>
      </c>
      <c r="C1491">
        <f t="shared" si="103"/>
        <v>2023</v>
      </c>
      <c r="D1491" s="86"/>
      <c r="E1491" s="84" t="s">
        <v>68</v>
      </c>
      <c r="F1491" s="44">
        <v>1774885</v>
      </c>
      <c r="H1491" s="44">
        <f t="shared" si="104"/>
        <v>1774885</v>
      </c>
      <c r="L1491" t="s">
        <v>12</v>
      </c>
      <c r="M1491" s="44" t="s">
        <v>125</v>
      </c>
    </row>
    <row r="1492" spans="1:13">
      <c r="A1492" s="86">
        <v>44994</v>
      </c>
      <c r="B1492" s="82">
        <f t="shared" si="105"/>
        <v>3</v>
      </c>
      <c r="C1492">
        <f t="shared" si="103"/>
        <v>2023</v>
      </c>
      <c r="D1492" s="86"/>
      <c r="E1492" s="84" t="s">
        <v>150</v>
      </c>
      <c r="G1492" s="44">
        <v>1774885</v>
      </c>
      <c r="H1492" s="44">
        <f t="shared" si="104"/>
        <v>-1774885</v>
      </c>
      <c r="L1492" t="s">
        <v>12</v>
      </c>
      <c r="M1492" s="44" t="s">
        <v>125</v>
      </c>
    </row>
    <row r="1493" spans="1:13">
      <c r="A1493" s="86">
        <v>44999</v>
      </c>
      <c r="B1493" s="82">
        <f t="shared" si="105"/>
        <v>3</v>
      </c>
      <c r="C1493">
        <f t="shared" si="103"/>
        <v>2023</v>
      </c>
      <c r="D1493" s="86"/>
      <c r="E1493" s="84" t="s">
        <v>97</v>
      </c>
      <c r="G1493" s="44">
        <v>1640576</v>
      </c>
      <c r="H1493" s="44">
        <f t="shared" si="104"/>
        <v>-1640576</v>
      </c>
      <c r="L1493" s="29" t="s">
        <v>2</v>
      </c>
      <c r="M1493" s="29" t="s">
        <v>35</v>
      </c>
    </row>
    <row r="1494" spans="1:13">
      <c r="A1494" s="86">
        <v>44999</v>
      </c>
      <c r="B1494" s="82">
        <f t="shared" si="105"/>
        <v>3</v>
      </c>
      <c r="C1494">
        <f t="shared" si="103"/>
        <v>2023</v>
      </c>
      <c r="E1494" s="84" t="s">
        <v>150</v>
      </c>
      <c r="F1494" s="44">
        <v>1640576</v>
      </c>
      <c r="H1494" s="44">
        <f t="shared" si="104"/>
        <v>1640576</v>
      </c>
      <c r="L1494" s="29" t="s">
        <v>2</v>
      </c>
      <c r="M1494" s="29" t="s">
        <v>35</v>
      </c>
    </row>
    <row r="1495" spans="1:13">
      <c r="A1495" s="86">
        <v>45000</v>
      </c>
      <c r="B1495" s="82">
        <f t="shared" si="105"/>
        <v>3</v>
      </c>
      <c r="C1495">
        <f t="shared" si="103"/>
        <v>2023</v>
      </c>
      <c r="D1495" s="86"/>
      <c r="E1495" s="84" t="s">
        <v>68</v>
      </c>
      <c r="F1495" s="44">
        <v>1800000</v>
      </c>
      <c r="H1495" s="44">
        <f t="shared" si="104"/>
        <v>1800000</v>
      </c>
      <c r="L1495" t="s">
        <v>5</v>
      </c>
      <c r="M1495" s="44" t="s">
        <v>123</v>
      </c>
    </row>
    <row r="1496" spans="1:13">
      <c r="A1496" s="86">
        <v>45000</v>
      </c>
      <c r="B1496" s="82">
        <f t="shared" si="105"/>
        <v>3</v>
      </c>
      <c r="C1496">
        <f t="shared" ref="C1496:C1527" si="106">YEAR(A1496)</f>
        <v>2023</v>
      </c>
      <c r="D1496" s="86"/>
      <c r="E1496" s="84" t="s">
        <v>150</v>
      </c>
      <c r="G1496" s="44">
        <v>1800000</v>
      </c>
      <c r="H1496" s="44">
        <f t="shared" si="104"/>
        <v>-1800000</v>
      </c>
      <c r="L1496" t="s">
        <v>5</v>
      </c>
      <c r="M1496" s="44" t="s">
        <v>123</v>
      </c>
    </row>
    <row r="1497" spans="1:13">
      <c r="A1497" s="86">
        <v>44827</v>
      </c>
      <c r="B1497" s="82">
        <f t="shared" si="105"/>
        <v>9</v>
      </c>
      <c r="C1497">
        <f t="shared" si="106"/>
        <v>2022</v>
      </c>
      <c r="E1497" s="84" t="s">
        <v>97</v>
      </c>
      <c r="F1497" s="44">
        <v>383184</v>
      </c>
      <c r="H1497" s="44">
        <f t="shared" si="104"/>
        <v>383184</v>
      </c>
      <c r="L1497" s="29" t="s">
        <v>14</v>
      </c>
      <c r="M1497" s="29" t="s">
        <v>40</v>
      </c>
    </row>
    <row r="1498" spans="1:13">
      <c r="A1498" s="86">
        <v>45011</v>
      </c>
      <c r="B1498" s="82">
        <f t="shared" si="105"/>
        <v>3</v>
      </c>
      <c r="C1498">
        <f t="shared" si="106"/>
        <v>2023</v>
      </c>
      <c r="E1498" s="84" t="s">
        <v>150</v>
      </c>
      <c r="F1498" s="44">
        <v>369024</v>
      </c>
      <c r="H1498" s="44">
        <f t="shared" si="104"/>
        <v>369024</v>
      </c>
      <c r="L1498" s="29" t="s">
        <v>14</v>
      </c>
      <c r="M1498" s="29" t="s">
        <v>40</v>
      </c>
    </row>
    <row r="1499" spans="1:13">
      <c r="A1499" s="86">
        <v>45025</v>
      </c>
      <c r="B1499" s="82">
        <f t="shared" si="105"/>
        <v>4</v>
      </c>
      <c r="C1499">
        <f t="shared" si="106"/>
        <v>2023</v>
      </c>
      <c r="D1499" s="86"/>
      <c r="E1499" s="84" t="s">
        <v>97</v>
      </c>
      <c r="G1499" s="44">
        <v>1748626</v>
      </c>
      <c r="H1499" s="44">
        <f t="shared" si="104"/>
        <v>-1748626</v>
      </c>
      <c r="L1499" s="29" t="s">
        <v>2</v>
      </c>
      <c r="M1499" s="29" t="s">
        <v>34</v>
      </c>
    </row>
    <row r="1500" spans="1:13">
      <c r="A1500" s="86">
        <v>45025</v>
      </c>
      <c r="B1500" s="82">
        <f t="shared" si="105"/>
        <v>4</v>
      </c>
      <c r="C1500">
        <f t="shared" si="106"/>
        <v>2023</v>
      </c>
      <c r="E1500" s="84" t="s">
        <v>150</v>
      </c>
      <c r="F1500" s="44">
        <v>1748626</v>
      </c>
      <c r="H1500" s="44">
        <f t="shared" si="104"/>
        <v>1748626</v>
      </c>
      <c r="L1500" s="29" t="s">
        <v>2</v>
      </c>
      <c r="M1500" s="29" t="s">
        <v>34</v>
      </c>
    </row>
    <row r="1501" spans="1:13">
      <c r="A1501" s="86">
        <v>44621</v>
      </c>
      <c r="B1501" s="82">
        <f t="shared" si="105"/>
        <v>3</v>
      </c>
      <c r="C1501">
        <f t="shared" si="106"/>
        <v>2022</v>
      </c>
      <c r="E1501" s="84" t="s">
        <v>229</v>
      </c>
      <c r="F1501" s="44">
        <v>10965000</v>
      </c>
      <c r="H1501" s="44">
        <f t="shared" si="104"/>
        <v>10965000</v>
      </c>
      <c r="M1501" t="s">
        <v>123</v>
      </c>
    </row>
    <row r="1502" spans="1:13">
      <c r="A1502" s="86">
        <v>44621</v>
      </c>
      <c r="B1502" s="82">
        <f t="shared" si="105"/>
        <v>3</v>
      </c>
      <c r="C1502">
        <f t="shared" si="106"/>
        <v>2022</v>
      </c>
      <c r="E1502" s="84" t="s">
        <v>229</v>
      </c>
      <c r="F1502" s="44">
        <v>6104000</v>
      </c>
      <c r="H1502" s="44">
        <f t="shared" si="104"/>
        <v>6104000</v>
      </c>
      <c r="M1502" t="s">
        <v>124</v>
      </c>
    </row>
    <row r="1503" spans="1:13">
      <c r="A1503" s="86">
        <v>44621</v>
      </c>
      <c r="B1503" s="82">
        <f t="shared" si="105"/>
        <v>3</v>
      </c>
      <c r="C1503">
        <f t="shared" si="106"/>
        <v>2022</v>
      </c>
      <c r="E1503" s="84" t="s">
        <v>229</v>
      </c>
      <c r="F1503" s="44">
        <v>13663505</v>
      </c>
      <c r="H1503" s="44">
        <f t="shared" si="104"/>
        <v>13663505</v>
      </c>
      <c r="M1503" t="s">
        <v>125</v>
      </c>
    </row>
    <row r="1504" spans="1:13">
      <c r="A1504" s="86">
        <v>44621</v>
      </c>
      <c r="B1504" s="82">
        <f t="shared" si="105"/>
        <v>3</v>
      </c>
      <c r="C1504">
        <f t="shared" si="106"/>
        <v>2022</v>
      </c>
      <c r="E1504" s="84" t="s">
        <v>68</v>
      </c>
      <c r="G1504" s="44">
        <f t="shared" ref="G1504:G1509" si="107">+F1501</f>
        <v>10965000</v>
      </c>
      <c r="H1504" s="44">
        <f t="shared" si="104"/>
        <v>-10965000</v>
      </c>
      <c r="M1504" t="s">
        <v>123</v>
      </c>
    </row>
    <row r="1505" spans="1:13">
      <c r="A1505" s="86">
        <v>44621</v>
      </c>
      <c r="B1505" s="82">
        <f t="shared" si="105"/>
        <v>3</v>
      </c>
      <c r="C1505">
        <f t="shared" si="106"/>
        <v>2022</v>
      </c>
      <c r="E1505" s="84" t="s">
        <v>68</v>
      </c>
      <c r="G1505" s="44">
        <f t="shared" si="107"/>
        <v>6104000</v>
      </c>
      <c r="H1505" s="44">
        <f t="shared" si="104"/>
        <v>-6104000</v>
      </c>
      <c r="M1505" t="s">
        <v>124</v>
      </c>
    </row>
    <row r="1506" spans="1:13">
      <c r="A1506" s="86">
        <v>44621</v>
      </c>
      <c r="B1506" s="82">
        <f t="shared" si="105"/>
        <v>3</v>
      </c>
      <c r="C1506">
        <f t="shared" si="106"/>
        <v>2022</v>
      </c>
      <c r="E1506" s="84" t="s">
        <v>68</v>
      </c>
      <c r="G1506" s="44">
        <f t="shared" si="107"/>
        <v>13663505</v>
      </c>
      <c r="H1506" s="44">
        <f t="shared" si="104"/>
        <v>-13663505</v>
      </c>
      <c r="M1506" t="s">
        <v>125</v>
      </c>
    </row>
    <row r="1507" spans="1:13">
      <c r="A1507" s="86">
        <v>44652</v>
      </c>
      <c r="B1507" s="82">
        <f t="shared" si="105"/>
        <v>4</v>
      </c>
      <c r="C1507">
        <f t="shared" si="106"/>
        <v>2022</v>
      </c>
      <c r="E1507" s="84" t="s">
        <v>229</v>
      </c>
      <c r="F1507" s="44">
        <v>10530000</v>
      </c>
      <c r="G1507" s="44">
        <f t="shared" si="107"/>
        <v>0</v>
      </c>
      <c r="H1507" s="44">
        <f t="shared" si="104"/>
        <v>10530000</v>
      </c>
      <c r="M1507" t="s">
        <v>123</v>
      </c>
    </row>
    <row r="1508" spans="1:13">
      <c r="A1508" s="86">
        <v>44652</v>
      </c>
      <c r="B1508" s="82">
        <f t="shared" si="105"/>
        <v>4</v>
      </c>
      <c r="C1508">
        <f t="shared" si="106"/>
        <v>2022</v>
      </c>
      <c r="E1508" s="84" t="s">
        <v>229</v>
      </c>
      <c r="F1508" s="44">
        <v>6544000</v>
      </c>
      <c r="G1508" s="44">
        <f t="shared" si="107"/>
        <v>0</v>
      </c>
      <c r="H1508" s="44">
        <f t="shared" si="104"/>
        <v>6544000</v>
      </c>
      <c r="M1508" t="s">
        <v>124</v>
      </c>
    </row>
    <row r="1509" spans="1:13">
      <c r="A1509" s="86">
        <v>44652</v>
      </c>
      <c r="B1509" s="82">
        <f t="shared" si="105"/>
        <v>4</v>
      </c>
      <c r="C1509">
        <f t="shared" si="106"/>
        <v>2022</v>
      </c>
      <c r="E1509" s="84" t="s">
        <v>229</v>
      </c>
      <c r="F1509" s="44">
        <v>14948505</v>
      </c>
      <c r="G1509" s="44">
        <f t="shared" si="107"/>
        <v>0</v>
      </c>
      <c r="H1509" s="44">
        <f t="shared" si="104"/>
        <v>14948505</v>
      </c>
      <c r="M1509" t="s">
        <v>125</v>
      </c>
    </row>
    <row r="1510" spans="1:13">
      <c r="A1510" s="86">
        <v>44652</v>
      </c>
      <c r="B1510" s="82">
        <f t="shared" si="105"/>
        <v>4</v>
      </c>
      <c r="C1510">
        <f t="shared" si="106"/>
        <v>2022</v>
      </c>
      <c r="E1510" s="84" t="s">
        <v>68</v>
      </c>
      <c r="F1510" s="44">
        <v>0</v>
      </c>
      <c r="G1510" s="44">
        <v>10530000</v>
      </c>
      <c r="H1510" s="44">
        <f t="shared" si="104"/>
        <v>-10530000</v>
      </c>
      <c r="M1510" t="s">
        <v>123</v>
      </c>
    </row>
    <row r="1511" spans="1:13">
      <c r="A1511" s="86">
        <v>44652</v>
      </c>
      <c r="B1511" s="82">
        <f t="shared" si="105"/>
        <v>4</v>
      </c>
      <c r="C1511">
        <f t="shared" si="106"/>
        <v>2022</v>
      </c>
      <c r="E1511" s="84" t="s">
        <v>68</v>
      </c>
      <c r="F1511" s="44">
        <v>0</v>
      </c>
      <c r="G1511" s="44">
        <v>6544000</v>
      </c>
      <c r="H1511" s="44">
        <f t="shared" si="104"/>
        <v>-6544000</v>
      </c>
      <c r="M1511" t="s">
        <v>124</v>
      </c>
    </row>
    <row r="1512" spans="1:13">
      <c r="A1512" s="86">
        <v>44652</v>
      </c>
      <c r="B1512" s="82">
        <f t="shared" si="105"/>
        <v>4</v>
      </c>
      <c r="C1512">
        <f t="shared" si="106"/>
        <v>2022</v>
      </c>
      <c r="E1512" s="84" t="s">
        <v>68</v>
      </c>
      <c r="F1512" s="44">
        <v>0</v>
      </c>
      <c r="G1512" s="44">
        <v>14948505</v>
      </c>
      <c r="H1512" s="44">
        <f t="shared" si="104"/>
        <v>-14948505</v>
      </c>
      <c r="M1512" t="s">
        <v>125</v>
      </c>
    </row>
    <row r="1513" spans="1:13">
      <c r="A1513" s="86">
        <v>44682</v>
      </c>
      <c r="B1513" s="82">
        <f t="shared" si="105"/>
        <v>5</v>
      </c>
      <c r="C1513">
        <f t="shared" si="106"/>
        <v>2022</v>
      </c>
      <c r="E1513" s="84" t="s">
        <v>229</v>
      </c>
      <c r="F1513" s="44">
        <v>12690000</v>
      </c>
      <c r="G1513" s="44">
        <v>0</v>
      </c>
      <c r="H1513" s="44">
        <f t="shared" si="104"/>
        <v>12690000</v>
      </c>
      <c r="M1513" t="s">
        <v>123</v>
      </c>
    </row>
    <row r="1514" spans="1:13">
      <c r="A1514" s="86">
        <v>44682</v>
      </c>
      <c r="B1514" s="82">
        <f t="shared" si="105"/>
        <v>5</v>
      </c>
      <c r="C1514">
        <f t="shared" si="106"/>
        <v>2022</v>
      </c>
      <c r="E1514" s="84" t="s">
        <v>229</v>
      </c>
      <c r="F1514" s="44">
        <v>8744000</v>
      </c>
      <c r="G1514" s="44">
        <v>0</v>
      </c>
      <c r="H1514" s="44">
        <f t="shared" si="104"/>
        <v>8744000</v>
      </c>
      <c r="M1514" t="s">
        <v>124</v>
      </c>
    </row>
    <row r="1515" spans="1:13">
      <c r="A1515" s="86">
        <v>44682</v>
      </c>
      <c r="B1515" s="82">
        <f t="shared" si="105"/>
        <v>5</v>
      </c>
      <c r="C1515">
        <f t="shared" si="106"/>
        <v>2022</v>
      </c>
      <c r="E1515" s="84" t="s">
        <v>229</v>
      </c>
      <c r="F1515" s="44">
        <v>9117000</v>
      </c>
      <c r="G1515" s="44">
        <v>0</v>
      </c>
      <c r="H1515" s="44">
        <f t="shared" si="104"/>
        <v>9117000</v>
      </c>
      <c r="M1515" t="s">
        <v>125</v>
      </c>
    </row>
    <row r="1516" spans="1:13">
      <c r="A1516" s="86">
        <v>44682</v>
      </c>
      <c r="B1516" s="82">
        <f t="shared" si="105"/>
        <v>5</v>
      </c>
      <c r="C1516">
        <f t="shared" si="106"/>
        <v>2022</v>
      </c>
      <c r="E1516" s="84" t="s">
        <v>68</v>
      </c>
      <c r="F1516" s="44">
        <v>0</v>
      </c>
      <c r="G1516" s="44">
        <v>12690000</v>
      </c>
      <c r="H1516" s="44">
        <f t="shared" si="104"/>
        <v>-12690000</v>
      </c>
      <c r="M1516" t="s">
        <v>123</v>
      </c>
    </row>
    <row r="1517" spans="1:13">
      <c r="A1517" s="86">
        <v>44682</v>
      </c>
      <c r="B1517" s="82">
        <f t="shared" si="105"/>
        <v>5</v>
      </c>
      <c r="C1517">
        <f t="shared" si="106"/>
        <v>2022</v>
      </c>
      <c r="E1517" s="84" t="s">
        <v>68</v>
      </c>
      <c r="F1517" s="44">
        <v>0</v>
      </c>
      <c r="G1517" s="44">
        <v>8744000</v>
      </c>
      <c r="H1517" s="44">
        <f t="shared" si="104"/>
        <v>-8744000</v>
      </c>
      <c r="M1517" t="s">
        <v>124</v>
      </c>
    </row>
    <row r="1518" spans="1:13">
      <c r="A1518" s="86">
        <v>44682</v>
      </c>
      <c r="B1518" s="82">
        <f t="shared" si="105"/>
        <v>5</v>
      </c>
      <c r="C1518">
        <f t="shared" si="106"/>
        <v>2022</v>
      </c>
      <c r="E1518" s="84" t="s">
        <v>68</v>
      </c>
      <c r="F1518" s="44">
        <v>0</v>
      </c>
      <c r="G1518" s="44">
        <v>9117000</v>
      </c>
      <c r="H1518" s="44">
        <f t="shared" si="104"/>
        <v>-9117000</v>
      </c>
      <c r="M1518" t="s">
        <v>125</v>
      </c>
    </row>
    <row r="1519" spans="1:13">
      <c r="A1519" s="86">
        <v>44713</v>
      </c>
      <c r="B1519" s="82">
        <f t="shared" si="105"/>
        <v>6</v>
      </c>
      <c r="C1519">
        <f t="shared" si="106"/>
        <v>2022</v>
      </c>
      <c r="E1519" s="84" t="s">
        <v>229</v>
      </c>
      <c r="F1519" s="44">
        <v>11335000</v>
      </c>
      <c r="G1519" s="44">
        <v>0</v>
      </c>
      <c r="H1519" s="44">
        <f t="shared" si="104"/>
        <v>11335000</v>
      </c>
      <c r="M1519" t="s">
        <v>123</v>
      </c>
    </row>
    <row r="1520" spans="1:13">
      <c r="A1520" s="86">
        <v>44713</v>
      </c>
      <c r="B1520" s="82">
        <f t="shared" si="105"/>
        <v>6</v>
      </c>
      <c r="C1520">
        <f t="shared" si="106"/>
        <v>2022</v>
      </c>
      <c r="E1520" s="84" t="s">
        <v>229</v>
      </c>
      <c r="F1520" s="44">
        <v>8964000</v>
      </c>
      <c r="G1520" s="44">
        <v>0</v>
      </c>
      <c r="H1520" s="44">
        <f t="shared" si="104"/>
        <v>8964000</v>
      </c>
      <c r="M1520" t="s">
        <v>124</v>
      </c>
    </row>
    <row r="1521" spans="1:13">
      <c r="A1521" s="86">
        <v>44713</v>
      </c>
      <c r="B1521" s="82">
        <f t="shared" si="105"/>
        <v>6</v>
      </c>
      <c r="C1521">
        <f t="shared" si="106"/>
        <v>2022</v>
      </c>
      <c r="E1521" s="84" t="s">
        <v>229</v>
      </c>
      <c r="F1521" s="44">
        <v>8330000</v>
      </c>
      <c r="G1521" s="44">
        <v>0</v>
      </c>
      <c r="H1521" s="44">
        <f t="shared" si="104"/>
        <v>8330000</v>
      </c>
      <c r="M1521" t="s">
        <v>125</v>
      </c>
    </row>
    <row r="1522" spans="1:13">
      <c r="A1522" s="86">
        <v>44713</v>
      </c>
      <c r="B1522" s="82">
        <f t="shared" si="105"/>
        <v>6</v>
      </c>
      <c r="C1522">
        <f t="shared" si="106"/>
        <v>2022</v>
      </c>
      <c r="E1522" s="84" t="s">
        <v>68</v>
      </c>
      <c r="F1522" s="44">
        <v>0</v>
      </c>
      <c r="G1522" s="44">
        <v>11335000</v>
      </c>
      <c r="H1522" s="44">
        <f t="shared" si="104"/>
        <v>-11335000</v>
      </c>
      <c r="M1522" t="s">
        <v>123</v>
      </c>
    </row>
    <row r="1523" spans="1:13">
      <c r="A1523" s="86">
        <v>44713</v>
      </c>
      <c r="B1523" s="82">
        <f t="shared" si="105"/>
        <v>6</v>
      </c>
      <c r="C1523">
        <f t="shared" si="106"/>
        <v>2022</v>
      </c>
      <c r="E1523" s="84" t="s">
        <v>68</v>
      </c>
      <c r="F1523" s="44">
        <v>0</v>
      </c>
      <c r="G1523" s="44">
        <v>8964000</v>
      </c>
      <c r="H1523" s="44">
        <f t="shared" si="104"/>
        <v>-8964000</v>
      </c>
      <c r="M1523" t="s">
        <v>124</v>
      </c>
    </row>
    <row r="1524" spans="1:13">
      <c r="A1524" s="86">
        <v>44713</v>
      </c>
      <c r="B1524" s="82">
        <f t="shared" si="105"/>
        <v>6</v>
      </c>
      <c r="C1524">
        <f t="shared" si="106"/>
        <v>2022</v>
      </c>
      <c r="E1524" s="84" t="s">
        <v>68</v>
      </c>
      <c r="F1524" s="44">
        <v>0</v>
      </c>
      <c r="G1524" s="44">
        <v>8330000</v>
      </c>
      <c r="H1524" s="44">
        <f t="shared" si="104"/>
        <v>-8330000</v>
      </c>
      <c r="M1524" t="s">
        <v>125</v>
      </c>
    </row>
    <row r="1525" spans="1:13">
      <c r="A1525" s="86">
        <v>44743</v>
      </c>
      <c r="B1525" s="82">
        <f t="shared" si="105"/>
        <v>7</v>
      </c>
      <c r="C1525">
        <f t="shared" si="106"/>
        <v>2022</v>
      </c>
      <c r="E1525" s="84" t="s">
        <v>229</v>
      </c>
      <c r="F1525" s="44">
        <v>12175000</v>
      </c>
      <c r="G1525" s="44">
        <v>0</v>
      </c>
      <c r="H1525" s="44">
        <f t="shared" si="104"/>
        <v>12175000</v>
      </c>
      <c r="M1525" t="s">
        <v>123</v>
      </c>
    </row>
    <row r="1526" spans="1:13">
      <c r="A1526" s="86">
        <v>44743</v>
      </c>
      <c r="B1526" s="82">
        <f t="shared" si="105"/>
        <v>7</v>
      </c>
      <c r="C1526">
        <f t="shared" si="106"/>
        <v>2022</v>
      </c>
      <c r="E1526" s="84" t="s">
        <v>229</v>
      </c>
      <c r="F1526" s="44">
        <v>6434000</v>
      </c>
      <c r="G1526" s="44">
        <v>0</v>
      </c>
      <c r="H1526" s="44">
        <f t="shared" si="104"/>
        <v>6434000</v>
      </c>
      <c r="M1526" t="s">
        <v>124</v>
      </c>
    </row>
    <row r="1527" spans="1:13">
      <c r="A1527" s="86">
        <v>44743</v>
      </c>
      <c r="B1527" s="82">
        <f t="shared" si="105"/>
        <v>7</v>
      </c>
      <c r="C1527">
        <f t="shared" si="106"/>
        <v>2022</v>
      </c>
      <c r="E1527" s="84" t="s">
        <v>229</v>
      </c>
      <c r="F1527" s="44">
        <v>12110000</v>
      </c>
      <c r="G1527" s="44">
        <v>0</v>
      </c>
      <c r="H1527" s="44">
        <f t="shared" si="104"/>
        <v>12110000</v>
      </c>
      <c r="M1527" t="s">
        <v>125</v>
      </c>
    </row>
    <row r="1528" spans="1:13">
      <c r="A1528" s="86">
        <v>44743</v>
      </c>
      <c r="B1528" s="82">
        <f t="shared" si="105"/>
        <v>7</v>
      </c>
      <c r="C1528">
        <f t="shared" ref="C1528:C1559" si="108">YEAR(A1528)</f>
        <v>2022</v>
      </c>
      <c r="E1528" s="84" t="s">
        <v>68</v>
      </c>
      <c r="F1528" s="44">
        <v>0</v>
      </c>
      <c r="G1528" s="44">
        <v>12175000</v>
      </c>
      <c r="H1528" s="44">
        <f t="shared" si="104"/>
        <v>-12175000</v>
      </c>
      <c r="M1528" t="s">
        <v>123</v>
      </c>
    </row>
    <row r="1529" spans="1:13">
      <c r="A1529" s="86">
        <v>44743</v>
      </c>
      <c r="B1529" s="82">
        <f t="shared" si="105"/>
        <v>7</v>
      </c>
      <c r="C1529">
        <f t="shared" si="108"/>
        <v>2022</v>
      </c>
      <c r="E1529" s="84" t="s">
        <v>68</v>
      </c>
      <c r="F1529" s="44">
        <v>0</v>
      </c>
      <c r="G1529" s="44">
        <v>6434000</v>
      </c>
      <c r="H1529" s="44">
        <f t="shared" si="104"/>
        <v>-6434000</v>
      </c>
      <c r="M1529" t="s">
        <v>124</v>
      </c>
    </row>
    <row r="1530" spans="1:13">
      <c r="A1530" s="86">
        <v>44743</v>
      </c>
      <c r="B1530" s="82">
        <f t="shared" si="105"/>
        <v>7</v>
      </c>
      <c r="C1530">
        <f t="shared" si="108"/>
        <v>2022</v>
      </c>
      <c r="E1530" s="84" t="s">
        <v>68</v>
      </c>
      <c r="F1530" s="44">
        <v>0</v>
      </c>
      <c r="G1530" s="44">
        <v>12110000</v>
      </c>
      <c r="H1530" s="44">
        <f t="shared" si="104"/>
        <v>-12110000</v>
      </c>
      <c r="M1530" t="s">
        <v>125</v>
      </c>
    </row>
    <row r="1531" spans="1:13">
      <c r="A1531" s="86">
        <v>44774</v>
      </c>
      <c r="B1531" s="82">
        <f t="shared" si="105"/>
        <v>8</v>
      </c>
      <c r="C1531">
        <f t="shared" si="108"/>
        <v>2022</v>
      </c>
      <c r="E1531" s="84" t="s">
        <v>229</v>
      </c>
      <c r="F1531" s="44">
        <v>12330000</v>
      </c>
      <c r="G1531" s="44">
        <v>0</v>
      </c>
      <c r="H1531" s="44">
        <f t="shared" si="104"/>
        <v>12330000</v>
      </c>
      <c r="M1531" t="s">
        <v>123</v>
      </c>
    </row>
    <row r="1532" spans="1:13">
      <c r="A1532" s="86">
        <v>44774</v>
      </c>
      <c r="B1532" s="82">
        <f t="shared" si="105"/>
        <v>8</v>
      </c>
      <c r="C1532">
        <f t="shared" si="108"/>
        <v>2022</v>
      </c>
      <c r="E1532" s="84" t="s">
        <v>229</v>
      </c>
      <c r="F1532" s="44">
        <v>8524000</v>
      </c>
      <c r="G1532" s="44">
        <v>0</v>
      </c>
      <c r="H1532" s="44">
        <f t="shared" si="104"/>
        <v>8524000</v>
      </c>
      <c r="M1532" t="s">
        <v>124</v>
      </c>
    </row>
    <row r="1533" spans="1:13">
      <c r="A1533" s="86">
        <v>44774</v>
      </c>
      <c r="B1533" s="82">
        <f t="shared" si="105"/>
        <v>8</v>
      </c>
      <c r="C1533">
        <f t="shared" si="108"/>
        <v>2022</v>
      </c>
      <c r="E1533" s="84" t="s">
        <v>229</v>
      </c>
      <c r="F1533" s="44">
        <v>12428505</v>
      </c>
      <c r="G1533" s="44">
        <v>0</v>
      </c>
      <c r="H1533" s="44">
        <f t="shared" si="104"/>
        <v>12428505</v>
      </c>
      <c r="M1533" t="s">
        <v>125</v>
      </c>
    </row>
    <row r="1534" spans="1:13">
      <c r="A1534" s="86">
        <v>44774</v>
      </c>
      <c r="B1534" s="82">
        <f t="shared" si="105"/>
        <v>8</v>
      </c>
      <c r="C1534">
        <f t="shared" si="108"/>
        <v>2022</v>
      </c>
      <c r="E1534" s="84" t="s">
        <v>68</v>
      </c>
      <c r="F1534" s="44">
        <v>0</v>
      </c>
      <c r="G1534" s="44">
        <v>12330000</v>
      </c>
      <c r="H1534" s="44">
        <f t="shared" si="104"/>
        <v>-12330000</v>
      </c>
      <c r="M1534" t="s">
        <v>123</v>
      </c>
    </row>
    <row r="1535" spans="1:13">
      <c r="A1535" s="86">
        <v>44774</v>
      </c>
      <c r="B1535" s="82">
        <f t="shared" si="105"/>
        <v>8</v>
      </c>
      <c r="C1535">
        <f t="shared" si="108"/>
        <v>2022</v>
      </c>
      <c r="E1535" s="84" t="s">
        <v>68</v>
      </c>
      <c r="F1535" s="44">
        <v>0</v>
      </c>
      <c r="G1535" s="44">
        <v>8524000</v>
      </c>
      <c r="H1535" s="44">
        <f t="shared" si="104"/>
        <v>-8524000</v>
      </c>
      <c r="M1535" t="s">
        <v>124</v>
      </c>
    </row>
    <row r="1536" spans="1:13">
      <c r="A1536" s="86">
        <v>44774</v>
      </c>
      <c r="B1536" s="82">
        <f t="shared" si="105"/>
        <v>8</v>
      </c>
      <c r="C1536">
        <f t="shared" si="108"/>
        <v>2022</v>
      </c>
      <c r="E1536" s="84" t="s">
        <v>68</v>
      </c>
      <c r="F1536" s="44">
        <v>0</v>
      </c>
      <c r="G1536" s="44">
        <v>12428505</v>
      </c>
      <c r="H1536" s="44">
        <f t="shared" si="104"/>
        <v>-12428505</v>
      </c>
      <c r="M1536" t="s">
        <v>125</v>
      </c>
    </row>
    <row r="1537" spans="1:13">
      <c r="A1537" s="86">
        <v>44805</v>
      </c>
      <c r="B1537" s="82">
        <f t="shared" si="105"/>
        <v>9</v>
      </c>
      <c r="C1537">
        <f t="shared" si="108"/>
        <v>2022</v>
      </c>
      <c r="E1537" s="84" t="s">
        <v>229</v>
      </c>
      <c r="F1537" s="44">
        <v>9635000</v>
      </c>
      <c r="G1537" s="44">
        <v>0</v>
      </c>
      <c r="H1537" s="44">
        <f t="shared" si="104"/>
        <v>9635000</v>
      </c>
      <c r="M1537" t="s">
        <v>123</v>
      </c>
    </row>
    <row r="1538" spans="1:13">
      <c r="A1538" s="86">
        <v>44805</v>
      </c>
      <c r="B1538" s="82">
        <f t="shared" si="105"/>
        <v>9</v>
      </c>
      <c r="C1538">
        <f t="shared" si="108"/>
        <v>2022</v>
      </c>
      <c r="E1538" s="84" t="s">
        <v>229</v>
      </c>
      <c r="F1538" s="44">
        <v>8414000</v>
      </c>
      <c r="G1538" s="44">
        <v>0</v>
      </c>
      <c r="H1538" s="44">
        <f t="shared" ref="H1538:H1601" si="109">F1538-G1538</f>
        <v>8414000</v>
      </c>
      <c r="M1538" t="s">
        <v>124</v>
      </c>
    </row>
    <row r="1539" spans="1:13">
      <c r="A1539" s="86">
        <v>44805</v>
      </c>
      <c r="B1539" s="82">
        <f t="shared" ref="B1539:B1602" si="110">MONTH(A1539)</f>
        <v>9</v>
      </c>
      <c r="C1539">
        <f t="shared" si="108"/>
        <v>2022</v>
      </c>
      <c r="E1539" s="84" t="s">
        <v>229</v>
      </c>
      <c r="F1539" s="44">
        <v>10450885</v>
      </c>
      <c r="G1539" s="44">
        <v>0</v>
      </c>
      <c r="H1539" s="44">
        <f t="shared" si="109"/>
        <v>10450885</v>
      </c>
      <c r="M1539" t="s">
        <v>125</v>
      </c>
    </row>
    <row r="1540" spans="1:13">
      <c r="A1540" s="86">
        <v>44805</v>
      </c>
      <c r="B1540" s="82">
        <f t="shared" si="110"/>
        <v>9</v>
      </c>
      <c r="C1540">
        <f t="shared" si="108"/>
        <v>2022</v>
      </c>
      <c r="E1540" s="84" t="s">
        <v>68</v>
      </c>
      <c r="F1540" s="44">
        <v>0</v>
      </c>
      <c r="G1540" s="44">
        <v>9635000</v>
      </c>
      <c r="H1540" s="44">
        <f t="shared" si="109"/>
        <v>-9635000</v>
      </c>
      <c r="M1540" t="s">
        <v>123</v>
      </c>
    </row>
    <row r="1541" spans="1:13">
      <c r="A1541" s="86">
        <v>44805</v>
      </c>
      <c r="B1541" s="82">
        <f t="shared" si="110"/>
        <v>9</v>
      </c>
      <c r="C1541">
        <f t="shared" si="108"/>
        <v>2022</v>
      </c>
      <c r="E1541" s="84" t="s">
        <v>68</v>
      </c>
      <c r="F1541" s="44">
        <v>0</v>
      </c>
      <c r="G1541" s="44">
        <v>8414000</v>
      </c>
      <c r="H1541" s="44">
        <f t="shared" si="109"/>
        <v>-8414000</v>
      </c>
      <c r="M1541" t="s">
        <v>124</v>
      </c>
    </row>
    <row r="1542" spans="1:13">
      <c r="A1542" s="86">
        <v>44805</v>
      </c>
      <c r="B1542" s="82">
        <f t="shared" si="110"/>
        <v>9</v>
      </c>
      <c r="C1542">
        <f t="shared" si="108"/>
        <v>2022</v>
      </c>
      <c r="E1542" s="84" t="s">
        <v>68</v>
      </c>
      <c r="F1542" s="44">
        <v>0</v>
      </c>
      <c r="G1542" s="44">
        <v>10450885</v>
      </c>
      <c r="H1542" s="44">
        <f t="shared" si="109"/>
        <v>-10450885</v>
      </c>
      <c r="M1542" t="s">
        <v>125</v>
      </c>
    </row>
    <row r="1543" spans="1:13">
      <c r="A1543" s="86">
        <v>44835</v>
      </c>
      <c r="B1543" s="82">
        <f t="shared" si="110"/>
        <v>10</v>
      </c>
      <c r="C1543">
        <f t="shared" si="108"/>
        <v>2022</v>
      </c>
      <c r="E1543" s="84" t="s">
        <v>229</v>
      </c>
      <c r="F1543" s="44">
        <v>8065000</v>
      </c>
      <c r="G1543" s="44">
        <v>0</v>
      </c>
      <c r="H1543" s="44">
        <f t="shared" si="109"/>
        <v>8065000</v>
      </c>
      <c r="M1543" t="s">
        <v>123</v>
      </c>
    </row>
    <row r="1544" spans="1:13">
      <c r="A1544" s="86">
        <v>44835</v>
      </c>
      <c r="B1544" s="82">
        <f t="shared" si="110"/>
        <v>10</v>
      </c>
      <c r="C1544">
        <f t="shared" si="108"/>
        <v>2022</v>
      </c>
      <c r="E1544" s="84" t="s">
        <v>229</v>
      </c>
      <c r="F1544" s="44">
        <v>10724000</v>
      </c>
      <c r="G1544" s="44">
        <v>0</v>
      </c>
      <c r="H1544" s="44">
        <f t="shared" si="109"/>
        <v>10724000</v>
      </c>
      <c r="M1544" t="s">
        <v>124</v>
      </c>
    </row>
    <row r="1545" spans="1:13">
      <c r="A1545" s="86">
        <v>44835</v>
      </c>
      <c r="B1545" s="82">
        <f t="shared" si="110"/>
        <v>10</v>
      </c>
      <c r="C1545">
        <f t="shared" si="108"/>
        <v>2022</v>
      </c>
      <c r="E1545" s="84" t="s">
        <v>229</v>
      </c>
      <c r="F1545" s="44">
        <v>10854580</v>
      </c>
      <c r="G1545" s="44">
        <v>0</v>
      </c>
      <c r="H1545" s="44">
        <f t="shared" si="109"/>
        <v>10854580</v>
      </c>
      <c r="M1545" t="s">
        <v>125</v>
      </c>
    </row>
    <row r="1546" spans="1:13">
      <c r="A1546" s="86">
        <v>44835</v>
      </c>
      <c r="B1546" s="82">
        <f t="shared" si="110"/>
        <v>10</v>
      </c>
      <c r="C1546">
        <f t="shared" si="108"/>
        <v>2022</v>
      </c>
      <c r="E1546" s="84" t="s">
        <v>68</v>
      </c>
      <c r="F1546" s="44">
        <v>0</v>
      </c>
      <c r="G1546" s="44">
        <v>8065000</v>
      </c>
      <c r="H1546" s="44">
        <f t="shared" si="109"/>
        <v>-8065000</v>
      </c>
      <c r="M1546" t="s">
        <v>123</v>
      </c>
    </row>
    <row r="1547" spans="1:13">
      <c r="A1547" s="86">
        <v>44835</v>
      </c>
      <c r="B1547" s="82">
        <f t="shared" si="110"/>
        <v>10</v>
      </c>
      <c r="C1547">
        <f t="shared" si="108"/>
        <v>2022</v>
      </c>
      <c r="E1547" s="84" t="s">
        <v>68</v>
      </c>
      <c r="F1547" s="44">
        <v>0</v>
      </c>
      <c r="G1547" s="44">
        <v>10724000</v>
      </c>
      <c r="H1547" s="44">
        <f t="shared" si="109"/>
        <v>-10724000</v>
      </c>
      <c r="M1547" t="s">
        <v>124</v>
      </c>
    </row>
    <row r="1548" spans="1:13">
      <c r="A1548" s="86">
        <v>44835</v>
      </c>
      <c r="B1548" s="82">
        <f t="shared" si="110"/>
        <v>10</v>
      </c>
      <c r="C1548">
        <f t="shared" si="108"/>
        <v>2022</v>
      </c>
      <c r="E1548" s="84" t="s">
        <v>68</v>
      </c>
      <c r="F1548" s="44">
        <v>0</v>
      </c>
      <c r="G1548" s="44">
        <v>10854580</v>
      </c>
      <c r="H1548" s="44">
        <f t="shared" si="109"/>
        <v>-10854580</v>
      </c>
      <c r="M1548" t="s">
        <v>125</v>
      </c>
    </row>
    <row r="1549" spans="1:13">
      <c r="A1549" s="86">
        <v>44866</v>
      </c>
      <c r="B1549" s="82">
        <f t="shared" si="110"/>
        <v>11</v>
      </c>
      <c r="C1549">
        <f t="shared" si="108"/>
        <v>2022</v>
      </c>
      <c r="E1549" s="84" t="s">
        <v>229</v>
      </c>
      <c r="F1549" s="44">
        <v>11510000</v>
      </c>
      <c r="G1549" s="44">
        <v>0</v>
      </c>
      <c r="H1549" s="44">
        <f t="shared" si="109"/>
        <v>11510000</v>
      </c>
      <c r="M1549" t="s">
        <v>123</v>
      </c>
    </row>
    <row r="1550" spans="1:13">
      <c r="A1550" s="86">
        <v>44866</v>
      </c>
      <c r="B1550" s="82">
        <f t="shared" si="110"/>
        <v>11</v>
      </c>
      <c r="C1550">
        <f t="shared" si="108"/>
        <v>2022</v>
      </c>
      <c r="E1550" s="84" t="s">
        <v>229</v>
      </c>
      <c r="F1550" s="44">
        <v>8524000</v>
      </c>
      <c r="G1550" s="44">
        <v>0</v>
      </c>
      <c r="H1550" s="44">
        <f t="shared" si="109"/>
        <v>8524000</v>
      </c>
      <c r="M1550" t="s">
        <v>124</v>
      </c>
    </row>
    <row r="1551" spans="1:13">
      <c r="A1551" s="86">
        <v>44866</v>
      </c>
      <c r="B1551" s="82">
        <f t="shared" si="110"/>
        <v>11</v>
      </c>
      <c r="C1551">
        <f t="shared" si="108"/>
        <v>2022</v>
      </c>
      <c r="E1551" s="84" t="s">
        <v>229</v>
      </c>
      <c r="F1551" s="44">
        <v>10134580</v>
      </c>
      <c r="G1551" s="44">
        <v>0</v>
      </c>
      <c r="H1551" s="44">
        <f t="shared" si="109"/>
        <v>10134580</v>
      </c>
      <c r="M1551" t="s">
        <v>125</v>
      </c>
    </row>
    <row r="1552" spans="1:13">
      <c r="A1552" s="86">
        <v>44866</v>
      </c>
      <c r="B1552" s="82">
        <f t="shared" si="110"/>
        <v>11</v>
      </c>
      <c r="C1552">
        <f t="shared" si="108"/>
        <v>2022</v>
      </c>
      <c r="E1552" s="84" t="s">
        <v>68</v>
      </c>
      <c r="F1552" s="44">
        <v>0</v>
      </c>
      <c r="G1552" s="44">
        <v>11510000</v>
      </c>
      <c r="H1552" s="44">
        <f t="shared" si="109"/>
        <v>-11510000</v>
      </c>
      <c r="M1552" t="s">
        <v>123</v>
      </c>
    </row>
    <row r="1553" spans="1:13">
      <c r="A1553" s="86">
        <v>44866</v>
      </c>
      <c r="B1553" s="82">
        <f t="shared" si="110"/>
        <v>11</v>
      </c>
      <c r="C1553">
        <f t="shared" si="108"/>
        <v>2022</v>
      </c>
      <c r="E1553" s="84" t="s">
        <v>68</v>
      </c>
      <c r="F1553" s="44">
        <v>0</v>
      </c>
      <c r="G1553" s="44">
        <v>8524000</v>
      </c>
      <c r="H1553" s="44">
        <f t="shared" si="109"/>
        <v>-8524000</v>
      </c>
      <c r="M1553" t="s">
        <v>124</v>
      </c>
    </row>
    <row r="1554" spans="1:13">
      <c r="A1554" s="86">
        <v>44866</v>
      </c>
      <c r="B1554" s="82">
        <f t="shared" si="110"/>
        <v>11</v>
      </c>
      <c r="C1554">
        <f t="shared" si="108"/>
        <v>2022</v>
      </c>
      <c r="E1554" s="84" t="s">
        <v>68</v>
      </c>
      <c r="F1554" s="44">
        <v>0</v>
      </c>
      <c r="G1554" s="44">
        <v>10134580</v>
      </c>
      <c r="H1554" s="44">
        <f t="shared" si="109"/>
        <v>-10134580</v>
      </c>
      <c r="M1554" t="s">
        <v>125</v>
      </c>
    </row>
    <row r="1555" spans="1:13">
      <c r="A1555" s="86">
        <v>44896</v>
      </c>
      <c r="B1555" s="82">
        <f t="shared" si="110"/>
        <v>12</v>
      </c>
      <c r="C1555">
        <f t="shared" si="108"/>
        <v>2022</v>
      </c>
      <c r="E1555" s="84" t="s">
        <v>229</v>
      </c>
      <c r="F1555" s="44">
        <v>10580000</v>
      </c>
      <c r="G1555" s="44">
        <v>0</v>
      </c>
      <c r="H1555" s="44">
        <f t="shared" si="109"/>
        <v>10580000</v>
      </c>
      <c r="M1555" t="s">
        <v>123</v>
      </c>
    </row>
    <row r="1556" spans="1:13">
      <c r="A1556" s="86">
        <v>44896</v>
      </c>
      <c r="B1556" s="82">
        <f t="shared" si="110"/>
        <v>12</v>
      </c>
      <c r="C1556">
        <f t="shared" si="108"/>
        <v>2022</v>
      </c>
      <c r="E1556" s="84" t="s">
        <v>229</v>
      </c>
      <c r="F1556" s="44">
        <v>8524000</v>
      </c>
      <c r="G1556" s="44">
        <v>0</v>
      </c>
      <c r="H1556" s="44">
        <f t="shared" si="109"/>
        <v>8524000</v>
      </c>
      <c r="M1556" t="s">
        <v>124</v>
      </c>
    </row>
    <row r="1557" spans="1:13">
      <c r="A1557" s="86">
        <v>44896</v>
      </c>
      <c r="B1557" s="82">
        <f t="shared" si="110"/>
        <v>12</v>
      </c>
      <c r="C1557">
        <f t="shared" si="108"/>
        <v>2022</v>
      </c>
      <c r="E1557" s="84" t="s">
        <v>229</v>
      </c>
      <c r="F1557" s="44">
        <v>9845770</v>
      </c>
      <c r="G1557" s="44">
        <v>0</v>
      </c>
      <c r="H1557" s="44">
        <f t="shared" si="109"/>
        <v>9845770</v>
      </c>
      <c r="M1557" t="s">
        <v>125</v>
      </c>
    </row>
    <row r="1558" spans="1:13">
      <c r="A1558" s="86">
        <v>44896</v>
      </c>
      <c r="B1558" s="82">
        <f t="shared" si="110"/>
        <v>12</v>
      </c>
      <c r="C1558">
        <f t="shared" si="108"/>
        <v>2022</v>
      </c>
      <c r="E1558" s="84" t="s">
        <v>68</v>
      </c>
      <c r="F1558" s="44">
        <v>0</v>
      </c>
      <c r="G1558" s="44">
        <v>10580000</v>
      </c>
      <c r="H1558" s="44">
        <f t="shared" si="109"/>
        <v>-10580000</v>
      </c>
      <c r="M1558" t="s">
        <v>123</v>
      </c>
    </row>
    <row r="1559" spans="1:13">
      <c r="A1559" s="86">
        <v>44896</v>
      </c>
      <c r="B1559" s="82">
        <f t="shared" si="110"/>
        <v>12</v>
      </c>
      <c r="C1559">
        <f t="shared" si="108"/>
        <v>2022</v>
      </c>
      <c r="E1559" s="84" t="s">
        <v>68</v>
      </c>
      <c r="F1559" s="44">
        <v>0</v>
      </c>
      <c r="G1559" s="44">
        <v>8524000</v>
      </c>
      <c r="H1559" s="44">
        <f t="shared" si="109"/>
        <v>-8524000</v>
      </c>
      <c r="M1559" t="s">
        <v>124</v>
      </c>
    </row>
    <row r="1560" spans="1:13">
      <c r="A1560" s="86">
        <v>44896</v>
      </c>
      <c r="B1560" s="82">
        <f t="shared" si="110"/>
        <v>12</v>
      </c>
      <c r="C1560">
        <f t="shared" ref="C1560:C1568" si="111">YEAR(A1560)</f>
        <v>2022</v>
      </c>
      <c r="E1560" s="84" t="s">
        <v>68</v>
      </c>
      <c r="F1560" s="44">
        <v>0</v>
      </c>
      <c r="G1560" s="44">
        <v>9845770</v>
      </c>
      <c r="H1560" s="44">
        <f t="shared" si="109"/>
        <v>-9845770</v>
      </c>
      <c r="M1560" t="s">
        <v>125</v>
      </c>
    </row>
    <row r="1561" spans="1:13">
      <c r="A1561" s="86">
        <v>44833</v>
      </c>
      <c r="B1561" s="82">
        <f t="shared" si="110"/>
        <v>9</v>
      </c>
      <c r="C1561">
        <f t="shared" si="111"/>
        <v>2022</v>
      </c>
      <c r="D1561" s="86"/>
      <c r="E1561" s="84" t="s">
        <v>97</v>
      </c>
      <c r="G1561" s="44">
        <v>444024</v>
      </c>
      <c r="H1561" s="44">
        <f t="shared" si="109"/>
        <v>-444024</v>
      </c>
      <c r="L1561" s="29" t="s">
        <v>14</v>
      </c>
      <c r="M1561" s="29" t="s">
        <v>40</v>
      </c>
    </row>
    <row r="1562" spans="1:13">
      <c r="A1562" s="86">
        <v>44861</v>
      </c>
      <c r="B1562" s="82">
        <f t="shared" si="110"/>
        <v>10</v>
      </c>
      <c r="C1562">
        <f t="shared" si="111"/>
        <v>2022</v>
      </c>
      <c r="E1562" s="84" t="s">
        <v>97</v>
      </c>
      <c r="F1562" s="44">
        <v>173664</v>
      </c>
      <c r="H1562" s="44">
        <f t="shared" si="109"/>
        <v>173664</v>
      </c>
      <c r="L1562" s="29" t="s">
        <v>14</v>
      </c>
      <c r="M1562" s="29" t="s">
        <v>40</v>
      </c>
    </row>
    <row r="1563" spans="1:13">
      <c r="A1563" s="86">
        <v>44883</v>
      </c>
      <c r="B1563" s="82">
        <f t="shared" si="110"/>
        <v>11</v>
      </c>
      <c r="C1563">
        <f t="shared" si="111"/>
        <v>2022</v>
      </c>
      <c r="E1563" s="84" t="s">
        <v>97</v>
      </c>
      <c r="F1563" s="44">
        <v>846141</v>
      </c>
      <c r="H1563" s="44">
        <f t="shared" si="109"/>
        <v>846141</v>
      </c>
      <c r="L1563" s="29" t="s">
        <v>14</v>
      </c>
      <c r="M1563" s="29" t="s">
        <v>40</v>
      </c>
    </row>
    <row r="1564" spans="1:13">
      <c r="A1564" s="86">
        <v>44919</v>
      </c>
      <c r="B1564" s="82">
        <f t="shared" si="110"/>
        <v>12</v>
      </c>
      <c r="C1564">
        <f t="shared" si="111"/>
        <v>2022</v>
      </c>
      <c r="D1564" s="86"/>
      <c r="E1564" s="84" t="s">
        <v>97</v>
      </c>
      <c r="F1564" s="44">
        <v>369024</v>
      </c>
      <c r="H1564" s="44">
        <f t="shared" si="109"/>
        <v>369024</v>
      </c>
      <c r="L1564" s="29" t="s">
        <v>14</v>
      </c>
      <c r="M1564" s="29" t="s">
        <v>40</v>
      </c>
    </row>
    <row r="1565" spans="1:13">
      <c r="A1565" s="86">
        <v>44923</v>
      </c>
      <c r="B1565" s="82">
        <f t="shared" si="110"/>
        <v>12</v>
      </c>
      <c r="C1565">
        <f t="shared" si="111"/>
        <v>2022</v>
      </c>
      <c r="D1565" s="86"/>
      <c r="E1565" s="84" t="s">
        <v>97</v>
      </c>
      <c r="G1565" s="44">
        <v>846141</v>
      </c>
      <c r="H1565" s="44">
        <f t="shared" si="109"/>
        <v>-846141</v>
      </c>
      <c r="L1565" s="29" t="s">
        <v>14</v>
      </c>
      <c r="M1565" s="29" t="s">
        <v>40</v>
      </c>
    </row>
    <row r="1566" spans="1:13">
      <c r="A1566" s="86">
        <v>44924</v>
      </c>
      <c r="B1566" s="82">
        <f t="shared" si="110"/>
        <v>12</v>
      </c>
      <c r="C1566">
        <f t="shared" si="111"/>
        <v>2022</v>
      </c>
      <c r="D1566" s="86"/>
      <c r="E1566" s="84" t="s">
        <v>97</v>
      </c>
      <c r="G1566" s="44">
        <v>383184</v>
      </c>
      <c r="H1566" s="44">
        <f t="shared" si="109"/>
        <v>-383184</v>
      </c>
      <c r="L1566" s="29" t="s">
        <v>14</v>
      </c>
      <c r="M1566" s="29" t="s">
        <v>40</v>
      </c>
    </row>
    <row r="1567" spans="1:13">
      <c r="A1567" s="86">
        <v>44954</v>
      </c>
      <c r="B1567" s="82">
        <f t="shared" si="110"/>
        <v>1</v>
      </c>
      <c r="C1567">
        <f t="shared" si="111"/>
        <v>2023</v>
      </c>
      <c r="D1567" s="86"/>
      <c r="E1567" s="84" t="s">
        <v>97</v>
      </c>
      <c r="G1567" s="44">
        <v>173664</v>
      </c>
      <c r="H1567" s="44">
        <f t="shared" si="109"/>
        <v>-173664</v>
      </c>
      <c r="L1567" s="29" t="s">
        <v>14</v>
      </c>
      <c r="M1567" s="29" t="s">
        <v>40</v>
      </c>
    </row>
    <row r="1568" spans="1:13">
      <c r="A1568" s="86">
        <v>45011</v>
      </c>
      <c r="B1568" s="82">
        <f t="shared" si="110"/>
        <v>3</v>
      </c>
      <c r="C1568">
        <f t="shared" si="111"/>
        <v>2023</v>
      </c>
      <c r="D1568" s="86"/>
      <c r="E1568" s="84" t="s">
        <v>97</v>
      </c>
      <c r="G1568" s="44">
        <v>369024</v>
      </c>
      <c r="H1568" s="44">
        <f t="shared" si="109"/>
        <v>-369024</v>
      </c>
      <c r="L1568" s="29" t="s">
        <v>14</v>
      </c>
      <c r="M1568" s="29" t="s">
        <v>40</v>
      </c>
    </row>
    <row r="1569" spans="1:13">
      <c r="A1569" s="86">
        <v>44593</v>
      </c>
      <c r="B1569" s="82">
        <f t="shared" si="110"/>
        <v>2</v>
      </c>
      <c r="C1569">
        <f t="shared" ref="C1569:C1632" si="112">YEAR(A1569)</f>
        <v>2022</v>
      </c>
      <c r="E1569" t="s">
        <v>97</v>
      </c>
      <c r="F1569" s="111">
        <v>4248900</v>
      </c>
      <c r="H1569" s="44">
        <f t="shared" si="109"/>
        <v>4248900</v>
      </c>
      <c r="I1569"/>
      <c r="M1569" s="44" t="s">
        <v>39</v>
      </c>
    </row>
    <row r="1570" spans="1:13">
      <c r="A1570" s="86">
        <v>44593</v>
      </c>
      <c r="B1570" s="82">
        <f t="shared" si="110"/>
        <v>2</v>
      </c>
      <c r="C1570">
        <f t="shared" si="112"/>
        <v>2022</v>
      </c>
      <c r="E1570" t="s">
        <v>97</v>
      </c>
      <c r="F1570" s="111">
        <v>1110474</v>
      </c>
      <c r="H1570" s="44">
        <f t="shared" si="109"/>
        <v>1110474</v>
      </c>
      <c r="I1570"/>
      <c r="M1570" s="44" t="s">
        <v>35</v>
      </c>
    </row>
    <row r="1571" spans="1:13">
      <c r="A1571" s="86">
        <v>44593</v>
      </c>
      <c r="B1571" s="82">
        <f t="shared" si="110"/>
        <v>2</v>
      </c>
      <c r="C1571">
        <f t="shared" si="112"/>
        <v>2022</v>
      </c>
      <c r="E1571" t="s">
        <v>97</v>
      </c>
      <c r="F1571" s="111">
        <v>872984</v>
      </c>
      <c r="H1571" s="44">
        <f t="shared" si="109"/>
        <v>872984</v>
      </c>
      <c r="I1571"/>
      <c r="M1571" s="44" t="s">
        <v>31</v>
      </c>
    </row>
    <row r="1572" spans="1:13">
      <c r="A1572" s="86">
        <v>44593</v>
      </c>
      <c r="B1572" s="82">
        <f t="shared" si="110"/>
        <v>2</v>
      </c>
      <c r="C1572">
        <f t="shared" si="112"/>
        <v>2022</v>
      </c>
      <c r="E1572" t="s">
        <v>97</v>
      </c>
      <c r="F1572" s="111">
        <v>601126</v>
      </c>
      <c r="H1572" s="44">
        <f t="shared" si="109"/>
        <v>601126</v>
      </c>
      <c r="I1572"/>
      <c r="M1572" s="44" t="s">
        <v>40</v>
      </c>
    </row>
    <row r="1573" spans="1:13">
      <c r="A1573" s="86">
        <v>44593</v>
      </c>
      <c r="B1573" s="82">
        <f t="shared" si="110"/>
        <v>2</v>
      </c>
      <c r="C1573">
        <f t="shared" si="112"/>
        <v>2022</v>
      </c>
      <c r="E1573" t="s">
        <v>97</v>
      </c>
      <c r="F1573" s="111">
        <v>2644640</v>
      </c>
      <c r="H1573" s="44">
        <f t="shared" si="109"/>
        <v>2644640</v>
      </c>
      <c r="I1573"/>
      <c r="M1573" s="44" t="s">
        <v>36</v>
      </c>
    </row>
    <row r="1574" spans="1:13">
      <c r="A1574" s="86">
        <v>44593</v>
      </c>
      <c r="B1574" s="82">
        <f t="shared" si="110"/>
        <v>2</v>
      </c>
      <c r="C1574">
        <f t="shared" si="112"/>
        <v>2022</v>
      </c>
      <c r="E1574" t="s">
        <v>97</v>
      </c>
      <c r="F1574" s="111">
        <v>1115827</v>
      </c>
      <c r="H1574" s="44">
        <f t="shared" si="109"/>
        <v>1115827</v>
      </c>
      <c r="I1574"/>
      <c r="M1574" s="44" t="s">
        <v>32</v>
      </c>
    </row>
    <row r="1575" spans="1:13">
      <c r="A1575" s="86">
        <v>44593</v>
      </c>
      <c r="B1575" s="82">
        <f t="shared" si="110"/>
        <v>2</v>
      </c>
      <c r="C1575">
        <f t="shared" si="112"/>
        <v>2022</v>
      </c>
      <c r="E1575" t="s">
        <v>97</v>
      </c>
      <c r="F1575" s="111">
        <v>550988</v>
      </c>
      <c r="H1575" s="44">
        <f t="shared" si="109"/>
        <v>550988</v>
      </c>
      <c r="I1575"/>
      <c r="M1575" s="44" t="s">
        <v>37</v>
      </c>
    </row>
    <row r="1576" spans="1:13">
      <c r="A1576" s="86">
        <v>44593</v>
      </c>
      <c r="B1576" s="82">
        <f t="shared" si="110"/>
        <v>2</v>
      </c>
      <c r="C1576">
        <f t="shared" si="112"/>
        <v>2022</v>
      </c>
      <c r="E1576" t="s">
        <v>97</v>
      </c>
      <c r="F1576" s="111">
        <v>1756304</v>
      </c>
      <c r="H1576" s="44">
        <f t="shared" si="109"/>
        <v>1756304</v>
      </c>
      <c r="I1576"/>
      <c r="M1576" s="44" t="s">
        <v>33</v>
      </c>
    </row>
    <row r="1577" spans="1:13">
      <c r="A1577" s="86">
        <v>44593</v>
      </c>
      <c r="B1577" s="82">
        <f t="shared" si="110"/>
        <v>2</v>
      </c>
      <c r="C1577">
        <f t="shared" si="112"/>
        <v>2022</v>
      </c>
      <c r="E1577" t="s">
        <v>97</v>
      </c>
      <c r="F1577" s="111">
        <v>1005360</v>
      </c>
      <c r="H1577" s="44">
        <f t="shared" si="109"/>
        <v>1005360</v>
      </c>
      <c r="I1577"/>
      <c r="M1577" s="44" t="s">
        <v>38</v>
      </c>
    </row>
    <row r="1578" spans="1:13">
      <c r="A1578" s="86">
        <v>44593</v>
      </c>
      <c r="B1578" s="82">
        <f t="shared" si="110"/>
        <v>2</v>
      </c>
      <c r="C1578">
        <f t="shared" si="112"/>
        <v>2022</v>
      </c>
      <c r="E1578" t="s">
        <v>97</v>
      </c>
      <c r="F1578" s="111">
        <v>1839104</v>
      </c>
      <c r="H1578" s="44">
        <f t="shared" si="109"/>
        <v>1839104</v>
      </c>
      <c r="I1578"/>
      <c r="M1578" s="44" t="s">
        <v>34</v>
      </c>
    </row>
    <row r="1579" spans="1:13">
      <c r="A1579" s="86">
        <v>44621</v>
      </c>
      <c r="B1579" s="82">
        <f t="shared" si="110"/>
        <v>3</v>
      </c>
      <c r="C1579">
        <f t="shared" si="112"/>
        <v>2022</v>
      </c>
      <c r="E1579" t="s">
        <v>97</v>
      </c>
      <c r="F1579" s="111">
        <v>6673173</v>
      </c>
      <c r="H1579" s="44">
        <f t="shared" si="109"/>
        <v>6673173</v>
      </c>
      <c r="I1579"/>
      <c r="M1579" s="44" t="s">
        <v>39</v>
      </c>
    </row>
    <row r="1580" spans="1:13">
      <c r="A1580" s="86">
        <v>44621</v>
      </c>
      <c r="B1580" s="82">
        <f t="shared" si="110"/>
        <v>3</v>
      </c>
      <c r="C1580">
        <f t="shared" si="112"/>
        <v>2022</v>
      </c>
      <c r="E1580" t="s">
        <v>97</v>
      </c>
      <c r="F1580" s="111">
        <v>3125394</v>
      </c>
      <c r="H1580" s="44">
        <f t="shared" si="109"/>
        <v>3125394</v>
      </c>
      <c r="I1580"/>
      <c r="M1580" s="44" t="s">
        <v>35</v>
      </c>
    </row>
    <row r="1581" spans="1:13">
      <c r="A1581" s="86">
        <v>44621</v>
      </c>
      <c r="B1581" s="82">
        <f t="shared" si="110"/>
        <v>3</v>
      </c>
      <c r="C1581">
        <f t="shared" si="112"/>
        <v>2022</v>
      </c>
      <c r="E1581" t="s">
        <v>97</v>
      </c>
      <c r="F1581" s="111">
        <v>1898699</v>
      </c>
      <c r="H1581" s="44">
        <f t="shared" si="109"/>
        <v>1898699</v>
      </c>
      <c r="I1581"/>
      <c r="M1581" s="44" t="s">
        <v>31</v>
      </c>
    </row>
    <row r="1582" spans="1:13">
      <c r="A1582" s="86">
        <v>44621</v>
      </c>
      <c r="B1582" s="82">
        <f t="shared" si="110"/>
        <v>3</v>
      </c>
      <c r="C1582">
        <f t="shared" si="112"/>
        <v>2022</v>
      </c>
      <c r="E1582" t="s">
        <v>97</v>
      </c>
      <c r="F1582" s="111">
        <v>273400</v>
      </c>
      <c r="H1582" s="44">
        <f t="shared" si="109"/>
        <v>273400</v>
      </c>
      <c r="I1582"/>
      <c r="M1582" s="44" t="s">
        <v>40</v>
      </c>
    </row>
    <row r="1583" spans="1:13">
      <c r="A1583" s="86">
        <v>44621</v>
      </c>
      <c r="B1583" s="82">
        <f t="shared" si="110"/>
        <v>3</v>
      </c>
      <c r="C1583">
        <f t="shared" si="112"/>
        <v>2022</v>
      </c>
      <c r="E1583" t="s">
        <v>97</v>
      </c>
      <c r="F1583" s="111">
        <v>3993022</v>
      </c>
      <c r="H1583" s="44">
        <f t="shared" si="109"/>
        <v>3993022</v>
      </c>
      <c r="I1583"/>
      <c r="M1583" s="44" t="s">
        <v>36</v>
      </c>
    </row>
    <row r="1584" spans="1:13">
      <c r="A1584" s="86">
        <v>44621</v>
      </c>
      <c r="B1584" s="82">
        <f t="shared" si="110"/>
        <v>3</v>
      </c>
      <c r="C1584">
        <f t="shared" si="112"/>
        <v>2022</v>
      </c>
      <c r="E1584" t="s">
        <v>97</v>
      </c>
      <c r="F1584" s="111">
        <v>2943565</v>
      </c>
      <c r="H1584" s="44">
        <f t="shared" si="109"/>
        <v>2943565</v>
      </c>
      <c r="I1584"/>
      <c r="M1584" s="44" t="s">
        <v>32</v>
      </c>
    </row>
    <row r="1585" spans="1:13">
      <c r="A1585" s="86">
        <v>44621</v>
      </c>
      <c r="B1585" s="82">
        <f t="shared" si="110"/>
        <v>3</v>
      </c>
      <c r="C1585">
        <f t="shared" si="112"/>
        <v>2022</v>
      </c>
      <c r="E1585" t="s">
        <v>97</v>
      </c>
      <c r="F1585" s="111">
        <v>1034759</v>
      </c>
      <c r="H1585" s="44">
        <f t="shared" si="109"/>
        <v>1034759</v>
      </c>
      <c r="I1585"/>
      <c r="M1585" s="44" t="s">
        <v>37</v>
      </c>
    </row>
    <row r="1586" spans="1:13">
      <c r="A1586" s="86">
        <v>44621</v>
      </c>
      <c r="B1586" s="82">
        <f t="shared" si="110"/>
        <v>3</v>
      </c>
      <c r="C1586">
        <f t="shared" si="112"/>
        <v>2022</v>
      </c>
      <c r="E1586" t="s">
        <v>97</v>
      </c>
      <c r="F1586" s="111">
        <v>3038564</v>
      </c>
      <c r="H1586" s="44">
        <f t="shared" si="109"/>
        <v>3038564</v>
      </c>
      <c r="I1586"/>
      <c r="M1586" s="44" t="s">
        <v>33</v>
      </c>
    </row>
    <row r="1587" spans="1:13">
      <c r="A1587" s="86">
        <v>44621</v>
      </c>
      <c r="B1587" s="82">
        <f t="shared" si="110"/>
        <v>3</v>
      </c>
      <c r="C1587">
        <f t="shared" si="112"/>
        <v>2022</v>
      </c>
      <c r="E1587" t="s">
        <v>97</v>
      </c>
      <c r="F1587" s="111">
        <v>1548704</v>
      </c>
      <c r="H1587" s="44">
        <f t="shared" si="109"/>
        <v>1548704</v>
      </c>
      <c r="I1587"/>
      <c r="M1587" s="44" t="s">
        <v>38</v>
      </c>
    </row>
    <row r="1588" spans="1:13">
      <c r="A1588" s="86">
        <v>44621</v>
      </c>
      <c r="B1588" s="82">
        <f t="shared" si="110"/>
        <v>3</v>
      </c>
      <c r="C1588">
        <f t="shared" si="112"/>
        <v>2022</v>
      </c>
      <c r="E1588" t="s">
        <v>97</v>
      </c>
      <c r="F1588" s="111">
        <v>3341768</v>
      </c>
      <c r="H1588" s="44">
        <f t="shared" si="109"/>
        <v>3341768</v>
      </c>
      <c r="I1588"/>
      <c r="M1588" s="44" t="s">
        <v>34</v>
      </c>
    </row>
    <row r="1589" spans="1:13">
      <c r="A1589" s="86">
        <v>44652</v>
      </c>
      <c r="B1589" s="82">
        <f t="shared" si="110"/>
        <v>4</v>
      </c>
      <c r="C1589">
        <f t="shared" si="112"/>
        <v>2022</v>
      </c>
      <c r="E1589" t="s">
        <v>97</v>
      </c>
      <c r="F1589" s="111">
        <v>10445751</v>
      </c>
      <c r="H1589" s="44">
        <f t="shared" si="109"/>
        <v>10445751</v>
      </c>
      <c r="I1589"/>
      <c r="M1589" s="44" t="s">
        <v>39</v>
      </c>
    </row>
    <row r="1590" spans="1:13">
      <c r="A1590" s="86">
        <v>44652</v>
      </c>
      <c r="B1590" s="82">
        <f t="shared" si="110"/>
        <v>4</v>
      </c>
      <c r="C1590">
        <f t="shared" si="112"/>
        <v>2022</v>
      </c>
      <c r="E1590" t="s">
        <v>97</v>
      </c>
      <c r="F1590" s="111">
        <v>2387086</v>
      </c>
      <c r="H1590" s="44">
        <f t="shared" si="109"/>
        <v>2387086</v>
      </c>
      <c r="I1590"/>
      <c r="M1590" s="44" t="s">
        <v>35</v>
      </c>
    </row>
    <row r="1591" spans="1:13">
      <c r="A1591" s="86">
        <v>44652</v>
      </c>
      <c r="B1591" s="82">
        <f t="shared" si="110"/>
        <v>4</v>
      </c>
      <c r="C1591">
        <f t="shared" si="112"/>
        <v>2022</v>
      </c>
      <c r="E1591" t="s">
        <v>97</v>
      </c>
      <c r="F1591" s="111">
        <v>2949661</v>
      </c>
      <c r="H1591" s="44">
        <f t="shared" si="109"/>
        <v>2949661</v>
      </c>
      <c r="I1591"/>
      <c r="M1591" s="44" t="s">
        <v>31</v>
      </c>
    </row>
    <row r="1592" spans="1:13">
      <c r="A1592" s="86">
        <v>44652</v>
      </c>
      <c r="B1592" s="82">
        <f t="shared" si="110"/>
        <v>4</v>
      </c>
      <c r="C1592">
        <f t="shared" si="112"/>
        <v>2022</v>
      </c>
      <c r="E1592" t="s">
        <v>97</v>
      </c>
      <c r="F1592" s="111">
        <v>1491121</v>
      </c>
      <c r="H1592" s="44">
        <f t="shared" si="109"/>
        <v>1491121</v>
      </c>
      <c r="I1592"/>
      <c r="M1592" s="44" t="s">
        <v>40</v>
      </c>
    </row>
    <row r="1593" spans="1:13">
      <c r="A1593" s="86">
        <v>44652</v>
      </c>
      <c r="B1593" s="82">
        <f t="shared" si="110"/>
        <v>4</v>
      </c>
      <c r="C1593">
        <f t="shared" si="112"/>
        <v>2022</v>
      </c>
      <c r="E1593" t="s">
        <v>97</v>
      </c>
      <c r="F1593" s="111">
        <v>4209532</v>
      </c>
      <c r="H1593" s="44">
        <f t="shared" si="109"/>
        <v>4209532</v>
      </c>
      <c r="I1593"/>
      <c r="M1593" s="44" t="s">
        <v>36</v>
      </c>
    </row>
    <row r="1594" spans="1:13">
      <c r="A1594" s="86">
        <v>44652</v>
      </c>
      <c r="B1594" s="82">
        <f t="shared" si="110"/>
        <v>4</v>
      </c>
      <c r="C1594">
        <f t="shared" si="112"/>
        <v>2022</v>
      </c>
      <c r="E1594" t="s">
        <v>97</v>
      </c>
      <c r="F1594" s="111">
        <v>3365422</v>
      </c>
      <c r="H1594" s="44">
        <f t="shared" si="109"/>
        <v>3365422</v>
      </c>
      <c r="I1594"/>
      <c r="M1594" s="44" t="s">
        <v>32</v>
      </c>
    </row>
    <row r="1595" spans="1:13">
      <c r="A1595" s="86">
        <v>44652</v>
      </c>
      <c r="B1595" s="82">
        <f t="shared" si="110"/>
        <v>4</v>
      </c>
      <c r="C1595">
        <f t="shared" si="112"/>
        <v>2022</v>
      </c>
      <c r="E1595" t="s">
        <v>97</v>
      </c>
      <c r="F1595" s="111">
        <v>1069643</v>
      </c>
      <c r="H1595" s="44">
        <f t="shared" si="109"/>
        <v>1069643</v>
      </c>
      <c r="I1595"/>
      <c r="M1595" s="44" t="s">
        <v>37</v>
      </c>
    </row>
    <row r="1596" spans="1:13">
      <c r="A1596" s="86">
        <v>44652</v>
      </c>
      <c r="B1596" s="82">
        <f t="shared" si="110"/>
        <v>4</v>
      </c>
      <c r="C1596">
        <f t="shared" si="112"/>
        <v>2022</v>
      </c>
      <c r="E1596" t="s">
        <v>97</v>
      </c>
      <c r="F1596" s="111">
        <v>3485542</v>
      </c>
      <c r="H1596" s="44">
        <f t="shared" si="109"/>
        <v>3485542</v>
      </c>
      <c r="I1596"/>
      <c r="M1596" s="44" t="s">
        <v>33</v>
      </c>
    </row>
    <row r="1597" spans="1:13">
      <c r="A1597" s="86">
        <v>44652</v>
      </c>
      <c r="B1597" s="82">
        <f t="shared" si="110"/>
        <v>4</v>
      </c>
      <c r="C1597">
        <f t="shared" si="112"/>
        <v>2022</v>
      </c>
      <c r="E1597" t="s">
        <v>97</v>
      </c>
      <c r="F1597" s="111">
        <v>2951664</v>
      </c>
      <c r="H1597" s="44">
        <f t="shared" si="109"/>
        <v>2951664</v>
      </c>
      <c r="I1597"/>
      <c r="M1597" s="44" t="s">
        <v>38</v>
      </c>
    </row>
    <row r="1598" spans="1:13">
      <c r="A1598" s="86">
        <v>44652</v>
      </c>
      <c r="B1598" s="82">
        <f t="shared" si="110"/>
        <v>4</v>
      </c>
      <c r="C1598">
        <f t="shared" si="112"/>
        <v>2022</v>
      </c>
      <c r="E1598" t="s">
        <v>97</v>
      </c>
      <c r="F1598" s="111">
        <v>2503520</v>
      </c>
      <c r="H1598" s="44">
        <f t="shared" si="109"/>
        <v>2503520</v>
      </c>
      <c r="I1598"/>
      <c r="M1598" s="44" t="s">
        <v>34</v>
      </c>
    </row>
    <row r="1599" spans="1:13">
      <c r="A1599" s="86">
        <v>44682</v>
      </c>
      <c r="B1599" s="82">
        <f t="shared" si="110"/>
        <v>5</v>
      </c>
      <c r="C1599">
        <f t="shared" si="112"/>
        <v>2022</v>
      </c>
      <c r="E1599" t="s">
        <v>97</v>
      </c>
      <c r="F1599" s="111">
        <v>6605202</v>
      </c>
      <c r="H1599" s="44">
        <f t="shared" si="109"/>
        <v>6605202</v>
      </c>
      <c r="I1599"/>
      <c r="M1599" s="44" t="s">
        <v>39</v>
      </c>
    </row>
    <row r="1600" spans="1:13">
      <c r="A1600" s="86">
        <v>44682</v>
      </c>
      <c r="B1600" s="82">
        <f t="shared" si="110"/>
        <v>5</v>
      </c>
      <c r="C1600">
        <f t="shared" si="112"/>
        <v>2022</v>
      </c>
      <c r="E1600" t="s">
        <v>97</v>
      </c>
      <c r="F1600" s="111">
        <v>1468482</v>
      </c>
      <c r="H1600" s="44">
        <f t="shared" si="109"/>
        <v>1468482</v>
      </c>
      <c r="I1600"/>
      <c r="M1600" s="44" t="s">
        <v>35</v>
      </c>
    </row>
    <row r="1601" spans="1:13">
      <c r="A1601" s="86">
        <v>44682</v>
      </c>
      <c r="B1601" s="82">
        <f t="shared" si="110"/>
        <v>5</v>
      </c>
      <c r="C1601">
        <f t="shared" si="112"/>
        <v>2022</v>
      </c>
      <c r="E1601" t="s">
        <v>97</v>
      </c>
      <c r="F1601" s="111">
        <v>3506495</v>
      </c>
      <c r="H1601" s="44">
        <f t="shared" si="109"/>
        <v>3506495</v>
      </c>
      <c r="I1601"/>
      <c r="M1601" s="44" t="s">
        <v>31</v>
      </c>
    </row>
    <row r="1602" spans="1:13">
      <c r="A1602" s="86">
        <v>44682</v>
      </c>
      <c r="B1602" s="82">
        <f t="shared" si="110"/>
        <v>5</v>
      </c>
      <c r="C1602">
        <f t="shared" si="112"/>
        <v>2022</v>
      </c>
      <c r="E1602" t="s">
        <v>97</v>
      </c>
      <c r="F1602" s="111">
        <v>2957728</v>
      </c>
      <c r="H1602" s="44">
        <f t="shared" ref="H1602:H1665" si="113">F1602-G1602</f>
        <v>2957728</v>
      </c>
      <c r="I1602"/>
      <c r="M1602" s="44" t="s">
        <v>40</v>
      </c>
    </row>
    <row r="1603" spans="1:13">
      <c r="A1603" s="86">
        <v>44682</v>
      </c>
      <c r="B1603" s="82">
        <f t="shared" ref="B1603:B1666" si="114">MONTH(A1603)</f>
        <v>5</v>
      </c>
      <c r="C1603">
        <f t="shared" si="112"/>
        <v>2022</v>
      </c>
      <c r="E1603" t="s">
        <v>97</v>
      </c>
      <c r="F1603" s="111">
        <v>1934832</v>
      </c>
      <c r="H1603" s="44">
        <f t="shared" si="113"/>
        <v>1934832</v>
      </c>
      <c r="I1603"/>
      <c r="M1603" s="44" t="s">
        <v>36</v>
      </c>
    </row>
    <row r="1604" spans="1:13">
      <c r="A1604" s="86">
        <v>44682</v>
      </c>
      <c r="B1604" s="82">
        <f t="shared" si="114"/>
        <v>5</v>
      </c>
      <c r="C1604">
        <f t="shared" si="112"/>
        <v>2022</v>
      </c>
      <c r="E1604" t="s">
        <v>97</v>
      </c>
      <c r="F1604" s="111">
        <v>1672612</v>
      </c>
      <c r="H1604" s="44">
        <f t="shared" si="113"/>
        <v>1672612</v>
      </c>
      <c r="I1604"/>
      <c r="M1604" s="44" t="s">
        <v>32</v>
      </c>
    </row>
    <row r="1605" spans="1:13">
      <c r="A1605" s="86">
        <v>44682</v>
      </c>
      <c r="B1605" s="82">
        <f t="shared" si="114"/>
        <v>5</v>
      </c>
      <c r="C1605">
        <f t="shared" si="112"/>
        <v>2022</v>
      </c>
      <c r="E1605" t="s">
        <v>97</v>
      </c>
      <c r="F1605" s="111">
        <v>1627838</v>
      </c>
      <c r="H1605" s="44">
        <f t="shared" si="113"/>
        <v>1627838</v>
      </c>
      <c r="I1605"/>
      <c r="M1605" s="44" t="s">
        <v>37</v>
      </c>
    </row>
    <row r="1606" spans="1:13">
      <c r="A1606" s="86">
        <v>44682</v>
      </c>
      <c r="B1606" s="82">
        <f t="shared" si="114"/>
        <v>5</v>
      </c>
      <c r="C1606">
        <f t="shared" si="112"/>
        <v>2022</v>
      </c>
      <c r="E1606" t="s">
        <v>97</v>
      </c>
      <c r="F1606" s="111">
        <v>440505</v>
      </c>
      <c r="H1606" s="44">
        <f t="shared" si="113"/>
        <v>440505</v>
      </c>
      <c r="I1606"/>
      <c r="M1606" s="44" t="s">
        <v>33</v>
      </c>
    </row>
    <row r="1607" spans="1:13">
      <c r="A1607" s="86">
        <v>44682</v>
      </c>
      <c r="B1607" s="82">
        <f t="shared" si="114"/>
        <v>5</v>
      </c>
      <c r="C1607">
        <f t="shared" si="112"/>
        <v>2022</v>
      </c>
      <c r="E1607" t="s">
        <v>97</v>
      </c>
      <c r="F1607" s="111">
        <v>3080200</v>
      </c>
      <c r="H1607" s="44">
        <f t="shared" si="113"/>
        <v>3080200</v>
      </c>
      <c r="I1607"/>
      <c r="M1607" s="44" t="s">
        <v>38</v>
      </c>
    </row>
    <row r="1608" spans="1:13">
      <c r="A1608" s="86">
        <v>44682</v>
      </c>
      <c r="B1608" s="82">
        <f t="shared" si="114"/>
        <v>5</v>
      </c>
      <c r="C1608">
        <f t="shared" si="112"/>
        <v>2022</v>
      </c>
      <c r="E1608" t="s">
        <v>97</v>
      </c>
      <c r="F1608" s="111">
        <v>2322432</v>
      </c>
      <c r="H1608" s="44">
        <f t="shared" si="113"/>
        <v>2322432</v>
      </c>
      <c r="I1608"/>
      <c r="M1608" s="44" t="s">
        <v>34</v>
      </c>
    </row>
    <row r="1609" spans="1:13">
      <c r="A1609" s="86">
        <v>44713</v>
      </c>
      <c r="B1609" s="82">
        <f t="shared" si="114"/>
        <v>6</v>
      </c>
      <c r="C1609">
        <f t="shared" si="112"/>
        <v>2022</v>
      </c>
      <c r="E1609" t="s">
        <v>97</v>
      </c>
      <c r="F1609" s="111">
        <v>6609510</v>
      </c>
      <c r="H1609" s="44">
        <f t="shared" si="113"/>
        <v>6609510</v>
      </c>
      <c r="I1609"/>
      <c r="M1609" s="44" t="s">
        <v>39</v>
      </c>
    </row>
    <row r="1610" spans="1:13">
      <c r="A1610" s="86">
        <v>44713</v>
      </c>
      <c r="B1610" s="82">
        <f t="shared" si="114"/>
        <v>6</v>
      </c>
      <c r="C1610">
        <f t="shared" si="112"/>
        <v>2022</v>
      </c>
      <c r="E1610" t="s">
        <v>97</v>
      </c>
      <c r="F1610" s="111">
        <v>2434652</v>
      </c>
      <c r="H1610" s="44">
        <f t="shared" si="113"/>
        <v>2434652</v>
      </c>
      <c r="I1610"/>
      <c r="M1610" s="44" t="s">
        <v>35</v>
      </c>
    </row>
    <row r="1611" spans="1:13">
      <c r="A1611" s="86">
        <v>44713</v>
      </c>
      <c r="B1611" s="82">
        <f t="shared" si="114"/>
        <v>6</v>
      </c>
      <c r="C1611">
        <f t="shared" si="112"/>
        <v>2022</v>
      </c>
      <c r="E1611" t="s">
        <v>97</v>
      </c>
      <c r="F1611" s="111">
        <v>3382850</v>
      </c>
      <c r="H1611" s="44">
        <f t="shared" si="113"/>
        <v>3382850</v>
      </c>
      <c r="I1611"/>
      <c r="M1611" s="44" t="s">
        <v>31</v>
      </c>
    </row>
    <row r="1612" spans="1:13">
      <c r="A1612" s="86">
        <v>44713</v>
      </c>
      <c r="B1612" s="82">
        <f t="shared" si="114"/>
        <v>6</v>
      </c>
      <c r="C1612">
        <f t="shared" si="112"/>
        <v>2022</v>
      </c>
      <c r="E1612" t="s">
        <v>97</v>
      </c>
      <c r="F1612" s="111">
        <v>1640395</v>
      </c>
      <c r="H1612" s="44">
        <f t="shared" si="113"/>
        <v>1640395</v>
      </c>
      <c r="I1612"/>
      <c r="M1612" s="44" t="s">
        <v>40</v>
      </c>
    </row>
    <row r="1613" spans="1:13">
      <c r="A1613" s="86">
        <v>44713</v>
      </c>
      <c r="B1613" s="82">
        <f t="shared" si="114"/>
        <v>6</v>
      </c>
      <c r="C1613">
        <f t="shared" si="112"/>
        <v>2022</v>
      </c>
      <c r="E1613" t="s">
        <v>97</v>
      </c>
      <c r="F1613" s="111">
        <v>2780841</v>
      </c>
      <c r="H1613" s="44">
        <f t="shared" si="113"/>
        <v>2780841</v>
      </c>
      <c r="I1613"/>
      <c r="M1613" s="44" t="s">
        <v>36</v>
      </c>
    </row>
    <row r="1614" spans="1:13">
      <c r="A1614" s="86">
        <v>44713</v>
      </c>
      <c r="B1614" s="82">
        <f t="shared" si="114"/>
        <v>6</v>
      </c>
      <c r="C1614">
        <f t="shared" si="112"/>
        <v>2022</v>
      </c>
      <c r="E1614" t="s">
        <v>97</v>
      </c>
      <c r="F1614" s="111">
        <v>1817875</v>
      </c>
      <c r="H1614" s="44">
        <f t="shared" si="113"/>
        <v>1817875</v>
      </c>
      <c r="I1614"/>
      <c r="M1614" s="44" t="s">
        <v>32</v>
      </c>
    </row>
    <row r="1615" spans="1:13">
      <c r="A1615" s="86">
        <v>44713</v>
      </c>
      <c r="B1615" s="82">
        <f t="shared" si="114"/>
        <v>6</v>
      </c>
      <c r="C1615">
        <f t="shared" si="112"/>
        <v>2022</v>
      </c>
      <c r="E1615" t="s">
        <v>97</v>
      </c>
      <c r="F1615" s="111">
        <v>1755354</v>
      </c>
      <c r="H1615" s="44">
        <f t="shared" si="113"/>
        <v>1755354</v>
      </c>
      <c r="I1615"/>
      <c r="M1615" s="44" t="s">
        <v>37</v>
      </c>
    </row>
    <row r="1616" spans="1:13">
      <c r="A1616" s="86">
        <v>44713</v>
      </c>
      <c r="B1616" s="82">
        <f t="shared" si="114"/>
        <v>6</v>
      </c>
      <c r="C1616">
        <f t="shared" si="112"/>
        <v>2022</v>
      </c>
      <c r="E1616" t="s">
        <v>97</v>
      </c>
      <c r="F1616" s="111">
        <v>1374009</v>
      </c>
      <c r="H1616" s="44">
        <f t="shared" si="113"/>
        <v>1374009</v>
      </c>
      <c r="I1616"/>
      <c r="M1616" s="44" t="s">
        <v>33</v>
      </c>
    </row>
    <row r="1617" spans="1:13">
      <c r="A1617" s="86">
        <v>44713</v>
      </c>
      <c r="B1617" s="82">
        <f t="shared" si="114"/>
        <v>6</v>
      </c>
      <c r="C1617">
        <f t="shared" si="112"/>
        <v>2022</v>
      </c>
      <c r="E1617" t="s">
        <v>97</v>
      </c>
      <c r="F1617" s="111">
        <v>2064221</v>
      </c>
      <c r="H1617" s="44">
        <f t="shared" si="113"/>
        <v>2064221</v>
      </c>
      <c r="I1617"/>
      <c r="M1617" s="44" t="s">
        <v>38</v>
      </c>
    </row>
    <row r="1618" spans="1:13">
      <c r="A1618" s="86">
        <v>44713</v>
      </c>
      <c r="B1618" s="82">
        <f t="shared" si="114"/>
        <v>6</v>
      </c>
      <c r="C1618">
        <f t="shared" si="112"/>
        <v>2022</v>
      </c>
      <c r="E1618" t="s">
        <v>97</v>
      </c>
      <c r="F1618" s="111">
        <v>3556080</v>
      </c>
      <c r="H1618" s="44">
        <f t="shared" si="113"/>
        <v>3556080</v>
      </c>
      <c r="I1618"/>
      <c r="M1618" s="44" t="s">
        <v>34</v>
      </c>
    </row>
    <row r="1619" spans="1:13">
      <c r="A1619" s="86">
        <v>44743</v>
      </c>
      <c r="B1619" s="82">
        <f t="shared" si="114"/>
        <v>7</v>
      </c>
      <c r="C1619">
        <f t="shared" si="112"/>
        <v>2022</v>
      </c>
      <c r="E1619" t="s">
        <v>97</v>
      </c>
      <c r="F1619" s="111">
        <v>6336828</v>
      </c>
      <c r="H1619" s="44">
        <f t="shared" si="113"/>
        <v>6336828</v>
      </c>
      <c r="I1619"/>
      <c r="M1619" s="44" t="s">
        <v>39</v>
      </c>
    </row>
    <row r="1620" spans="1:13">
      <c r="A1620" s="86">
        <v>44743</v>
      </c>
      <c r="B1620" s="82">
        <f t="shared" si="114"/>
        <v>7</v>
      </c>
      <c r="C1620">
        <f t="shared" si="112"/>
        <v>2022</v>
      </c>
      <c r="E1620" t="s">
        <v>97</v>
      </c>
      <c r="F1620" s="111">
        <v>1938936</v>
      </c>
      <c r="H1620" s="44">
        <f t="shared" si="113"/>
        <v>1938936</v>
      </c>
      <c r="I1620"/>
      <c r="M1620" s="44" t="s">
        <v>35</v>
      </c>
    </row>
    <row r="1621" spans="1:13">
      <c r="A1621" s="86">
        <v>44743</v>
      </c>
      <c r="B1621" s="82">
        <f t="shared" si="114"/>
        <v>7</v>
      </c>
      <c r="C1621">
        <f t="shared" si="112"/>
        <v>2022</v>
      </c>
      <c r="E1621" t="s">
        <v>97</v>
      </c>
      <c r="F1621" s="111">
        <v>2847533</v>
      </c>
      <c r="H1621" s="44">
        <f t="shared" si="113"/>
        <v>2847533</v>
      </c>
      <c r="I1621"/>
      <c r="M1621" s="44" t="s">
        <v>31</v>
      </c>
    </row>
    <row r="1622" spans="1:13">
      <c r="A1622" s="86">
        <v>44743</v>
      </c>
      <c r="B1622" s="82">
        <f t="shared" si="114"/>
        <v>7</v>
      </c>
      <c r="C1622">
        <f t="shared" si="112"/>
        <v>2022</v>
      </c>
      <c r="E1622" t="s">
        <v>97</v>
      </c>
      <c r="F1622" s="111">
        <v>3224775</v>
      </c>
      <c r="H1622" s="44">
        <f t="shared" si="113"/>
        <v>3224775</v>
      </c>
      <c r="I1622"/>
      <c r="M1622" s="44" t="s">
        <v>40</v>
      </c>
    </row>
    <row r="1623" spans="1:13">
      <c r="A1623" s="86">
        <v>44743</v>
      </c>
      <c r="B1623" s="82">
        <f t="shared" si="114"/>
        <v>7</v>
      </c>
      <c r="C1623">
        <f t="shared" si="112"/>
        <v>2022</v>
      </c>
      <c r="E1623" t="s">
        <v>97</v>
      </c>
      <c r="F1623" s="111">
        <v>3695992</v>
      </c>
      <c r="H1623" s="44">
        <f t="shared" si="113"/>
        <v>3695992</v>
      </c>
      <c r="I1623"/>
      <c r="M1623" s="44" t="s">
        <v>36</v>
      </c>
    </row>
    <row r="1624" spans="1:13">
      <c r="A1624" s="86">
        <v>44743</v>
      </c>
      <c r="B1624" s="82">
        <f t="shared" si="114"/>
        <v>7</v>
      </c>
      <c r="C1624">
        <f t="shared" si="112"/>
        <v>2022</v>
      </c>
      <c r="E1624" t="s">
        <v>97</v>
      </c>
      <c r="F1624" s="111">
        <v>2622219</v>
      </c>
      <c r="H1624" s="44">
        <f t="shared" si="113"/>
        <v>2622219</v>
      </c>
      <c r="I1624"/>
      <c r="M1624" s="44" t="s">
        <v>32</v>
      </c>
    </row>
    <row r="1625" spans="1:13">
      <c r="A1625" s="86">
        <v>44743</v>
      </c>
      <c r="B1625" s="82">
        <f t="shared" si="114"/>
        <v>7</v>
      </c>
      <c r="C1625">
        <f t="shared" si="112"/>
        <v>2022</v>
      </c>
      <c r="E1625" t="s">
        <v>97</v>
      </c>
      <c r="F1625" s="111">
        <v>1946911</v>
      </c>
      <c r="H1625" s="44">
        <f t="shared" si="113"/>
        <v>1946911</v>
      </c>
      <c r="I1625"/>
      <c r="M1625" s="44" t="s">
        <v>37</v>
      </c>
    </row>
    <row r="1626" spans="1:13">
      <c r="A1626" s="86">
        <v>44743</v>
      </c>
      <c r="B1626" s="82">
        <f t="shared" si="114"/>
        <v>7</v>
      </c>
      <c r="C1626">
        <f t="shared" si="112"/>
        <v>2022</v>
      </c>
      <c r="E1626" t="s">
        <v>97</v>
      </c>
      <c r="F1626" s="111">
        <v>2533749</v>
      </c>
      <c r="H1626" s="44">
        <f t="shared" si="113"/>
        <v>2533749</v>
      </c>
      <c r="I1626"/>
      <c r="M1626" s="44" t="s">
        <v>33</v>
      </c>
    </row>
    <row r="1627" spans="1:13">
      <c r="A1627" s="86">
        <v>44743</v>
      </c>
      <c r="B1627" s="82">
        <f t="shared" si="114"/>
        <v>7</v>
      </c>
      <c r="C1627">
        <f t="shared" si="112"/>
        <v>2022</v>
      </c>
      <c r="E1627" t="s">
        <v>97</v>
      </c>
      <c r="F1627" s="111">
        <v>2569734</v>
      </c>
      <c r="H1627" s="44">
        <f t="shared" si="113"/>
        <v>2569734</v>
      </c>
      <c r="I1627"/>
      <c r="M1627" s="44" t="s">
        <v>38</v>
      </c>
    </row>
    <row r="1628" spans="1:13">
      <c r="A1628" s="86">
        <v>44743</v>
      </c>
      <c r="B1628" s="82">
        <f t="shared" si="114"/>
        <v>7</v>
      </c>
      <c r="C1628">
        <f t="shared" si="112"/>
        <v>2022</v>
      </c>
      <c r="E1628" t="s">
        <v>97</v>
      </c>
      <c r="F1628" s="111">
        <v>4532695</v>
      </c>
      <c r="H1628" s="44">
        <f t="shared" si="113"/>
        <v>4532695</v>
      </c>
      <c r="I1628"/>
      <c r="M1628" s="44" t="s">
        <v>34</v>
      </c>
    </row>
    <row r="1629" spans="1:13">
      <c r="A1629" s="86">
        <v>44774</v>
      </c>
      <c r="B1629" s="82">
        <f t="shared" si="114"/>
        <v>8</v>
      </c>
      <c r="C1629">
        <f t="shared" si="112"/>
        <v>2022</v>
      </c>
      <c r="E1629" t="s">
        <v>97</v>
      </c>
      <c r="F1629" s="111">
        <v>9497898</v>
      </c>
      <c r="H1629" s="44">
        <f t="shared" si="113"/>
        <v>9497898</v>
      </c>
      <c r="I1629"/>
      <c r="M1629" s="44" t="s">
        <v>39</v>
      </c>
    </row>
    <row r="1630" spans="1:13">
      <c r="A1630" s="86">
        <v>44774</v>
      </c>
      <c r="B1630" s="82">
        <f t="shared" si="114"/>
        <v>8</v>
      </c>
      <c r="C1630">
        <f t="shared" si="112"/>
        <v>2022</v>
      </c>
      <c r="E1630" t="s">
        <v>97</v>
      </c>
      <c r="F1630" s="111">
        <v>2516152</v>
      </c>
      <c r="H1630" s="44">
        <f t="shared" si="113"/>
        <v>2516152</v>
      </c>
      <c r="I1630"/>
      <c r="M1630" s="44" t="s">
        <v>35</v>
      </c>
    </row>
    <row r="1631" spans="1:13">
      <c r="A1631" s="86">
        <v>44774</v>
      </c>
      <c r="B1631" s="82">
        <f t="shared" si="114"/>
        <v>8</v>
      </c>
      <c r="C1631">
        <f t="shared" si="112"/>
        <v>2022</v>
      </c>
      <c r="E1631" t="s">
        <v>97</v>
      </c>
      <c r="F1631" s="111">
        <v>1534676</v>
      </c>
      <c r="H1631" s="44">
        <f t="shared" si="113"/>
        <v>1534676</v>
      </c>
      <c r="I1631"/>
      <c r="M1631" s="44" t="s">
        <v>31</v>
      </c>
    </row>
    <row r="1632" spans="1:13">
      <c r="A1632" s="86">
        <v>44774</v>
      </c>
      <c r="B1632" s="82">
        <f t="shared" si="114"/>
        <v>8</v>
      </c>
      <c r="C1632">
        <f t="shared" si="112"/>
        <v>2022</v>
      </c>
      <c r="E1632" t="s">
        <v>97</v>
      </c>
      <c r="F1632" s="111">
        <v>1924720</v>
      </c>
      <c r="H1632" s="44">
        <f t="shared" si="113"/>
        <v>1924720</v>
      </c>
      <c r="I1632"/>
      <c r="M1632" s="44" t="s">
        <v>40</v>
      </c>
    </row>
    <row r="1633" spans="1:13">
      <c r="A1633" s="86">
        <v>44774</v>
      </c>
      <c r="B1633" s="82">
        <f t="shared" si="114"/>
        <v>8</v>
      </c>
      <c r="C1633">
        <f t="shared" ref="C1633:C1696" si="115">YEAR(A1633)</f>
        <v>2022</v>
      </c>
      <c r="E1633" t="s">
        <v>97</v>
      </c>
      <c r="F1633" s="111">
        <v>3751603</v>
      </c>
      <c r="H1633" s="44">
        <f t="shared" si="113"/>
        <v>3751603</v>
      </c>
      <c r="I1633"/>
      <c r="M1633" s="44" t="s">
        <v>36</v>
      </c>
    </row>
    <row r="1634" spans="1:13">
      <c r="A1634" s="86">
        <v>44774</v>
      </c>
      <c r="B1634" s="82">
        <f t="shared" si="114"/>
        <v>8</v>
      </c>
      <c r="C1634">
        <f t="shared" si="115"/>
        <v>2022</v>
      </c>
      <c r="E1634" t="s">
        <v>97</v>
      </c>
      <c r="F1634" s="111">
        <v>1559044</v>
      </c>
      <c r="H1634" s="44">
        <f t="shared" si="113"/>
        <v>1559044</v>
      </c>
      <c r="I1634"/>
      <c r="M1634" s="44" t="s">
        <v>32</v>
      </c>
    </row>
    <row r="1635" spans="1:13">
      <c r="A1635" s="86">
        <v>44774</v>
      </c>
      <c r="B1635" s="82">
        <f t="shared" si="114"/>
        <v>8</v>
      </c>
      <c r="C1635">
        <f t="shared" si="115"/>
        <v>2022</v>
      </c>
      <c r="E1635" t="s">
        <v>97</v>
      </c>
      <c r="F1635" s="111">
        <v>1345718</v>
      </c>
      <c r="H1635" s="44">
        <f t="shared" si="113"/>
        <v>1345718</v>
      </c>
      <c r="I1635"/>
      <c r="M1635" s="44" t="s">
        <v>37</v>
      </c>
    </row>
    <row r="1636" spans="1:13">
      <c r="A1636" s="86">
        <v>44774</v>
      </c>
      <c r="B1636" s="82">
        <f t="shared" si="114"/>
        <v>8</v>
      </c>
      <c r="C1636">
        <f t="shared" si="115"/>
        <v>2022</v>
      </c>
      <c r="E1636" t="s">
        <v>97</v>
      </c>
      <c r="F1636" s="111">
        <v>3857622</v>
      </c>
      <c r="H1636" s="44">
        <f t="shared" si="113"/>
        <v>3857622</v>
      </c>
      <c r="I1636"/>
      <c r="M1636" s="44" t="s">
        <v>33</v>
      </c>
    </row>
    <row r="1637" spans="1:13">
      <c r="A1637" s="86">
        <v>44774</v>
      </c>
      <c r="B1637" s="82">
        <f t="shared" si="114"/>
        <v>8</v>
      </c>
      <c r="C1637">
        <f t="shared" si="115"/>
        <v>2022</v>
      </c>
      <c r="E1637" t="s">
        <v>97</v>
      </c>
      <c r="F1637" s="111">
        <v>1699393</v>
      </c>
      <c r="H1637" s="44">
        <f t="shared" si="113"/>
        <v>1699393</v>
      </c>
      <c r="I1637"/>
      <c r="M1637" s="44" t="s">
        <v>38</v>
      </c>
    </row>
    <row r="1638" spans="1:13">
      <c r="A1638" s="86">
        <v>44774</v>
      </c>
      <c r="B1638" s="82">
        <f t="shared" si="114"/>
        <v>8</v>
      </c>
      <c r="C1638">
        <f t="shared" si="115"/>
        <v>2022</v>
      </c>
      <c r="E1638" t="s">
        <v>97</v>
      </c>
      <c r="F1638" s="111">
        <v>3782410</v>
      </c>
      <c r="H1638" s="44">
        <f t="shared" si="113"/>
        <v>3782410</v>
      </c>
      <c r="I1638"/>
      <c r="M1638" s="44" t="s">
        <v>34</v>
      </c>
    </row>
    <row r="1639" spans="1:13">
      <c r="A1639" s="86">
        <v>44805</v>
      </c>
      <c r="B1639" s="82">
        <f t="shared" si="114"/>
        <v>9</v>
      </c>
      <c r="C1639">
        <f t="shared" si="115"/>
        <v>2022</v>
      </c>
      <c r="E1639" t="s">
        <v>97</v>
      </c>
      <c r="F1639" s="111">
        <v>4815420</v>
      </c>
      <c r="H1639" s="44">
        <f t="shared" si="113"/>
        <v>4815420</v>
      </c>
      <c r="I1639"/>
      <c r="M1639" s="44" t="s">
        <v>39</v>
      </c>
    </row>
    <row r="1640" spans="1:13">
      <c r="A1640" s="86">
        <v>44805</v>
      </c>
      <c r="B1640" s="82">
        <f t="shared" si="114"/>
        <v>9</v>
      </c>
      <c r="C1640">
        <f t="shared" si="115"/>
        <v>2022</v>
      </c>
      <c r="E1640" t="s">
        <v>97</v>
      </c>
      <c r="F1640" s="111">
        <v>1182394</v>
      </c>
      <c r="H1640" s="44">
        <f t="shared" si="113"/>
        <v>1182394</v>
      </c>
      <c r="I1640"/>
      <c r="M1640" s="44" t="s">
        <v>35</v>
      </c>
    </row>
    <row r="1641" spans="1:13">
      <c r="A1641" s="86">
        <v>44805</v>
      </c>
      <c r="B1641" s="82">
        <f t="shared" si="114"/>
        <v>9</v>
      </c>
      <c r="C1641">
        <f t="shared" si="115"/>
        <v>2022</v>
      </c>
      <c r="E1641" t="s">
        <v>97</v>
      </c>
      <c r="F1641" s="111">
        <v>2374455</v>
      </c>
      <c r="H1641" s="44">
        <f t="shared" si="113"/>
        <v>2374455</v>
      </c>
      <c r="I1641"/>
      <c r="M1641" s="44" t="s">
        <v>31</v>
      </c>
    </row>
    <row r="1642" spans="1:13">
      <c r="A1642" s="86">
        <v>44805</v>
      </c>
      <c r="B1642" s="82">
        <f t="shared" si="114"/>
        <v>9</v>
      </c>
      <c r="C1642">
        <f t="shared" si="115"/>
        <v>2022</v>
      </c>
      <c r="E1642" t="s">
        <v>97</v>
      </c>
      <c r="F1642" s="111">
        <v>2194956</v>
      </c>
      <c r="H1642" s="44">
        <f t="shared" si="113"/>
        <v>2194956</v>
      </c>
      <c r="I1642"/>
      <c r="M1642" s="44" t="s">
        <v>40</v>
      </c>
    </row>
    <row r="1643" spans="1:13">
      <c r="A1643" s="86">
        <v>44805</v>
      </c>
      <c r="B1643" s="82">
        <f t="shared" si="114"/>
        <v>9</v>
      </c>
      <c r="C1643">
        <f t="shared" si="115"/>
        <v>2022</v>
      </c>
      <c r="E1643" t="s">
        <v>97</v>
      </c>
      <c r="F1643" s="111">
        <v>4368044</v>
      </c>
      <c r="H1643" s="44">
        <f t="shared" si="113"/>
        <v>4368044</v>
      </c>
      <c r="I1643"/>
      <c r="M1643" s="44" t="s">
        <v>36</v>
      </c>
    </row>
    <row r="1644" spans="1:13">
      <c r="A1644" s="86">
        <v>44805</v>
      </c>
      <c r="B1644" s="82">
        <f t="shared" si="114"/>
        <v>9</v>
      </c>
      <c r="C1644">
        <f t="shared" si="115"/>
        <v>2022</v>
      </c>
      <c r="E1644" t="s">
        <v>97</v>
      </c>
      <c r="F1644" s="111">
        <v>1511584</v>
      </c>
      <c r="H1644" s="44">
        <f t="shared" si="113"/>
        <v>1511584</v>
      </c>
      <c r="I1644"/>
      <c r="M1644" s="44" t="s">
        <v>32</v>
      </c>
    </row>
    <row r="1645" spans="1:13">
      <c r="A1645" s="86">
        <v>44805</v>
      </c>
      <c r="B1645" s="82">
        <f t="shared" si="114"/>
        <v>9</v>
      </c>
      <c r="C1645">
        <f t="shared" si="115"/>
        <v>2022</v>
      </c>
      <c r="E1645" t="s">
        <v>97</v>
      </c>
      <c r="F1645" s="111">
        <v>2054042</v>
      </c>
      <c r="H1645" s="44">
        <f t="shared" si="113"/>
        <v>2054042</v>
      </c>
      <c r="I1645"/>
      <c r="M1645" s="44" t="s">
        <v>37</v>
      </c>
    </row>
    <row r="1646" spans="1:13">
      <c r="A1646" s="86">
        <v>44805</v>
      </c>
      <c r="B1646" s="82">
        <f t="shared" si="114"/>
        <v>9</v>
      </c>
      <c r="C1646">
        <f t="shared" si="115"/>
        <v>2022</v>
      </c>
      <c r="E1646" t="s">
        <v>97</v>
      </c>
      <c r="F1646" s="111">
        <v>5019692</v>
      </c>
      <c r="H1646" s="44">
        <f t="shared" si="113"/>
        <v>5019692</v>
      </c>
      <c r="I1646"/>
      <c r="M1646" s="44" t="s">
        <v>33</v>
      </c>
    </row>
    <row r="1647" spans="1:13">
      <c r="A1647" s="86">
        <v>44805</v>
      </c>
      <c r="B1647" s="82">
        <f t="shared" si="114"/>
        <v>9</v>
      </c>
      <c r="C1647">
        <f t="shared" si="115"/>
        <v>2022</v>
      </c>
      <c r="E1647" t="s">
        <v>97</v>
      </c>
      <c r="F1647" s="111">
        <v>3317479</v>
      </c>
      <c r="H1647" s="44">
        <f t="shared" si="113"/>
        <v>3317479</v>
      </c>
      <c r="I1647"/>
      <c r="M1647" s="44" t="s">
        <v>38</v>
      </c>
    </row>
    <row r="1648" spans="1:13">
      <c r="A1648" s="86">
        <v>44805</v>
      </c>
      <c r="B1648" s="82">
        <f t="shared" si="114"/>
        <v>9</v>
      </c>
      <c r="C1648">
        <f t="shared" si="115"/>
        <v>2022</v>
      </c>
      <c r="E1648" t="s">
        <v>97</v>
      </c>
      <c r="F1648" s="111">
        <v>5082352</v>
      </c>
      <c r="H1648" s="44">
        <f t="shared" si="113"/>
        <v>5082352</v>
      </c>
      <c r="I1648"/>
      <c r="M1648" s="44" t="s">
        <v>34</v>
      </c>
    </row>
    <row r="1649" spans="1:13">
      <c r="A1649" s="86">
        <v>44835</v>
      </c>
      <c r="B1649" s="82">
        <f t="shared" si="114"/>
        <v>10</v>
      </c>
      <c r="C1649">
        <f t="shared" si="115"/>
        <v>2022</v>
      </c>
      <c r="E1649" t="s">
        <v>97</v>
      </c>
      <c r="F1649" s="111">
        <v>6914139</v>
      </c>
      <c r="H1649" s="44">
        <f t="shared" si="113"/>
        <v>6914139</v>
      </c>
      <c r="I1649"/>
      <c r="M1649" s="44" t="s">
        <v>39</v>
      </c>
    </row>
    <row r="1650" spans="1:13">
      <c r="A1650" s="86">
        <v>44835</v>
      </c>
      <c r="B1650" s="82">
        <f t="shared" si="114"/>
        <v>10</v>
      </c>
      <c r="C1650">
        <f t="shared" si="115"/>
        <v>2022</v>
      </c>
      <c r="E1650" t="s">
        <v>97</v>
      </c>
      <c r="F1650" s="111">
        <v>1736558</v>
      </c>
      <c r="H1650" s="44">
        <f t="shared" si="113"/>
        <v>1736558</v>
      </c>
      <c r="I1650"/>
      <c r="M1650" s="44" t="s">
        <v>35</v>
      </c>
    </row>
    <row r="1651" spans="1:13">
      <c r="A1651" s="86">
        <v>44835</v>
      </c>
      <c r="B1651" s="82">
        <f t="shared" si="114"/>
        <v>10</v>
      </c>
      <c r="C1651">
        <f t="shared" si="115"/>
        <v>2022</v>
      </c>
      <c r="E1651" t="s">
        <v>97</v>
      </c>
      <c r="F1651" s="111">
        <v>3772215</v>
      </c>
      <c r="H1651" s="44">
        <f t="shared" si="113"/>
        <v>3772215</v>
      </c>
      <c r="I1651"/>
      <c r="M1651" s="44" t="s">
        <v>31</v>
      </c>
    </row>
    <row r="1652" spans="1:13">
      <c r="A1652" s="86">
        <v>44835</v>
      </c>
      <c r="B1652" s="82">
        <f t="shared" si="114"/>
        <v>10</v>
      </c>
      <c r="C1652">
        <f t="shared" si="115"/>
        <v>2022</v>
      </c>
      <c r="E1652" t="s">
        <v>97</v>
      </c>
      <c r="F1652" s="111">
        <v>383184</v>
      </c>
      <c r="H1652" s="44">
        <f t="shared" si="113"/>
        <v>383184</v>
      </c>
      <c r="I1652"/>
      <c r="M1652" s="44" t="s">
        <v>40</v>
      </c>
    </row>
    <row r="1653" spans="1:13">
      <c r="A1653" s="86">
        <v>44835</v>
      </c>
      <c r="B1653" s="82">
        <f t="shared" si="114"/>
        <v>10</v>
      </c>
      <c r="C1653">
        <f t="shared" si="115"/>
        <v>2022</v>
      </c>
      <c r="E1653" t="s">
        <v>97</v>
      </c>
      <c r="F1653" s="111">
        <v>5768280</v>
      </c>
      <c r="H1653" s="44">
        <f t="shared" si="113"/>
        <v>5768280</v>
      </c>
      <c r="I1653"/>
      <c r="M1653" s="44" t="s">
        <v>36</v>
      </c>
    </row>
    <row r="1654" spans="1:13">
      <c r="A1654" s="86">
        <v>44835</v>
      </c>
      <c r="B1654" s="82">
        <f t="shared" si="114"/>
        <v>10</v>
      </c>
      <c r="C1654">
        <f t="shared" si="115"/>
        <v>2022</v>
      </c>
      <c r="E1654" t="s">
        <v>97</v>
      </c>
      <c r="F1654" s="111">
        <v>2733737</v>
      </c>
      <c r="H1654" s="44">
        <f t="shared" si="113"/>
        <v>2733737</v>
      </c>
      <c r="I1654"/>
      <c r="M1654" s="44" t="s">
        <v>32</v>
      </c>
    </row>
    <row r="1655" spans="1:13">
      <c r="A1655" s="86">
        <v>44835</v>
      </c>
      <c r="B1655" s="82">
        <f t="shared" si="114"/>
        <v>10</v>
      </c>
      <c r="C1655">
        <f t="shared" si="115"/>
        <v>2022</v>
      </c>
      <c r="E1655" t="s">
        <v>97</v>
      </c>
      <c r="F1655" s="111">
        <v>2061484</v>
      </c>
      <c r="H1655" s="44">
        <f t="shared" si="113"/>
        <v>2061484</v>
      </c>
      <c r="I1655"/>
      <c r="M1655" s="44" t="s">
        <v>37</v>
      </c>
    </row>
    <row r="1656" spans="1:13">
      <c r="A1656" s="86">
        <v>44835</v>
      </c>
      <c r="B1656" s="82">
        <f t="shared" si="114"/>
        <v>10</v>
      </c>
      <c r="C1656">
        <f t="shared" si="115"/>
        <v>2022</v>
      </c>
      <c r="E1656" t="s">
        <v>97</v>
      </c>
      <c r="F1656" s="111">
        <v>3415572</v>
      </c>
      <c r="H1656" s="44">
        <f t="shared" si="113"/>
        <v>3415572</v>
      </c>
      <c r="I1656"/>
      <c r="M1656" s="44" t="s">
        <v>33</v>
      </c>
    </row>
    <row r="1657" spans="1:13">
      <c r="A1657" s="86">
        <v>44835</v>
      </c>
      <c r="B1657" s="82">
        <f t="shared" si="114"/>
        <v>10</v>
      </c>
      <c r="C1657">
        <f t="shared" si="115"/>
        <v>2022</v>
      </c>
      <c r="E1657" t="s">
        <v>97</v>
      </c>
      <c r="F1657" s="111">
        <v>2669934</v>
      </c>
      <c r="H1657" s="44">
        <f t="shared" si="113"/>
        <v>2669934</v>
      </c>
      <c r="I1657"/>
      <c r="M1657" s="44" t="s">
        <v>38</v>
      </c>
    </row>
    <row r="1658" spans="1:13">
      <c r="A1658" s="86">
        <v>44835</v>
      </c>
      <c r="B1658" s="82">
        <f t="shared" si="114"/>
        <v>10</v>
      </c>
      <c r="C1658">
        <f t="shared" si="115"/>
        <v>2022</v>
      </c>
      <c r="E1658" t="s">
        <v>97</v>
      </c>
      <c r="F1658" s="111">
        <v>2360659</v>
      </c>
      <c r="H1658" s="44">
        <f t="shared" si="113"/>
        <v>2360659</v>
      </c>
      <c r="I1658"/>
      <c r="M1658" s="44" t="s">
        <v>34</v>
      </c>
    </row>
    <row r="1659" spans="1:13">
      <c r="A1659" s="86">
        <v>44866</v>
      </c>
      <c r="B1659" s="82">
        <f t="shared" si="114"/>
        <v>11</v>
      </c>
      <c r="C1659">
        <f t="shared" si="115"/>
        <v>2022</v>
      </c>
      <c r="E1659" t="s">
        <v>97</v>
      </c>
      <c r="F1659" s="111">
        <v>6418329</v>
      </c>
      <c r="H1659" s="44">
        <f t="shared" si="113"/>
        <v>6418329</v>
      </c>
      <c r="I1659"/>
      <c r="M1659" s="44" t="s">
        <v>39</v>
      </c>
    </row>
    <row r="1660" spans="1:13">
      <c r="A1660" s="86">
        <v>44866</v>
      </c>
      <c r="B1660" s="82">
        <f t="shared" si="114"/>
        <v>11</v>
      </c>
      <c r="C1660">
        <f t="shared" si="115"/>
        <v>2022</v>
      </c>
      <c r="E1660" t="s">
        <v>97</v>
      </c>
      <c r="F1660" s="111">
        <v>2143499</v>
      </c>
      <c r="H1660" s="44">
        <f t="shared" si="113"/>
        <v>2143499</v>
      </c>
      <c r="I1660"/>
      <c r="M1660" s="44" t="s">
        <v>35</v>
      </c>
    </row>
    <row r="1661" spans="1:13">
      <c r="A1661" s="86">
        <v>44866</v>
      </c>
      <c r="B1661" s="82">
        <f t="shared" si="114"/>
        <v>11</v>
      </c>
      <c r="C1661">
        <f t="shared" si="115"/>
        <v>2022</v>
      </c>
      <c r="E1661" t="s">
        <v>97</v>
      </c>
      <c r="F1661" s="111">
        <v>3179145</v>
      </c>
      <c r="H1661" s="44">
        <f t="shared" si="113"/>
        <v>3179145</v>
      </c>
      <c r="I1661"/>
      <c r="M1661" s="44" t="s">
        <v>31</v>
      </c>
    </row>
    <row r="1662" spans="1:13">
      <c r="A1662" s="86">
        <v>44866</v>
      </c>
      <c r="B1662" s="82">
        <f t="shared" si="114"/>
        <v>11</v>
      </c>
      <c r="C1662">
        <f t="shared" si="115"/>
        <v>2022</v>
      </c>
      <c r="E1662" t="s">
        <v>97</v>
      </c>
      <c r="F1662" s="111">
        <v>556848</v>
      </c>
      <c r="H1662" s="44">
        <f t="shared" si="113"/>
        <v>556848</v>
      </c>
      <c r="I1662"/>
      <c r="M1662" s="44" t="s">
        <v>40</v>
      </c>
    </row>
    <row r="1663" spans="1:13">
      <c r="A1663" s="86">
        <v>44866</v>
      </c>
      <c r="B1663" s="82">
        <f t="shared" si="114"/>
        <v>11</v>
      </c>
      <c r="C1663">
        <f t="shared" si="115"/>
        <v>2022</v>
      </c>
      <c r="E1663" t="s">
        <v>97</v>
      </c>
      <c r="F1663" s="111">
        <v>2347266</v>
      </c>
      <c r="H1663" s="44">
        <f t="shared" si="113"/>
        <v>2347266</v>
      </c>
      <c r="I1663"/>
      <c r="M1663" s="44" t="s">
        <v>36</v>
      </c>
    </row>
    <row r="1664" spans="1:13">
      <c r="A1664" s="86">
        <v>44866</v>
      </c>
      <c r="B1664" s="82">
        <f t="shared" si="114"/>
        <v>11</v>
      </c>
      <c r="C1664">
        <f t="shared" si="115"/>
        <v>2022</v>
      </c>
      <c r="E1664" t="s">
        <v>97</v>
      </c>
      <c r="F1664" s="111">
        <v>3375273</v>
      </c>
      <c r="H1664" s="44">
        <f t="shared" si="113"/>
        <v>3375273</v>
      </c>
      <c r="I1664"/>
      <c r="M1664" s="44" t="s">
        <v>32</v>
      </c>
    </row>
    <row r="1665" spans="1:13">
      <c r="A1665" s="86">
        <v>44866</v>
      </c>
      <c r="B1665" s="82">
        <f t="shared" si="114"/>
        <v>11</v>
      </c>
      <c r="C1665">
        <f t="shared" si="115"/>
        <v>2022</v>
      </c>
      <c r="E1665" t="s">
        <v>97</v>
      </c>
      <c r="F1665" s="111">
        <v>1170435</v>
      </c>
      <c r="H1665" s="44">
        <f t="shared" si="113"/>
        <v>1170435</v>
      </c>
      <c r="I1665"/>
      <c r="M1665" s="44" t="s">
        <v>37</v>
      </c>
    </row>
    <row r="1666" spans="1:13">
      <c r="A1666" s="86">
        <v>44866</v>
      </c>
      <c r="B1666" s="82">
        <f t="shared" si="114"/>
        <v>11</v>
      </c>
      <c r="C1666">
        <f t="shared" si="115"/>
        <v>2022</v>
      </c>
      <c r="E1666" t="s">
        <v>97</v>
      </c>
      <c r="F1666" s="111">
        <v>1638358</v>
      </c>
      <c r="H1666" s="44">
        <f t="shared" ref="H1666:H1729" si="116">F1666-G1666</f>
        <v>1638358</v>
      </c>
      <c r="I1666"/>
      <c r="M1666" s="44" t="s">
        <v>33</v>
      </c>
    </row>
    <row r="1667" spans="1:13">
      <c r="A1667" s="86">
        <v>44866</v>
      </c>
      <c r="B1667" s="82">
        <f t="shared" ref="B1667:B1730" si="117">MONTH(A1667)</f>
        <v>11</v>
      </c>
      <c r="C1667">
        <f t="shared" si="115"/>
        <v>2022</v>
      </c>
      <c r="E1667" t="s">
        <v>97</v>
      </c>
      <c r="F1667" s="111">
        <v>2443068</v>
      </c>
      <c r="H1667" s="44">
        <f t="shared" si="116"/>
        <v>2443068</v>
      </c>
      <c r="I1667"/>
      <c r="M1667" s="44" t="s">
        <v>38</v>
      </c>
    </row>
    <row r="1668" spans="1:13">
      <c r="A1668" s="86">
        <v>44866</v>
      </c>
      <c r="B1668" s="82">
        <f t="shared" si="117"/>
        <v>11</v>
      </c>
      <c r="C1668">
        <f t="shared" si="115"/>
        <v>2022</v>
      </c>
      <c r="E1668" t="s">
        <v>97</v>
      </c>
      <c r="F1668" s="111">
        <v>2578330</v>
      </c>
      <c r="H1668" s="44">
        <f t="shared" si="116"/>
        <v>2578330</v>
      </c>
      <c r="I1668"/>
      <c r="M1668" s="44" t="s">
        <v>34</v>
      </c>
    </row>
    <row r="1669" spans="1:13">
      <c r="A1669" s="86">
        <v>44896</v>
      </c>
      <c r="B1669" s="82">
        <f t="shared" si="117"/>
        <v>12</v>
      </c>
      <c r="C1669">
        <f t="shared" si="115"/>
        <v>2022</v>
      </c>
      <c r="E1669" t="s">
        <v>97</v>
      </c>
      <c r="F1669" s="111">
        <v>3494754</v>
      </c>
      <c r="H1669" s="44">
        <f t="shared" si="116"/>
        <v>3494754</v>
      </c>
      <c r="I1669"/>
      <c r="M1669" s="44" t="s">
        <v>39</v>
      </c>
    </row>
    <row r="1670" spans="1:13">
      <c r="A1670" s="86">
        <v>44896</v>
      </c>
      <c r="B1670" s="82">
        <f t="shared" si="117"/>
        <v>12</v>
      </c>
      <c r="C1670">
        <f t="shared" si="115"/>
        <v>2022</v>
      </c>
      <c r="E1670" t="s">
        <v>97</v>
      </c>
      <c r="F1670" s="111">
        <v>3254959</v>
      </c>
      <c r="H1670" s="44">
        <f t="shared" si="116"/>
        <v>3254959</v>
      </c>
      <c r="I1670"/>
      <c r="M1670" s="44" t="s">
        <v>35</v>
      </c>
    </row>
    <row r="1671" spans="1:13">
      <c r="A1671" s="86">
        <v>44896</v>
      </c>
      <c r="B1671" s="82">
        <f t="shared" si="117"/>
        <v>12</v>
      </c>
      <c r="C1671">
        <f t="shared" si="115"/>
        <v>2022</v>
      </c>
      <c r="E1671" t="s">
        <v>97</v>
      </c>
      <c r="F1671" s="111">
        <v>3940695</v>
      </c>
      <c r="H1671" s="44">
        <f t="shared" si="116"/>
        <v>3940695</v>
      </c>
      <c r="I1671"/>
      <c r="M1671" s="44" t="s">
        <v>31</v>
      </c>
    </row>
    <row r="1672" spans="1:13">
      <c r="A1672" s="86">
        <v>44896</v>
      </c>
      <c r="B1672" s="82">
        <f t="shared" si="117"/>
        <v>12</v>
      </c>
      <c r="C1672">
        <f t="shared" si="115"/>
        <v>2022</v>
      </c>
      <c r="E1672" t="s">
        <v>97</v>
      </c>
      <c r="F1672" s="111">
        <v>1402989</v>
      </c>
      <c r="H1672" s="44">
        <f t="shared" si="116"/>
        <v>1402989</v>
      </c>
      <c r="I1672"/>
      <c r="M1672" s="44" t="s">
        <v>40</v>
      </c>
    </row>
    <row r="1673" spans="1:13">
      <c r="A1673" s="86">
        <v>44896</v>
      </c>
      <c r="B1673" s="82">
        <f t="shared" si="117"/>
        <v>12</v>
      </c>
      <c r="C1673">
        <f t="shared" si="115"/>
        <v>2022</v>
      </c>
      <c r="E1673" t="s">
        <v>97</v>
      </c>
      <c r="F1673" s="111">
        <v>3176834</v>
      </c>
      <c r="H1673" s="44">
        <f t="shared" si="116"/>
        <v>3176834</v>
      </c>
      <c r="I1673"/>
      <c r="M1673" s="44" t="s">
        <v>36</v>
      </c>
    </row>
    <row r="1674" spans="1:13">
      <c r="A1674" s="86">
        <v>44896</v>
      </c>
      <c r="B1674" s="82">
        <f t="shared" si="117"/>
        <v>12</v>
      </c>
      <c r="C1674">
        <f t="shared" si="115"/>
        <v>2022</v>
      </c>
      <c r="E1674" t="s">
        <v>97</v>
      </c>
      <c r="F1674" s="111">
        <v>4487293</v>
      </c>
      <c r="H1674" s="44">
        <f t="shared" si="116"/>
        <v>4487293</v>
      </c>
      <c r="I1674"/>
      <c r="M1674" s="44" t="s">
        <v>32</v>
      </c>
    </row>
    <row r="1675" spans="1:13">
      <c r="A1675" s="86">
        <v>44896</v>
      </c>
      <c r="B1675" s="82">
        <f t="shared" si="117"/>
        <v>12</v>
      </c>
      <c r="C1675">
        <f t="shared" si="115"/>
        <v>2022</v>
      </c>
      <c r="E1675" t="s">
        <v>97</v>
      </c>
      <c r="F1675" s="111">
        <v>1206642</v>
      </c>
      <c r="H1675" s="44">
        <f t="shared" si="116"/>
        <v>1206642</v>
      </c>
      <c r="I1675"/>
      <c r="M1675" s="44" t="s">
        <v>37</v>
      </c>
    </row>
    <row r="1676" spans="1:13">
      <c r="A1676" s="86">
        <v>44896</v>
      </c>
      <c r="B1676" s="82">
        <f t="shared" si="117"/>
        <v>12</v>
      </c>
      <c r="C1676">
        <f t="shared" si="115"/>
        <v>2022</v>
      </c>
      <c r="E1676" t="s">
        <v>97</v>
      </c>
      <c r="F1676" s="111">
        <v>1905794</v>
      </c>
      <c r="H1676" s="44">
        <f t="shared" si="116"/>
        <v>1905794</v>
      </c>
      <c r="I1676"/>
      <c r="M1676" s="44" t="s">
        <v>33</v>
      </c>
    </row>
    <row r="1677" spans="1:13">
      <c r="A1677" s="86">
        <v>44896</v>
      </c>
      <c r="B1677" s="82">
        <f t="shared" si="117"/>
        <v>12</v>
      </c>
      <c r="C1677">
        <f t="shared" si="115"/>
        <v>2022</v>
      </c>
      <c r="E1677" t="s">
        <v>97</v>
      </c>
      <c r="F1677" s="111">
        <v>1467324</v>
      </c>
      <c r="H1677" s="44">
        <f t="shared" si="116"/>
        <v>1467324</v>
      </c>
      <c r="I1677"/>
      <c r="M1677" s="44" t="s">
        <v>38</v>
      </c>
    </row>
    <row r="1678" spans="1:13">
      <c r="A1678" s="86">
        <v>44896</v>
      </c>
      <c r="B1678" s="82">
        <f t="shared" si="117"/>
        <v>12</v>
      </c>
      <c r="C1678">
        <f t="shared" si="115"/>
        <v>2022</v>
      </c>
      <c r="E1678" t="s">
        <v>97</v>
      </c>
      <c r="F1678" s="111">
        <v>3811562</v>
      </c>
      <c r="H1678" s="44">
        <f t="shared" si="116"/>
        <v>3811562</v>
      </c>
      <c r="I1678"/>
      <c r="M1678" s="44" t="s">
        <v>34</v>
      </c>
    </row>
    <row r="1679" spans="1:13">
      <c r="A1679" s="86">
        <v>44593</v>
      </c>
      <c r="B1679" s="82">
        <f t="shared" si="117"/>
        <v>2</v>
      </c>
      <c r="C1679">
        <f t="shared" si="115"/>
        <v>2022</v>
      </c>
      <c r="E1679" t="s">
        <v>230</v>
      </c>
      <c r="F1679" s="111"/>
      <c r="G1679" s="44">
        <v>4248900</v>
      </c>
      <c r="H1679" s="44">
        <f t="shared" si="116"/>
        <v>-4248900</v>
      </c>
      <c r="I1679"/>
      <c r="M1679" s="44" t="s">
        <v>39</v>
      </c>
    </row>
    <row r="1680" spans="1:13">
      <c r="A1680" s="86">
        <v>44593</v>
      </c>
      <c r="B1680" s="82">
        <f t="shared" si="117"/>
        <v>2</v>
      </c>
      <c r="C1680">
        <f t="shared" si="115"/>
        <v>2022</v>
      </c>
      <c r="E1680" t="s">
        <v>230</v>
      </c>
      <c r="F1680" s="111"/>
      <c r="G1680" s="44">
        <v>1110474</v>
      </c>
      <c r="H1680" s="44">
        <f t="shared" si="116"/>
        <v>-1110474</v>
      </c>
      <c r="I1680"/>
      <c r="M1680" s="44" t="s">
        <v>35</v>
      </c>
    </row>
    <row r="1681" spans="1:13">
      <c r="A1681" s="86">
        <v>44593</v>
      </c>
      <c r="B1681" s="82">
        <f t="shared" si="117"/>
        <v>2</v>
      </c>
      <c r="C1681">
        <f t="shared" si="115"/>
        <v>2022</v>
      </c>
      <c r="E1681" t="s">
        <v>230</v>
      </c>
      <c r="F1681" s="111"/>
      <c r="G1681" s="44">
        <v>872984</v>
      </c>
      <c r="H1681" s="44">
        <f t="shared" si="116"/>
        <v>-872984</v>
      </c>
      <c r="I1681"/>
      <c r="M1681" s="44" t="s">
        <v>31</v>
      </c>
    </row>
    <row r="1682" spans="1:13">
      <c r="A1682" s="86">
        <v>44593</v>
      </c>
      <c r="B1682" s="82">
        <f t="shared" si="117"/>
        <v>2</v>
      </c>
      <c r="C1682">
        <f t="shared" si="115"/>
        <v>2022</v>
      </c>
      <c r="E1682" t="s">
        <v>230</v>
      </c>
      <c r="F1682" s="111"/>
      <c r="G1682" s="44">
        <v>601126</v>
      </c>
      <c r="H1682" s="44">
        <f t="shared" si="116"/>
        <v>-601126</v>
      </c>
      <c r="I1682"/>
      <c r="M1682" s="44" t="s">
        <v>40</v>
      </c>
    </row>
    <row r="1683" spans="1:13">
      <c r="A1683" s="86">
        <v>44593</v>
      </c>
      <c r="B1683" s="82">
        <f t="shared" si="117"/>
        <v>2</v>
      </c>
      <c r="C1683">
        <f t="shared" si="115"/>
        <v>2022</v>
      </c>
      <c r="E1683" t="s">
        <v>230</v>
      </c>
      <c r="F1683" s="111"/>
      <c r="G1683" s="44">
        <v>2644640</v>
      </c>
      <c r="H1683" s="44">
        <f t="shared" si="116"/>
        <v>-2644640</v>
      </c>
      <c r="I1683"/>
      <c r="M1683" s="44" t="s">
        <v>36</v>
      </c>
    </row>
    <row r="1684" spans="1:13">
      <c r="A1684" s="86">
        <v>44593</v>
      </c>
      <c r="B1684" s="82">
        <f t="shared" si="117"/>
        <v>2</v>
      </c>
      <c r="C1684">
        <f t="shared" si="115"/>
        <v>2022</v>
      </c>
      <c r="E1684" t="s">
        <v>230</v>
      </c>
      <c r="F1684" s="111"/>
      <c r="G1684" s="44">
        <v>1115827</v>
      </c>
      <c r="H1684" s="44">
        <f t="shared" si="116"/>
        <v>-1115827</v>
      </c>
      <c r="I1684"/>
      <c r="M1684" s="44" t="s">
        <v>32</v>
      </c>
    </row>
    <row r="1685" spans="1:13">
      <c r="A1685" s="86">
        <v>44593</v>
      </c>
      <c r="B1685" s="82">
        <f t="shared" si="117"/>
        <v>2</v>
      </c>
      <c r="C1685">
        <f t="shared" si="115"/>
        <v>2022</v>
      </c>
      <c r="E1685" t="s">
        <v>230</v>
      </c>
      <c r="F1685" s="111"/>
      <c r="G1685" s="44">
        <v>550988</v>
      </c>
      <c r="H1685" s="44">
        <f t="shared" si="116"/>
        <v>-550988</v>
      </c>
      <c r="I1685"/>
      <c r="M1685" s="44" t="s">
        <v>37</v>
      </c>
    </row>
    <row r="1686" spans="1:13">
      <c r="A1686" s="86">
        <v>44593</v>
      </c>
      <c r="B1686" s="82">
        <f t="shared" si="117"/>
        <v>2</v>
      </c>
      <c r="C1686">
        <f t="shared" si="115"/>
        <v>2022</v>
      </c>
      <c r="E1686" t="s">
        <v>230</v>
      </c>
      <c r="F1686" s="111"/>
      <c r="G1686" s="44">
        <v>1756304</v>
      </c>
      <c r="H1686" s="44">
        <f t="shared" si="116"/>
        <v>-1756304</v>
      </c>
      <c r="I1686"/>
      <c r="M1686" s="44" t="s">
        <v>33</v>
      </c>
    </row>
    <row r="1687" spans="1:13">
      <c r="A1687" s="86">
        <v>44593</v>
      </c>
      <c r="B1687" s="82">
        <f t="shared" si="117"/>
        <v>2</v>
      </c>
      <c r="C1687">
        <f t="shared" si="115"/>
        <v>2022</v>
      </c>
      <c r="E1687" t="s">
        <v>230</v>
      </c>
      <c r="F1687" s="111"/>
      <c r="G1687" s="44">
        <v>1005360</v>
      </c>
      <c r="H1687" s="44">
        <f t="shared" si="116"/>
        <v>-1005360</v>
      </c>
      <c r="I1687"/>
      <c r="M1687" s="44" t="s">
        <v>38</v>
      </c>
    </row>
    <row r="1688" spans="1:13">
      <c r="A1688" s="86">
        <v>44593</v>
      </c>
      <c r="B1688" s="82">
        <f t="shared" si="117"/>
        <v>2</v>
      </c>
      <c r="C1688">
        <f t="shared" si="115"/>
        <v>2022</v>
      </c>
      <c r="E1688" t="s">
        <v>230</v>
      </c>
      <c r="F1688" s="111"/>
      <c r="G1688" s="44">
        <v>1839104</v>
      </c>
      <c r="H1688" s="44">
        <f t="shared" si="116"/>
        <v>-1839104</v>
      </c>
      <c r="I1688"/>
      <c r="M1688" s="44" t="s">
        <v>34</v>
      </c>
    </row>
    <row r="1689" spans="1:13">
      <c r="A1689" s="86">
        <v>44621</v>
      </c>
      <c r="B1689" s="82">
        <f t="shared" si="117"/>
        <v>3</v>
      </c>
      <c r="C1689">
        <f t="shared" si="115"/>
        <v>2022</v>
      </c>
      <c r="E1689" t="s">
        <v>230</v>
      </c>
      <c r="F1689" s="111"/>
      <c r="G1689" s="44">
        <v>6673173</v>
      </c>
      <c r="H1689" s="44">
        <f t="shared" si="116"/>
        <v>-6673173</v>
      </c>
      <c r="I1689"/>
      <c r="M1689" s="44" t="s">
        <v>39</v>
      </c>
    </row>
    <row r="1690" spans="1:13">
      <c r="A1690" s="86">
        <v>44621</v>
      </c>
      <c r="B1690" s="82">
        <f t="shared" si="117"/>
        <v>3</v>
      </c>
      <c r="C1690">
        <f t="shared" si="115"/>
        <v>2022</v>
      </c>
      <c r="E1690" t="s">
        <v>230</v>
      </c>
      <c r="F1690" s="111"/>
      <c r="G1690" s="44">
        <v>3125394</v>
      </c>
      <c r="H1690" s="44">
        <f t="shared" si="116"/>
        <v>-3125394</v>
      </c>
      <c r="I1690"/>
      <c r="M1690" s="44" t="s">
        <v>35</v>
      </c>
    </row>
    <row r="1691" spans="1:13">
      <c r="A1691" s="86">
        <v>44621</v>
      </c>
      <c r="B1691" s="82">
        <f t="shared" si="117"/>
        <v>3</v>
      </c>
      <c r="C1691">
        <f t="shared" si="115"/>
        <v>2022</v>
      </c>
      <c r="E1691" t="s">
        <v>230</v>
      </c>
      <c r="F1691" s="111"/>
      <c r="G1691" s="44">
        <v>1898699</v>
      </c>
      <c r="H1691" s="44">
        <f t="shared" si="116"/>
        <v>-1898699</v>
      </c>
      <c r="I1691"/>
      <c r="M1691" s="44" t="s">
        <v>31</v>
      </c>
    </row>
    <row r="1692" spans="1:13">
      <c r="A1692" s="86">
        <v>44621</v>
      </c>
      <c r="B1692" s="82">
        <f t="shared" si="117"/>
        <v>3</v>
      </c>
      <c r="C1692">
        <f t="shared" si="115"/>
        <v>2022</v>
      </c>
      <c r="E1692" t="s">
        <v>230</v>
      </c>
      <c r="F1692" s="111"/>
      <c r="G1692" s="44">
        <v>273400</v>
      </c>
      <c r="H1692" s="44">
        <f t="shared" si="116"/>
        <v>-273400</v>
      </c>
      <c r="I1692"/>
      <c r="M1692" s="44" t="s">
        <v>40</v>
      </c>
    </row>
    <row r="1693" spans="1:13">
      <c r="A1693" s="86">
        <v>44621</v>
      </c>
      <c r="B1693" s="82">
        <f t="shared" si="117"/>
        <v>3</v>
      </c>
      <c r="C1693">
        <f t="shared" si="115"/>
        <v>2022</v>
      </c>
      <c r="E1693" t="s">
        <v>230</v>
      </c>
      <c r="F1693" s="111"/>
      <c r="G1693" s="44">
        <v>3993022</v>
      </c>
      <c r="H1693" s="44">
        <f t="shared" si="116"/>
        <v>-3993022</v>
      </c>
      <c r="I1693"/>
      <c r="M1693" s="44" t="s">
        <v>36</v>
      </c>
    </row>
    <row r="1694" spans="1:13">
      <c r="A1694" s="86">
        <v>44621</v>
      </c>
      <c r="B1694" s="82">
        <f t="shared" si="117"/>
        <v>3</v>
      </c>
      <c r="C1694">
        <f t="shared" si="115"/>
        <v>2022</v>
      </c>
      <c r="E1694" t="s">
        <v>230</v>
      </c>
      <c r="F1694" s="111"/>
      <c r="G1694" s="44">
        <v>2943565</v>
      </c>
      <c r="H1694" s="44">
        <f t="shared" si="116"/>
        <v>-2943565</v>
      </c>
      <c r="I1694"/>
      <c r="M1694" s="44" t="s">
        <v>32</v>
      </c>
    </row>
    <row r="1695" spans="1:13">
      <c r="A1695" s="86">
        <v>44621</v>
      </c>
      <c r="B1695" s="82">
        <f t="shared" si="117"/>
        <v>3</v>
      </c>
      <c r="C1695">
        <f t="shared" si="115"/>
        <v>2022</v>
      </c>
      <c r="E1695" t="s">
        <v>230</v>
      </c>
      <c r="F1695" s="111"/>
      <c r="G1695" s="44">
        <v>1034759</v>
      </c>
      <c r="H1695" s="44">
        <f t="shared" si="116"/>
        <v>-1034759</v>
      </c>
      <c r="I1695"/>
      <c r="M1695" s="44" t="s">
        <v>37</v>
      </c>
    </row>
    <row r="1696" spans="1:13">
      <c r="A1696" s="86">
        <v>44621</v>
      </c>
      <c r="B1696" s="82">
        <f t="shared" si="117"/>
        <v>3</v>
      </c>
      <c r="C1696">
        <f t="shared" si="115"/>
        <v>2022</v>
      </c>
      <c r="E1696" t="s">
        <v>230</v>
      </c>
      <c r="F1696" s="111"/>
      <c r="G1696" s="44">
        <v>3038564</v>
      </c>
      <c r="H1696" s="44">
        <f t="shared" si="116"/>
        <v>-3038564</v>
      </c>
      <c r="I1696"/>
      <c r="M1696" s="44" t="s">
        <v>33</v>
      </c>
    </row>
    <row r="1697" spans="1:13">
      <c r="A1697" s="86">
        <v>44621</v>
      </c>
      <c r="B1697" s="82">
        <f t="shared" si="117"/>
        <v>3</v>
      </c>
      <c r="C1697">
        <f t="shared" ref="C1697:C1760" si="118">YEAR(A1697)</f>
        <v>2022</v>
      </c>
      <c r="E1697" t="s">
        <v>230</v>
      </c>
      <c r="F1697" s="111"/>
      <c r="G1697" s="44">
        <v>1548704</v>
      </c>
      <c r="H1697" s="44">
        <f t="shared" si="116"/>
        <v>-1548704</v>
      </c>
      <c r="I1697"/>
      <c r="M1697" s="44" t="s">
        <v>38</v>
      </c>
    </row>
    <row r="1698" spans="1:13">
      <c r="A1698" s="86">
        <v>44621</v>
      </c>
      <c r="B1698" s="82">
        <f t="shared" si="117"/>
        <v>3</v>
      </c>
      <c r="C1698">
        <f t="shared" si="118"/>
        <v>2022</v>
      </c>
      <c r="E1698" t="s">
        <v>230</v>
      </c>
      <c r="F1698" s="111"/>
      <c r="G1698" s="44">
        <v>3341768</v>
      </c>
      <c r="H1698" s="44">
        <f t="shared" si="116"/>
        <v>-3341768</v>
      </c>
      <c r="I1698"/>
      <c r="M1698" s="44" t="s">
        <v>34</v>
      </c>
    </row>
    <row r="1699" spans="1:13">
      <c r="A1699" s="86">
        <v>44652</v>
      </c>
      <c r="B1699" s="82">
        <f t="shared" si="117"/>
        <v>4</v>
      </c>
      <c r="C1699">
        <f t="shared" si="118"/>
        <v>2022</v>
      </c>
      <c r="E1699" t="s">
        <v>230</v>
      </c>
      <c r="F1699" s="111"/>
      <c r="G1699" s="44">
        <v>10445751</v>
      </c>
      <c r="H1699" s="44">
        <f t="shared" si="116"/>
        <v>-10445751</v>
      </c>
      <c r="I1699"/>
      <c r="M1699" s="44" t="s">
        <v>39</v>
      </c>
    </row>
    <row r="1700" spans="1:13">
      <c r="A1700" s="86">
        <v>44652</v>
      </c>
      <c r="B1700" s="82">
        <f t="shared" si="117"/>
        <v>4</v>
      </c>
      <c r="C1700">
        <f t="shared" si="118"/>
        <v>2022</v>
      </c>
      <c r="E1700" t="s">
        <v>230</v>
      </c>
      <c r="F1700" s="111"/>
      <c r="G1700" s="44">
        <v>2387086</v>
      </c>
      <c r="H1700" s="44">
        <f t="shared" si="116"/>
        <v>-2387086</v>
      </c>
      <c r="I1700"/>
      <c r="M1700" s="44" t="s">
        <v>35</v>
      </c>
    </row>
    <row r="1701" spans="1:13">
      <c r="A1701" s="86">
        <v>44652</v>
      </c>
      <c r="B1701" s="82">
        <f t="shared" si="117"/>
        <v>4</v>
      </c>
      <c r="C1701">
        <f t="shared" si="118"/>
        <v>2022</v>
      </c>
      <c r="E1701" t="s">
        <v>230</v>
      </c>
      <c r="F1701" s="111"/>
      <c r="G1701" s="44">
        <v>2949661</v>
      </c>
      <c r="H1701" s="44">
        <f t="shared" si="116"/>
        <v>-2949661</v>
      </c>
      <c r="I1701"/>
      <c r="M1701" s="44" t="s">
        <v>31</v>
      </c>
    </row>
    <row r="1702" spans="1:13">
      <c r="A1702" s="86">
        <v>44652</v>
      </c>
      <c r="B1702" s="82">
        <f t="shared" si="117"/>
        <v>4</v>
      </c>
      <c r="C1702">
        <f t="shared" si="118"/>
        <v>2022</v>
      </c>
      <c r="E1702" t="s">
        <v>230</v>
      </c>
      <c r="F1702" s="111"/>
      <c r="G1702" s="44">
        <v>1491121</v>
      </c>
      <c r="H1702" s="44">
        <f t="shared" si="116"/>
        <v>-1491121</v>
      </c>
      <c r="I1702"/>
      <c r="M1702" s="44" t="s">
        <v>40</v>
      </c>
    </row>
    <row r="1703" spans="1:13">
      <c r="A1703" s="86">
        <v>44652</v>
      </c>
      <c r="B1703" s="82">
        <f t="shared" si="117"/>
        <v>4</v>
      </c>
      <c r="C1703">
        <f t="shared" si="118"/>
        <v>2022</v>
      </c>
      <c r="E1703" t="s">
        <v>230</v>
      </c>
      <c r="F1703" s="111"/>
      <c r="G1703" s="44">
        <v>4209532</v>
      </c>
      <c r="H1703" s="44">
        <f t="shared" si="116"/>
        <v>-4209532</v>
      </c>
      <c r="I1703"/>
      <c r="M1703" s="44" t="s">
        <v>36</v>
      </c>
    </row>
    <row r="1704" spans="1:13">
      <c r="A1704" s="86">
        <v>44652</v>
      </c>
      <c r="B1704" s="82">
        <f t="shared" si="117"/>
        <v>4</v>
      </c>
      <c r="C1704">
        <f t="shared" si="118"/>
        <v>2022</v>
      </c>
      <c r="E1704" t="s">
        <v>230</v>
      </c>
      <c r="F1704" s="111"/>
      <c r="G1704" s="44">
        <v>3365422</v>
      </c>
      <c r="H1704" s="44">
        <f t="shared" si="116"/>
        <v>-3365422</v>
      </c>
      <c r="I1704"/>
      <c r="M1704" s="44" t="s">
        <v>32</v>
      </c>
    </row>
    <row r="1705" spans="1:13">
      <c r="A1705" s="86">
        <v>44652</v>
      </c>
      <c r="B1705" s="82">
        <f t="shared" si="117"/>
        <v>4</v>
      </c>
      <c r="C1705">
        <f t="shared" si="118"/>
        <v>2022</v>
      </c>
      <c r="E1705" t="s">
        <v>230</v>
      </c>
      <c r="F1705" s="111"/>
      <c r="G1705" s="44">
        <v>1069643</v>
      </c>
      <c r="H1705" s="44">
        <f t="shared" si="116"/>
        <v>-1069643</v>
      </c>
      <c r="I1705"/>
      <c r="M1705" s="44" t="s">
        <v>37</v>
      </c>
    </row>
    <row r="1706" spans="1:13">
      <c r="A1706" s="86">
        <v>44652</v>
      </c>
      <c r="B1706" s="82">
        <f t="shared" si="117"/>
        <v>4</v>
      </c>
      <c r="C1706">
        <f t="shared" si="118"/>
        <v>2022</v>
      </c>
      <c r="E1706" t="s">
        <v>230</v>
      </c>
      <c r="F1706" s="111"/>
      <c r="G1706" s="44">
        <v>3485542</v>
      </c>
      <c r="H1706" s="44">
        <f t="shared" si="116"/>
        <v>-3485542</v>
      </c>
      <c r="I1706"/>
      <c r="M1706" s="44" t="s">
        <v>33</v>
      </c>
    </row>
    <row r="1707" spans="1:13">
      <c r="A1707" s="86">
        <v>44652</v>
      </c>
      <c r="B1707" s="82">
        <f t="shared" si="117"/>
        <v>4</v>
      </c>
      <c r="C1707">
        <f t="shared" si="118"/>
        <v>2022</v>
      </c>
      <c r="E1707" t="s">
        <v>230</v>
      </c>
      <c r="F1707" s="111"/>
      <c r="G1707" s="44">
        <v>2951664</v>
      </c>
      <c r="H1707" s="44">
        <f t="shared" si="116"/>
        <v>-2951664</v>
      </c>
      <c r="I1707"/>
      <c r="M1707" s="44" t="s">
        <v>38</v>
      </c>
    </row>
    <row r="1708" spans="1:13">
      <c r="A1708" s="86">
        <v>44652</v>
      </c>
      <c r="B1708" s="82">
        <f t="shared" si="117"/>
        <v>4</v>
      </c>
      <c r="C1708">
        <f t="shared" si="118"/>
        <v>2022</v>
      </c>
      <c r="E1708" t="s">
        <v>230</v>
      </c>
      <c r="F1708" s="111"/>
      <c r="G1708" s="44">
        <v>2503520</v>
      </c>
      <c r="H1708" s="44">
        <f t="shared" si="116"/>
        <v>-2503520</v>
      </c>
      <c r="I1708"/>
      <c r="M1708" s="44" t="s">
        <v>34</v>
      </c>
    </row>
    <row r="1709" spans="1:13">
      <c r="A1709" s="86">
        <v>44682</v>
      </c>
      <c r="B1709" s="82">
        <f t="shared" si="117"/>
        <v>5</v>
      </c>
      <c r="C1709">
        <f t="shared" si="118"/>
        <v>2022</v>
      </c>
      <c r="E1709" t="s">
        <v>230</v>
      </c>
      <c r="F1709" s="111"/>
      <c r="G1709" s="44">
        <v>6605202</v>
      </c>
      <c r="H1709" s="44">
        <f t="shared" si="116"/>
        <v>-6605202</v>
      </c>
      <c r="I1709"/>
      <c r="M1709" s="44" t="s">
        <v>39</v>
      </c>
    </row>
    <row r="1710" spans="1:13">
      <c r="A1710" s="86">
        <v>44682</v>
      </c>
      <c r="B1710" s="82">
        <f t="shared" si="117"/>
        <v>5</v>
      </c>
      <c r="C1710">
        <f t="shared" si="118"/>
        <v>2022</v>
      </c>
      <c r="E1710" t="s">
        <v>230</v>
      </c>
      <c r="F1710" s="111"/>
      <c r="G1710" s="44">
        <v>1468482</v>
      </c>
      <c r="H1710" s="44">
        <f t="shared" si="116"/>
        <v>-1468482</v>
      </c>
      <c r="I1710"/>
      <c r="M1710" s="44" t="s">
        <v>35</v>
      </c>
    </row>
    <row r="1711" spans="1:13">
      <c r="A1711" s="86">
        <v>44682</v>
      </c>
      <c r="B1711" s="82">
        <f t="shared" si="117"/>
        <v>5</v>
      </c>
      <c r="C1711">
        <f t="shared" si="118"/>
        <v>2022</v>
      </c>
      <c r="E1711" t="s">
        <v>230</v>
      </c>
      <c r="F1711" s="111"/>
      <c r="G1711" s="44">
        <v>3506495</v>
      </c>
      <c r="H1711" s="44">
        <f t="shared" si="116"/>
        <v>-3506495</v>
      </c>
      <c r="I1711"/>
      <c r="M1711" s="44" t="s">
        <v>31</v>
      </c>
    </row>
    <row r="1712" spans="1:13">
      <c r="A1712" s="86">
        <v>44682</v>
      </c>
      <c r="B1712" s="82">
        <f t="shared" si="117"/>
        <v>5</v>
      </c>
      <c r="C1712">
        <f t="shared" si="118"/>
        <v>2022</v>
      </c>
      <c r="E1712" t="s">
        <v>230</v>
      </c>
      <c r="F1712" s="111"/>
      <c r="G1712" s="44">
        <v>2957728</v>
      </c>
      <c r="H1712" s="44">
        <f t="shared" si="116"/>
        <v>-2957728</v>
      </c>
      <c r="I1712"/>
      <c r="M1712" s="44" t="s">
        <v>40</v>
      </c>
    </row>
    <row r="1713" spans="1:13">
      <c r="A1713" s="86">
        <v>44682</v>
      </c>
      <c r="B1713" s="82">
        <f t="shared" si="117"/>
        <v>5</v>
      </c>
      <c r="C1713">
        <f t="shared" si="118"/>
        <v>2022</v>
      </c>
      <c r="E1713" t="s">
        <v>230</v>
      </c>
      <c r="F1713" s="111"/>
      <c r="G1713" s="44">
        <v>1934832</v>
      </c>
      <c r="H1713" s="44">
        <f t="shared" si="116"/>
        <v>-1934832</v>
      </c>
      <c r="I1713"/>
      <c r="M1713" s="44" t="s">
        <v>36</v>
      </c>
    </row>
    <row r="1714" spans="1:13">
      <c r="A1714" s="86">
        <v>44682</v>
      </c>
      <c r="B1714" s="82">
        <f t="shared" si="117"/>
        <v>5</v>
      </c>
      <c r="C1714">
        <f t="shared" si="118"/>
        <v>2022</v>
      </c>
      <c r="E1714" t="s">
        <v>230</v>
      </c>
      <c r="F1714" s="111"/>
      <c r="G1714" s="44">
        <v>1672612</v>
      </c>
      <c r="H1714" s="44">
        <f t="shared" si="116"/>
        <v>-1672612</v>
      </c>
      <c r="I1714"/>
      <c r="M1714" s="44" t="s">
        <v>32</v>
      </c>
    </row>
    <row r="1715" spans="1:13">
      <c r="A1715" s="86">
        <v>44682</v>
      </c>
      <c r="B1715" s="82">
        <f t="shared" si="117"/>
        <v>5</v>
      </c>
      <c r="C1715">
        <f t="shared" si="118"/>
        <v>2022</v>
      </c>
      <c r="E1715" t="s">
        <v>230</v>
      </c>
      <c r="F1715" s="111"/>
      <c r="G1715" s="44">
        <v>1627838</v>
      </c>
      <c r="H1715" s="44">
        <f t="shared" si="116"/>
        <v>-1627838</v>
      </c>
      <c r="I1715"/>
      <c r="M1715" s="44" t="s">
        <v>37</v>
      </c>
    </row>
    <row r="1716" spans="1:13">
      <c r="A1716" s="86">
        <v>44682</v>
      </c>
      <c r="B1716" s="82">
        <f t="shared" si="117"/>
        <v>5</v>
      </c>
      <c r="C1716">
        <f t="shared" si="118"/>
        <v>2022</v>
      </c>
      <c r="E1716" t="s">
        <v>230</v>
      </c>
      <c r="F1716" s="111"/>
      <c r="G1716" s="44">
        <v>440505</v>
      </c>
      <c r="H1716" s="44">
        <f t="shared" si="116"/>
        <v>-440505</v>
      </c>
      <c r="I1716"/>
      <c r="M1716" s="44" t="s">
        <v>33</v>
      </c>
    </row>
    <row r="1717" spans="1:13">
      <c r="A1717" s="86">
        <v>44682</v>
      </c>
      <c r="B1717" s="82">
        <f t="shared" si="117"/>
        <v>5</v>
      </c>
      <c r="C1717">
        <f t="shared" si="118"/>
        <v>2022</v>
      </c>
      <c r="E1717" t="s">
        <v>230</v>
      </c>
      <c r="F1717" s="111"/>
      <c r="G1717" s="44">
        <v>3080200</v>
      </c>
      <c r="H1717" s="44">
        <f t="shared" si="116"/>
        <v>-3080200</v>
      </c>
      <c r="I1717"/>
      <c r="M1717" s="44" t="s">
        <v>38</v>
      </c>
    </row>
    <row r="1718" spans="1:13">
      <c r="A1718" s="86">
        <v>44682</v>
      </c>
      <c r="B1718" s="82">
        <f t="shared" si="117"/>
        <v>5</v>
      </c>
      <c r="C1718">
        <f t="shared" si="118"/>
        <v>2022</v>
      </c>
      <c r="E1718" t="s">
        <v>230</v>
      </c>
      <c r="F1718" s="111"/>
      <c r="G1718" s="44">
        <v>2322432</v>
      </c>
      <c r="H1718" s="44">
        <f t="shared" si="116"/>
        <v>-2322432</v>
      </c>
      <c r="I1718"/>
      <c r="M1718" s="44" t="s">
        <v>34</v>
      </c>
    </row>
    <row r="1719" spans="1:13">
      <c r="A1719" s="86">
        <v>44713</v>
      </c>
      <c r="B1719" s="82">
        <f t="shared" si="117"/>
        <v>6</v>
      </c>
      <c r="C1719">
        <f t="shared" si="118"/>
        <v>2022</v>
      </c>
      <c r="E1719" t="s">
        <v>230</v>
      </c>
      <c r="F1719" s="111"/>
      <c r="G1719" s="44">
        <v>6609510</v>
      </c>
      <c r="H1719" s="44">
        <f t="shared" si="116"/>
        <v>-6609510</v>
      </c>
      <c r="I1719"/>
      <c r="M1719" s="44" t="s">
        <v>39</v>
      </c>
    </row>
    <row r="1720" spans="1:13">
      <c r="A1720" s="86">
        <v>44713</v>
      </c>
      <c r="B1720" s="82">
        <f t="shared" si="117"/>
        <v>6</v>
      </c>
      <c r="C1720">
        <f t="shared" si="118"/>
        <v>2022</v>
      </c>
      <c r="E1720" t="s">
        <v>230</v>
      </c>
      <c r="F1720" s="111"/>
      <c r="G1720" s="44">
        <v>2434652</v>
      </c>
      <c r="H1720" s="44">
        <f t="shared" si="116"/>
        <v>-2434652</v>
      </c>
      <c r="I1720"/>
      <c r="M1720" s="44" t="s">
        <v>35</v>
      </c>
    </row>
    <row r="1721" spans="1:13">
      <c r="A1721" s="86">
        <v>44713</v>
      </c>
      <c r="B1721" s="82">
        <f t="shared" si="117"/>
        <v>6</v>
      </c>
      <c r="C1721">
        <f t="shared" si="118"/>
        <v>2022</v>
      </c>
      <c r="E1721" t="s">
        <v>230</v>
      </c>
      <c r="F1721" s="111"/>
      <c r="G1721" s="44">
        <v>3382850</v>
      </c>
      <c r="H1721" s="44">
        <f t="shared" si="116"/>
        <v>-3382850</v>
      </c>
      <c r="I1721"/>
      <c r="M1721" s="44" t="s">
        <v>31</v>
      </c>
    </row>
    <row r="1722" spans="1:13">
      <c r="A1722" s="86">
        <v>44713</v>
      </c>
      <c r="B1722" s="82">
        <f t="shared" si="117"/>
        <v>6</v>
      </c>
      <c r="C1722">
        <f t="shared" si="118"/>
        <v>2022</v>
      </c>
      <c r="E1722" t="s">
        <v>230</v>
      </c>
      <c r="F1722" s="111"/>
      <c r="G1722" s="44">
        <v>1640395</v>
      </c>
      <c r="H1722" s="44">
        <f t="shared" si="116"/>
        <v>-1640395</v>
      </c>
      <c r="I1722"/>
      <c r="M1722" s="44" t="s">
        <v>40</v>
      </c>
    </row>
    <row r="1723" spans="1:13">
      <c r="A1723" s="86">
        <v>44713</v>
      </c>
      <c r="B1723" s="82">
        <f t="shared" si="117"/>
        <v>6</v>
      </c>
      <c r="C1723">
        <f t="shared" si="118"/>
        <v>2022</v>
      </c>
      <c r="E1723" t="s">
        <v>230</v>
      </c>
      <c r="F1723" s="111"/>
      <c r="G1723" s="44">
        <v>2780841</v>
      </c>
      <c r="H1723" s="44">
        <f t="shared" si="116"/>
        <v>-2780841</v>
      </c>
      <c r="I1723"/>
      <c r="M1723" s="44" t="s">
        <v>36</v>
      </c>
    </row>
    <row r="1724" spans="1:13">
      <c r="A1724" s="86">
        <v>44713</v>
      </c>
      <c r="B1724" s="82">
        <f t="shared" si="117"/>
        <v>6</v>
      </c>
      <c r="C1724">
        <f t="shared" si="118"/>
        <v>2022</v>
      </c>
      <c r="E1724" t="s">
        <v>230</v>
      </c>
      <c r="F1724" s="111"/>
      <c r="G1724" s="44">
        <v>1817875</v>
      </c>
      <c r="H1724" s="44">
        <f t="shared" si="116"/>
        <v>-1817875</v>
      </c>
      <c r="I1724"/>
      <c r="M1724" s="44" t="s">
        <v>32</v>
      </c>
    </row>
    <row r="1725" spans="1:13">
      <c r="A1725" s="86">
        <v>44713</v>
      </c>
      <c r="B1725" s="82">
        <f t="shared" si="117"/>
        <v>6</v>
      </c>
      <c r="C1725">
        <f t="shared" si="118"/>
        <v>2022</v>
      </c>
      <c r="E1725" t="s">
        <v>230</v>
      </c>
      <c r="F1725" s="111"/>
      <c r="G1725" s="44">
        <v>1755354</v>
      </c>
      <c r="H1725" s="44">
        <f t="shared" si="116"/>
        <v>-1755354</v>
      </c>
      <c r="I1725"/>
      <c r="M1725" s="44" t="s">
        <v>37</v>
      </c>
    </row>
    <row r="1726" spans="1:13">
      <c r="A1726" s="86">
        <v>44713</v>
      </c>
      <c r="B1726" s="82">
        <f t="shared" si="117"/>
        <v>6</v>
      </c>
      <c r="C1726">
        <f t="shared" si="118"/>
        <v>2022</v>
      </c>
      <c r="E1726" t="s">
        <v>230</v>
      </c>
      <c r="F1726" s="111"/>
      <c r="G1726" s="44">
        <v>1374009</v>
      </c>
      <c r="H1726" s="44">
        <f t="shared" si="116"/>
        <v>-1374009</v>
      </c>
      <c r="I1726"/>
      <c r="M1726" s="44" t="s">
        <v>33</v>
      </c>
    </row>
    <row r="1727" spans="1:13">
      <c r="A1727" s="86">
        <v>44713</v>
      </c>
      <c r="B1727" s="82">
        <f t="shared" si="117"/>
        <v>6</v>
      </c>
      <c r="C1727">
        <f t="shared" si="118"/>
        <v>2022</v>
      </c>
      <c r="E1727" t="s">
        <v>230</v>
      </c>
      <c r="F1727" s="111"/>
      <c r="G1727" s="44">
        <v>2064221</v>
      </c>
      <c r="H1727" s="44">
        <f t="shared" si="116"/>
        <v>-2064221</v>
      </c>
      <c r="I1727"/>
      <c r="M1727" s="44" t="s">
        <v>38</v>
      </c>
    </row>
    <row r="1728" spans="1:13">
      <c r="A1728" s="86">
        <v>44713</v>
      </c>
      <c r="B1728" s="82">
        <f t="shared" si="117"/>
        <v>6</v>
      </c>
      <c r="C1728">
        <f t="shared" si="118"/>
        <v>2022</v>
      </c>
      <c r="E1728" t="s">
        <v>230</v>
      </c>
      <c r="F1728" s="111"/>
      <c r="G1728" s="44">
        <v>3556080</v>
      </c>
      <c r="H1728" s="44">
        <f t="shared" si="116"/>
        <v>-3556080</v>
      </c>
      <c r="I1728"/>
      <c r="M1728" s="44" t="s">
        <v>34</v>
      </c>
    </row>
    <row r="1729" spans="1:13">
      <c r="A1729" s="86">
        <v>44743</v>
      </c>
      <c r="B1729" s="82">
        <f t="shared" si="117"/>
        <v>7</v>
      </c>
      <c r="C1729">
        <f t="shared" si="118"/>
        <v>2022</v>
      </c>
      <c r="E1729" t="s">
        <v>230</v>
      </c>
      <c r="F1729" s="111"/>
      <c r="G1729" s="44">
        <v>6336828</v>
      </c>
      <c r="H1729" s="44">
        <f t="shared" si="116"/>
        <v>-6336828</v>
      </c>
      <c r="I1729"/>
      <c r="M1729" s="44" t="s">
        <v>39</v>
      </c>
    </row>
    <row r="1730" spans="1:13">
      <c r="A1730" s="86">
        <v>44743</v>
      </c>
      <c r="B1730" s="82">
        <f t="shared" si="117"/>
        <v>7</v>
      </c>
      <c r="C1730">
        <f t="shared" si="118"/>
        <v>2022</v>
      </c>
      <c r="E1730" t="s">
        <v>230</v>
      </c>
      <c r="F1730" s="111"/>
      <c r="G1730" s="44">
        <v>1938936</v>
      </c>
      <c r="H1730" s="44">
        <f t="shared" ref="H1730:H1793" si="119">F1730-G1730</f>
        <v>-1938936</v>
      </c>
      <c r="I1730"/>
      <c r="M1730" s="44" t="s">
        <v>35</v>
      </c>
    </row>
    <row r="1731" spans="1:13">
      <c r="A1731" s="86">
        <v>44743</v>
      </c>
      <c r="B1731" s="82">
        <f t="shared" ref="B1731:B1788" si="120">MONTH(A1731)</f>
        <v>7</v>
      </c>
      <c r="C1731">
        <f t="shared" si="118"/>
        <v>2022</v>
      </c>
      <c r="E1731" t="s">
        <v>230</v>
      </c>
      <c r="F1731" s="111"/>
      <c r="G1731" s="44">
        <v>2847533</v>
      </c>
      <c r="H1731" s="44">
        <f t="shared" si="119"/>
        <v>-2847533</v>
      </c>
      <c r="I1731"/>
      <c r="M1731" s="44" t="s">
        <v>31</v>
      </c>
    </row>
    <row r="1732" spans="1:13">
      <c r="A1732" s="86">
        <v>44743</v>
      </c>
      <c r="B1732" s="82">
        <f t="shared" si="120"/>
        <v>7</v>
      </c>
      <c r="C1732">
        <f t="shared" si="118"/>
        <v>2022</v>
      </c>
      <c r="E1732" t="s">
        <v>230</v>
      </c>
      <c r="F1732" s="111"/>
      <c r="G1732" s="44">
        <v>3224775</v>
      </c>
      <c r="H1732" s="44">
        <f t="shared" si="119"/>
        <v>-3224775</v>
      </c>
      <c r="I1732"/>
      <c r="M1732" s="44" t="s">
        <v>40</v>
      </c>
    </row>
    <row r="1733" spans="1:13">
      <c r="A1733" s="86">
        <v>44743</v>
      </c>
      <c r="B1733" s="82">
        <f t="shared" si="120"/>
        <v>7</v>
      </c>
      <c r="C1733">
        <f t="shared" si="118"/>
        <v>2022</v>
      </c>
      <c r="E1733" t="s">
        <v>230</v>
      </c>
      <c r="F1733" s="111"/>
      <c r="G1733" s="44">
        <v>3695992</v>
      </c>
      <c r="H1733" s="44">
        <f t="shared" si="119"/>
        <v>-3695992</v>
      </c>
      <c r="I1733"/>
      <c r="M1733" s="44" t="s">
        <v>36</v>
      </c>
    </row>
    <row r="1734" spans="1:13">
      <c r="A1734" s="86">
        <v>44743</v>
      </c>
      <c r="B1734" s="82">
        <f t="shared" si="120"/>
        <v>7</v>
      </c>
      <c r="C1734">
        <f t="shared" si="118"/>
        <v>2022</v>
      </c>
      <c r="E1734" t="s">
        <v>230</v>
      </c>
      <c r="F1734" s="111"/>
      <c r="G1734" s="44">
        <v>2622219</v>
      </c>
      <c r="H1734" s="44">
        <f t="shared" si="119"/>
        <v>-2622219</v>
      </c>
      <c r="I1734"/>
      <c r="M1734" s="44" t="s">
        <v>32</v>
      </c>
    </row>
    <row r="1735" spans="1:13">
      <c r="A1735" s="86">
        <v>44743</v>
      </c>
      <c r="B1735" s="82">
        <f t="shared" si="120"/>
        <v>7</v>
      </c>
      <c r="C1735">
        <f t="shared" si="118"/>
        <v>2022</v>
      </c>
      <c r="E1735" t="s">
        <v>230</v>
      </c>
      <c r="F1735" s="111"/>
      <c r="G1735" s="44">
        <v>1946911</v>
      </c>
      <c r="H1735" s="44">
        <f t="shared" si="119"/>
        <v>-1946911</v>
      </c>
      <c r="I1735"/>
      <c r="M1735" s="44" t="s">
        <v>37</v>
      </c>
    </row>
    <row r="1736" spans="1:13">
      <c r="A1736" s="86">
        <v>44743</v>
      </c>
      <c r="B1736" s="82">
        <f t="shared" si="120"/>
        <v>7</v>
      </c>
      <c r="C1736">
        <f t="shared" si="118"/>
        <v>2022</v>
      </c>
      <c r="E1736" t="s">
        <v>230</v>
      </c>
      <c r="F1736" s="111"/>
      <c r="G1736" s="44">
        <v>2533749</v>
      </c>
      <c r="H1736" s="44">
        <f t="shared" si="119"/>
        <v>-2533749</v>
      </c>
      <c r="I1736"/>
      <c r="M1736" s="44" t="s">
        <v>33</v>
      </c>
    </row>
    <row r="1737" spans="1:13">
      <c r="A1737" s="86">
        <v>44743</v>
      </c>
      <c r="B1737" s="82">
        <f t="shared" si="120"/>
        <v>7</v>
      </c>
      <c r="C1737">
        <f t="shared" si="118"/>
        <v>2022</v>
      </c>
      <c r="E1737" t="s">
        <v>230</v>
      </c>
      <c r="F1737" s="111"/>
      <c r="G1737" s="44">
        <v>2569734</v>
      </c>
      <c r="H1737" s="44">
        <f t="shared" si="119"/>
        <v>-2569734</v>
      </c>
      <c r="I1737"/>
      <c r="M1737" s="44" t="s">
        <v>38</v>
      </c>
    </row>
    <row r="1738" spans="1:13">
      <c r="A1738" s="86">
        <v>44743</v>
      </c>
      <c r="B1738" s="82">
        <f t="shared" si="120"/>
        <v>7</v>
      </c>
      <c r="C1738">
        <f t="shared" si="118"/>
        <v>2022</v>
      </c>
      <c r="E1738" t="s">
        <v>230</v>
      </c>
      <c r="F1738" s="111"/>
      <c r="G1738" s="44">
        <v>4532695</v>
      </c>
      <c r="H1738" s="44">
        <f t="shared" si="119"/>
        <v>-4532695</v>
      </c>
      <c r="I1738"/>
      <c r="M1738" s="44" t="s">
        <v>34</v>
      </c>
    </row>
    <row r="1739" spans="1:13">
      <c r="A1739" s="86">
        <v>44774</v>
      </c>
      <c r="B1739" s="82">
        <f t="shared" si="120"/>
        <v>8</v>
      </c>
      <c r="C1739">
        <f t="shared" si="118"/>
        <v>2022</v>
      </c>
      <c r="E1739" t="s">
        <v>230</v>
      </c>
      <c r="F1739" s="111"/>
      <c r="G1739" s="44">
        <v>9497898</v>
      </c>
      <c r="H1739" s="44">
        <f t="shared" si="119"/>
        <v>-9497898</v>
      </c>
      <c r="I1739"/>
      <c r="M1739" s="44" t="s">
        <v>39</v>
      </c>
    </row>
    <row r="1740" spans="1:13">
      <c r="A1740" s="86">
        <v>44774</v>
      </c>
      <c r="B1740" s="82">
        <f t="shared" si="120"/>
        <v>8</v>
      </c>
      <c r="C1740">
        <f t="shared" si="118"/>
        <v>2022</v>
      </c>
      <c r="E1740" t="s">
        <v>230</v>
      </c>
      <c r="F1740" s="111"/>
      <c r="G1740" s="44">
        <v>2516152</v>
      </c>
      <c r="H1740" s="44">
        <f t="shared" si="119"/>
        <v>-2516152</v>
      </c>
      <c r="I1740"/>
      <c r="M1740" s="44" t="s">
        <v>35</v>
      </c>
    </row>
    <row r="1741" spans="1:13">
      <c r="A1741" s="86">
        <v>44774</v>
      </c>
      <c r="B1741" s="82">
        <f t="shared" si="120"/>
        <v>8</v>
      </c>
      <c r="C1741">
        <f t="shared" si="118"/>
        <v>2022</v>
      </c>
      <c r="E1741" t="s">
        <v>230</v>
      </c>
      <c r="F1741" s="111"/>
      <c r="G1741" s="44">
        <v>1534676</v>
      </c>
      <c r="H1741" s="44">
        <f t="shared" si="119"/>
        <v>-1534676</v>
      </c>
      <c r="I1741"/>
      <c r="M1741" s="44" t="s">
        <v>31</v>
      </c>
    </row>
    <row r="1742" spans="1:13">
      <c r="A1742" s="86">
        <v>44774</v>
      </c>
      <c r="B1742" s="82">
        <f t="shared" si="120"/>
        <v>8</v>
      </c>
      <c r="C1742">
        <f t="shared" si="118"/>
        <v>2022</v>
      </c>
      <c r="E1742" t="s">
        <v>230</v>
      </c>
      <c r="F1742" s="111"/>
      <c r="G1742" s="44">
        <v>1924720</v>
      </c>
      <c r="H1742" s="44">
        <f t="shared" si="119"/>
        <v>-1924720</v>
      </c>
      <c r="I1742"/>
      <c r="M1742" s="44" t="s">
        <v>40</v>
      </c>
    </row>
    <row r="1743" spans="1:13">
      <c r="A1743" s="86">
        <v>44774</v>
      </c>
      <c r="B1743" s="82">
        <f t="shared" si="120"/>
        <v>8</v>
      </c>
      <c r="C1743">
        <f t="shared" si="118"/>
        <v>2022</v>
      </c>
      <c r="E1743" t="s">
        <v>230</v>
      </c>
      <c r="F1743" s="111"/>
      <c r="G1743" s="44">
        <v>3751603</v>
      </c>
      <c r="H1743" s="44">
        <f t="shared" si="119"/>
        <v>-3751603</v>
      </c>
      <c r="I1743"/>
      <c r="M1743" s="44" t="s">
        <v>36</v>
      </c>
    </row>
    <row r="1744" spans="1:13">
      <c r="A1744" s="86">
        <v>44774</v>
      </c>
      <c r="B1744" s="82">
        <f t="shared" si="120"/>
        <v>8</v>
      </c>
      <c r="C1744">
        <f t="shared" si="118"/>
        <v>2022</v>
      </c>
      <c r="E1744" t="s">
        <v>230</v>
      </c>
      <c r="F1744" s="111"/>
      <c r="G1744" s="44">
        <v>1559044</v>
      </c>
      <c r="H1744" s="44">
        <f t="shared" si="119"/>
        <v>-1559044</v>
      </c>
      <c r="I1744"/>
      <c r="M1744" s="44" t="s">
        <v>32</v>
      </c>
    </row>
    <row r="1745" spans="1:13">
      <c r="A1745" s="86">
        <v>44774</v>
      </c>
      <c r="B1745" s="82">
        <f t="shared" si="120"/>
        <v>8</v>
      </c>
      <c r="C1745">
        <f t="shared" si="118"/>
        <v>2022</v>
      </c>
      <c r="E1745" t="s">
        <v>230</v>
      </c>
      <c r="F1745" s="111"/>
      <c r="G1745" s="44">
        <v>1345718</v>
      </c>
      <c r="H1745" s="44">
        <f t="shared" si="119"/>
        <v>-1345718</v>
      </c>
      <c r="I1745"/>
      <c r="M1745" s="44" t="s">
        <v>37</v>
      </c>
    </row>
    <row r="1746" spans="1:13">
      <c r="A1746" s="86">
        <v>44774</v>
      </c>
      <c r="B1746" s="82">
        <f t="shared" si="120"/>
        <v>8</v>
      </c>
      <c r="C1746">
        <f t="shared" si="118"/>
        <v>2022</v>
      </c>
      <c r="E1746" t="s">
        <v>230</v>
      </c>
      <c r="F1746" s="111"/>
      <c r="G1746" s="44">
        <v>3857622</v>
      </c>
      <c r="H1746" s="44">
        <f t="shared" si="119"/>
        <v>-3857622</v>
      </c>
      <c r="I1746"/>
      <c r="M1746" s="44" t="s">
        <v>33</v>
      </c>
    </row>
    <row r="1747" spans="1:13">
      <c r="A1747" s="86">
        <v>44774</v>
      </c>
      <c r="B1747" s="82">
        <f t="shared" si="120"/>
        <v>8</v>
      </c>
      <c r="C1747">
        <f t="shared" si="118"/>
        <v>2022</v>
      </c>
      <c r="E1747" t="s">
        <v>230</v>
      </c>
      <c r="F1747" s="111"/>
      <c r="G1747" s="44">
        <v>1699393</v>
      </c>
      <c r="H1747" s="44">
        <f t="shared" si="119"/>
        <v>-1699393</v>
      </c>
      <c r="I1747"/>
      <c r="M1747" s="44" t="s">
        <v>38</v>
      </c>
    </row>
    <row r="1748" spans="1:13">
      <c r="A1748" s="86">
        <v>44774</v>
      </c>
      <c r="B1748" s="82">
        <f t="shared" si="120"/>
        <v>8</v>
      </c>
      <c r="C1748">
        <f t="shared" si="118"/>
        <v>2022</v>
      </c>
      <c r="E1748" t="s">
        <v>230</v>
      </c>
      <c r="F1748" s="111"/>
      <c r="G1748" s="44">
        <v>3782410</v>
      </c>
      <c r="H1748" s="44">
        <f t="shared" si="119"/>
        <v>-3782410</v>
      </c>
      <c r="I1748"/>
      <c r="M1748" s="44" t="s">
        <v>34</v>
      </c>
    </row>
    <row r="1749" spans="1:13">
      <c r="A1749" s="86">
        <v>44805</v>
      </c>
      <c r="B1749" s="82">
        <f t="shared" si="120"/>
        <v>9</v>
      </c>
      <c r="C1749">
        <f t="shared" si="118"/>
        <v>2022</v>
      </c>
      <c r="E1749" t="s">
        <v>230</v>
      </c>
      <c r="F1749" s="111"/>
      <c r="G1749" s="44">
        <v>4815420</v>
      </c>
      <c r="H1749" s="44">
        <f t="shared" si="119"/>
        <v>-4815420</v>
      </c>
      <c r="I1749"/>
      <c r="M1749" s="44" t="s">
        <v>39</v>
      </c>
    </row>
    <row r="1750" spans="1:13">
      <c r="A1750" s="86">
        <v>44805</v>
      </c>
      <c r="B1750" s="82">
        <f t="shared" si="120"/>
        <v>9</v>
      </c>
      <c r="C1750">
        <f t="shared" si="118"/>
        <v>2022</v>
      </c>
      <c r="E1750" t="s">
        <v>230</v>
      </c>
      <c r="F1750" s="111"/>
      <c r="G1750" s="44">
        <v>1182394</v>
      </c>
      <c r="H1750" s="44">
        <f t="shared" si="119"/>
        <v>-1182394</v>
      </c>
      <c r="I1750"/>
      <c r="M1750" s="44" t="s">
        <v>35</v>
      </c>
    </row>
    <row r="1751" spans="1:13">
      <c r="A1751" s="86">
        <v>44805</v>
      </c>
      <c r="B1751" s="82">
        <f t="shared" si="120"/>
        <v>9</v>
      </c>
      <c r="C1751">
        <f t="shared" si="118"/>
        <v>2022</v>
      </c>
      <c r="E1751" t="s">
        <v>230</v>
      </c>
      <c r="F1751" s="111"/>
      <c r="G1751" s="44">
        <v>2374455</v>
      </c>
      <c r="H1751" s="44">
        <f t="shared" si="119"/>
        <v>-2374455</v>
      </c>
      <c r="I1751"/>
      <c r="M1751" s="44" t="s">
        <v>31</v>
      </c>
    </row>
    <row r="1752" spans="1:13">
      <c r="A1752" s="86">
        <v>44805</v>
      </c>
      <c r="B1752" s="82">
        <f t="shared" si="120"/>
        <v>9</v>
      </c>
      <c r="C1752">
        <f t="shared" si="118"/>
        <v>2022</v>
      </c>
      <c r="E1752" t="s">
        <v>230</v>
      </c>
      <c r="F1752" s="111"/>
      <c r="G1752" s="44">
        <v>2194956</v>
      </c>
      <c r="H1752" s="44">
        <f t="shared" si="119"/>
        <v>-2194956</v>
      </c>
      <c r="I1752"/>
      <c r="M1752" s="44" t="s">
        <v>40</v>
      </c>
    </row>
    <row r="1753" spans="1:13">
      <c r="A1753" s="86">
        <v>44805</v>
      </c>
      <c r="B1753" s="82">
        <f t="shared" si="120"/>
        <v>9</v>
      </c>
      <c r="C1753">
        <f t="shared" si="118"/>
        <v>2022</v>
      </c>
      <c r="E1753" t="s">
        <v>230</v>
      </c>
      <c r="F1753" s="111"/>
      <c r="G1753" s="44">
        <v>4368044</v>
      </c>
      <c r="H1753" s="44">
        <f t="shared" si="119"/>
        <v>-4368044</v>
      </c>
      <c r="I1753"/>
      <c r="M1753" s="44" t="s">
        <v>36</v>
      </c>
    </row>
    <row r="1754" spans="1:13">
      <c r="A1754" s="86">
        <v>44805</v>
      </c>
      <c r="B1754" s="82">
        <f t="shared" si="120"/>
        <v>9</v>
      </c>
      <c r="C1754">
        <f t="shared" si="118"/>
        <v>2022</v>
      </c>
      <c r="E1754" t="s">
        <v>230</v>
      </c>
      <c r="F1754" s="111"/>
      <c r="G1754" s="44">
        <v>1511584</v>
      </c>
      <c r="H1754" s="44">
        <f t="shared" si="119"/>
        <v>-1511584</v>
      </c>
      <c r="I1754"/>
      <c r="M1754" s="44" t="s">
        <v>32</v>
      </c>
    </row>
    <row r="1755" spans="1:13">
      <c r="A1755" s="86">
        <v>44805</v>
      </c>
      <c r="B1755" s="82">
        <f t="shared" si="120"/>
        <v>9</v>
      </c>
      <c r="C1755">
        <f t="shared" si="118"/>
        <v>2022</v>
      </c>
      <c r="E1755" t="s">
        <v>230</v>
      </c>
      <c r="F1755" s="111"/>
      <c r="G1755" s="44">
        <v>2054042</v>
      </c>
      <c r="H1755" s="44">
        <f t="shared" si="119"/>
        <v>-2054042</v>
      </c>
      <c r="I1755"/>
      <c r="M1755" s="44" t="s">
        <v>37</v>
      </c>
    </row>
    <row r="1756" spans="1:13">
      <c r="A1756" s="86">
        <v>44805</v>
      </c>
      <c r="B1756" s="82">
        <f t="shared" si="120"/>
        <v>9</v>
      </c>
      <c r="C1756">
        <f t="shared" si="118"/>
        <v>2022</v>
      </c>
      <c r="E1756" t="s">
        <v>230</v>
      </c>
      <c r="F1756" s="111"/>
      <c r="G1756" s="44">
        <v>5019692</v>
      </c>
      <c r="H1756" s="44">
        <f t="shared" si="119"/>
        <v>-5019692</v>
      </c>
      <c r="I1756"/>
      <c r="M1756" s="44" t="s">
        <v>33</v>
      </c>
    </row>
    <row r="1757" spans="1:13">
      <c r="A1757" s="86">
        <v>44805</v>
      </c>
      <c r="B1757" s="82">
        <f t="shared" si="120"/>
        <v>9</v>
      </c>
      <c r="C1757">
        <f t="shared" si="118"/>
        <v>2022</v>
      </c>
      <c r="E1757" t="s">
        <v>230</v>
      </c>
      <c r="F1757" s="111"/>
      <c r="G1757" s="44">
        <v>3317479</v>
      </c>
      <c r="H1757" s="44">
        <f t="shared" si="119"/>
        <v>-3317479</v>
      </c>
      <c r="I1757"/>
      <c r="M1757" s="44" t="s">
        <v>38</v>
      </c>
    </row>
    <row r="1758" spans="1:13">
      <c r="A1758" s="86">
        <v>44805</v>
      </c>
      <c r="B1758" s="82">
        <f t="shared" si="120"/>
        <v>9</v>
      </c>
      <c r="C1758">
        <f t="shared" si="118"/>
        <v>2022</v>
      </c>
      <c r="E1758" t="s">
        <v>230</v>
      </c>
      <c r="F1758" s="111"/>
      <c r="G1758" s="44">
        <v>5082352</v>
      </c>
      <c r="H1758" s="44">
        <f t="shared" si="119"/>
        <v>-5082352</v>
      </c>
      <c r="I1758"/>
      <c r="M1758" s="44" t="s">
        <v>34</v>
      </c>
    </row>
    <row r="1759" spans="1:13">
      <c r="A1759" s="86">
        <v>44835</v>
      </c>
      <c r="B1759" s="82">
        <f t="shared" si="120"/>
        <v>10</v>
      </c>
      <c r="C1759">
        <f t="shared" si="118"/>
        <v>2022</v>
      </c>
      <c r="E1759" t="s">
        <v>230</v>
      </c>
      <c r="F1759" s="111"/>
      <c r="G1759" s="44">
        <v>6914139</v>
      </c>
      <c r="H1759" s="44">
        <f t="shared" si="119"/>
        <v>-6914139</v>
      </c>
      <c r="I1759"/>
      <c r="M1759" s="44" t="s">
        <v>39</v>
      </c>
    </row>
    <row r="1760" spans="1:13">
      <c r="A1760" s="86">
        <v>44835</v>
      </c>
      <c r="B1760" s="82">
        <f t="shared" si="120"/>
        <v>10</v>
      </c>
      <c r="C1760">
        <f t="shared" si="118"/>
        <v>2022</v>
      </c>
      <c r="E1760" t="s">
        <v>230</v>
      </c>
      <c r="F1760" s="111"/>
      <c r="G1760" s="44">
        <v>1736558</v>
      </c>
      <c r="H1760" s="44">
        <f t="shared" si="119"/>
        <v>-1736558</v>
      </c>
      <c r="I1760"/>
      <c r="M1760" s="44" t="s">
        <v>35</v>
      </c>
    </row>
    <row r="1761" spans="1:13">
      <c r="A1761" s="86">
        <v>44835</v>
      </c>
      <c r="B1761" s="82">
        <f t="shared" si="120"/>
        <v>10</v>
      </c>
      <c r="C1761">
        <f t="shared" ref="C1761:C1788" si="121">YEAR(A1761)</f>
        <v>2022</v>
      </c>
      <c r="E1761" t="s">
        <v>230</v>
      </c>
      <c r="F1761" s="111"/>
      <c r="G1761" s="44">
        <v>3772215</v>
      </c>
      <c r="H1761" s="44">
        <f t="shared" si="119"/>
        <v>-3772215</v>
      </c>
      <c r="I1761"/>
      <c r="M1761" s="44" t="s">
        <v>31</v>
      </c>
    </row>
    <row r="1762" spans="1:13">
      <c r="A1762" s="86">
        <v>44835</v>
      </c>
      <c r="B1762" s="82">
        <f t="shared" si="120"/>
        <v>10</v>
      </c>
      <c r="C1762">
        <f t="shared" si="121"/>
        <v>2022</v>
      </c>
      <c r="E1762" t="s">
        <v>230</v>
      </c>
      <c r="F1762" s="111"/>
      <c r="G1762" s="44">
        <v>383184</v>
      </c>
      <c r="H1762" s="44">
        <f t="shared" si="119"/>
        <v>-383184</v>
      </c>
      <c r="I1762"/>
      <c r="M1762" s="44" t="s">
        <v>40</v>
      </c>
    </row>
    <row r="1763" spans="1:13">
      <c r="A1763" s="86">
        <v>44835</v>
      </c>
      <c r="B1763" s="82">
        <f t="shared" si="120"/>
        <v>10</v>
      </c>
      <c r="C1763">
        <f t="shared" si="121"/>
        <v>2022</v>
      </c>
      <c r="E1763" t="s">
        <v>230</v>
      </c>
      <c r="F1763" s="111"/>
      <c r="G1763" s="44">
        <v>5768280</v>
      </c>
      <c r="H1763" s="44">
        <f t="shared" si="119"/>
        <v>-5768280</v>
      </c>
      <c r="I1763"/>
      <c r="M1763" s="44" t="s">
        <v>36</v>
      </c>
    </row>
    <row r="1764" spans="1:13">
      <c r="A1764" s="86">
        <v>44835</v>
      </c>
      <c r="B1764" s="82">
        <f t="shared" si="120"/>
        <v>10</v>
      </c>
      <c r="C1764">
        <f t="shared" si="121"/>
        <v>2022</v>
      </c>
      <c r="E1764" t="s">
        <v>230</v>
      </c>
      <c r="F1764" s="111"/>
      <c r="G1764" s="44">
        <v>2733737</v>
      </c>
      <c r="H1764" s="44">
        <f t="shared" si="119"/>
        <v>-2733737</v>
      </c>
      <c r="I1764"/>
      <c r="M1764" s="44" t="s">
        <v>32</v>
      </c>
    </row>
    <row r="1765" spans="1:13">
      <c r="A1765" s="86">
        <v>44835</v>
      </c>
      <c r="B1765" s="82">
        <f t="shared" si="120"/>
        <v>10</v>
      </c>
      <c r="C1765">
        <f t="shared" si="121"/>
        <v>2022</v>
      </c>
      <c r="E1765" t="s">
        <v>230</v>
      </c>
      <c r="F1765" s="111"/>
      <c r="G1765" s="44">
        <v>2061484</v>
      </c>
      <c r="H1765" s="44">
        <f t="shared" si="119"/>
        <v>-2061484</v>
      </c>
      <c r="I1765"/>
      <c r="M1765" s="44" t="s">
        <v>37</v>
      </c>
    </row>
    <row r="1766" spans="1:13">
      <c r="A1766" s="86">
        <v>44835</v>
      </c>
      <c r="B1766" s="82">
        <f t="shared" si="120"/>
        <v>10</v>
      </c>
      <c r="C1766">
        <f t="shared" si="121"/>
        <v>2022</v>
      </c>
      <c r="E1766" t="s">
        <v>230</v>
      </c>
      <c r="F1766" s="111"/>
      <c r="G1766" s="44">
        <v>3415572</v>
      </c>
      <c r="H1766" s="44">
        <f t="shared" si="119"/>
        <v>-3415572</v>
      </c>
      <c r="I1766"/>
      <c r="M1766" s="44" t="s">
        <v>33</v>
      </c>
    </row>
    <row r="1767" spans="1:13">
      <c r="A1767" s="86">
        <v>44835</v>
      </c>
      <c r="B1767" s="82">
        <f t="shared" si="120"/>
        <v>10</v>
      </c>
      <c r="C1767">
        <f t="shared" si="121"/>
        <v>2022</v>
      </c>
      <c r="E1767" t="s">
        <v>230</v>
      </c>
      <c r="F1767" s="111"/>
      <c r="G1767" s="44">
        <v>2669934</v>
      </c>
      <c r="H1767" s="44">
        <f t="shared" si="119"/>
        <v>-2669934</v>
      </c>
      <c r="I1767"/>
      <c r="M1767" s="44" t="s">
        <v>38</v>
      </c>
    </row>
    <row r="1768" spans="1:13">
      <c r="A1768" s="86">
        <v>44835</v>
      </c>
      <c r="B1768" s="82">
        <f t="shared" si="120"/>
        <v>10</v>
      </c>
      <c r="C1768">
        <f t="shared" si="121"/>
        <v>2022</v>
      </c>
      <c r="E1768" t="s">
        <v>230</v>
      </c>
      <c r="F1768" s="111"/>
      <c r="G1768" s="44">
        <v>2360659</v>
      </c>
      <c r="H1768" s="44">
        <f t="shared" si="119"/>
        <v>-2360659</v>
      </c>
      <c r="I1768"/>
      <c r="M1768" s="44" t="s">
        <v>34</v>
      </c>
    </row>
    <row r="1769" spans="1:13">
      <c r="A1769" s="86">
        <v>44866</v>
      </c>
      <c r="B1769" s="82">
        <f t="shared" si="120"/>
        <v>11</v>
      </c>
      <c r="C1769">
        <f t="shared" si="121"/>
        <v>2022</v>
      </c>
      <c r="E1769" t="s">
        <v>230</v>
      </c>
      <c r="F1769" s="111"/>
      <c r="G1769" s="44">
        <v>6418329</v>
      </c>
      <c r="H1769" s="44">
        <f t="shared" si="119"/>
        <v>-6418329</v>
      </c>
      <c r="I1769"/>
      <c r="M1769" s="44" t="s">
        <v>39</v>
      </c>
    </row>
    <row r="1770" spans="1:13">
      <c r="A1770" s="86">
        <v>44866</v>
      </c>
      <c r="B1770" s="82">
        <f t="shared" si="120"/>
        <v>11</v>
      </c>
      <c r="C1770">
        <f t="shared" si="121"/>
        <v>2022</v>
      </c>
      <c r="E1770" t="s">
        <v>230</v>
      </c>
      <c r="F1770" s="111"/>
      <c r="G1770" s="44">
        <v>2143499</v>
      </c>
      <c r="H1770" s="44">
        <f t="shared" si="119"/>
        <v>-2143499</v>
      </c>
      <c r="I1770"/>
      <c r="M1770" s="44" t="s">
        <v>35</v>
      </c>
    </row>
    <row r="1771" spans="1:13">
      <c r="A1771" s="86">
        <v>44866</v>
      </c>
      <c r="B1771" s="82">
        <f t="shared" si="120"/>
        <v>11</v>
      </c>
      <c r="C1771">
        <f t="shared" si="121"/>
        <v>2022</v>
      </c>
      <c r="E1771" t="s">
        <v>230</v>
      </c>
      <c r="F1771" s="111"/>
      <c r="G1771" s="44">
        <v>3179145</v>
      </c>
      <c r="H1771" s="44">
        <f t="shared" si="119"/>
        <v>-3179145</v>
      </c>
      <c r="I1771"/>
      <c r="M1771" s="44" t="s">
        <v>31</v>
      </c>
    </row>
    <row r="1772" spans="1:13">
      <c r="A1772" s="86">
        <v>44866</v>
      </c>
      <c r="B1772" s="82">
        <f t="shared" si="120"/>
        <v>11</v>
      </c>
      <c r="C1772">
        <f t="shared" si="121"/>
        <v>2022</v>
      </c>
      <c r="E1772" t="s">
        <v>230</v>
      </c>
      <c r="F1772" s="111"/>
      <c r="G1772" s="44">
        <v>556848</v>
      </c>
      <c r="H1772" s="44">
        <f t="shared" si="119"/>
        <v>-556848</v>
      </c>
      <c r="I1772"/>
      <c r="M1772" s="44" t="s">
        <v>40</v>
      </c>
    </row>
    <row r="1773" spans="1:13">
      <c r="A1773" s="86">
        <v>44866</v>
      </c>
      <c r="B1773" s="82">
        <f t="shared" si="120"/>
        <v>11</v>
      </c>
      <c r="C1773">
        <f t="shared" si="121"/>
        <v>2022</v>
      </c>
      <c r="E1773" t="s">
        <v>230</v>
      </c>
      <c r="F1773" s="111"/>
      <c r="G1773" s="44">
        <v>2347266</v>
      </c>
      <c r="H1773" s="44">
        <f t="shared" si="119"/>
        <v>-2347266</v>
      </c>
      <c r="I1773"/>
      <c r="M1773" s="44" t="s">
        <v>36</v>
      </c>
    </row>
    <row r="1774" spans="1:13">
      <c r="A1774" s="86">
        <v>44866</v>
      </c>
      <c r="B1774" s="82">
        <f t="shared" si="120"/>
        <v>11</v>
      </c>
      <c r="C1774">
        <f t="shared" si="121"/>
        <v>2022</v>
      </c>
      <c r="E1774" t="s">
        <v>230</v>
      </c>
      <c r="F1774" s="111"/>
      <c r="G1774" s="44">
        <v>3375273</v>
      </c>
      <c r="H1774" s="44">
        <f t="shared" si="119"/>
        <v>-3375273</v>
      </c>
      <c r="I1774"/>
      <c r="M1774" s="44" t="s">
        <v>32</v>
      </c>
    </row>
    <row r="1775" spans="1:13">
      <c r="A1775" s="86">
        <v>44866</v>
      </c>
      <c r="B1775" s="82">
        <f t="shared" si="120"/>
        <v>11</v>
      </c>
      <c r="C1775">
        <f t="shared" si="121"/>
        <v>2022</v>
      </c>
      <c r="E1775" t="s">
        <v>230</v>
      </c>
      <c r="F1775" s="111"/>
      <c r="G1775" s="44">
        <v>1170435</v>
      </c>
      <c r="H1775" s="44">
        <f t="shared" si="119"/>
        <v>-1170435</v>
      </c>
      <c r="I1775"/>
      <c r="M1775" s="44" t="s">
        <v>37</v>
      </c>
    </row>
    <row r="1776" spans="1:13">
      <c r="A1776" s="86">
        <v>44866</v>
      </c>
      <c r="B1776" s="82">
        <f t="shared" si="120"/>
        <v>11</v>
      </c>
      <c r="C1776">
        <f t="shared" si="121"/>
        <v>2022</v>
      </c>
      <c r="E1776" t="s">
        <v>230</v>
      </c>
      <c r="F1776" s="111"/>
      <c r="G1776" s="44">
        <v>1638358</v>
      </c>
      <c r="H1776" s="44">
        <f t="shared" si="119"/>
        <v>-1638358</v>
      </c>
      <c r="I1776"/>
      <c r="M1776" s="44" t="s">
        <v>33</v>
      </c>
    </row>
    <row r="1777" spans="1:13">
      <c r="A1777" s="86">
        <v>44866</v>
      </c>
      <c r="B1777" s="82">
        <f t="shared" si="120"/>
        <v>11</v>
      </c>
      <c r="C1777">
        <f t="shared" si="121"/>
        <v>2022</v>
      </c>
      <c r="E1777" t="s">
        <v>230</v>
      </c>
      <c r="F1777" s="111"/>
      <c r="G1777" s="44">
        <v>2443068</v>
      </c>
      <c r="H1777" s="44">
        <f t="shared" si="119"/>
        <v>-2443068</v>
      </c>
      <c r="I1777"/>
      <c r="M1777" s="44" t="s">
        <v>38</v>
      </c>
    </row>
    <row r="1778" spans="1:13">
      <c r="A1778" s="86">
        <v>44866</v>
      </c>
      <c r="B1778" s="82">
        <f t="shared" si="120"/>
        <v>11</v>
      </c>
      <c r="C1778">
        <f t="shared" si="121"/>
        <v>2022</v>
      </c>
      <c r="E1778" t="s">
        <v>230</v>
      </c>
      <c r="F1778" s="111"/>
      <c r="G1778" s="44">
        <v>2578330</v>
      </c>
      <c r="H1778" s="44">
        <f t="shared" si="119"/>
        <v>-2578330</v>
      </c>
      <c r="I1778"/>
      <c r="M1778" s="44" t="s">
        <v>34</v>
      </c>
    </row>
    <row r="1779" spans="1:13">
      <c r="A1779" s="86">
        <v>44896</v>
      </c>
      <c r="B1779" s="82">
        <f t="shared" si="120"/>
        <v>12</v>
      </c>
      <c r="C1779">
        <f t="shared" si="121"/>
        <v>2022</v>
      </c>
      <c r="E1779" t="s">
        <v>230</v>
      </c>
      <c r="F1779" s="111"/>
      <c r="G1779" s="44">
        <v>3494754</v>
      </c>
      <c r="H1779" s="44">
        <f t="shared" si="119"/>
        <v>-3494754</v>
      </c>
      <c r="I1779"/>
      <c r="M1779" s="44" t="s">
        <v>39</v>
      </c>
    </row>
    <row r="1780" spans="1:13">
      <c r="A1780" s="86">
        <v>44896</v>
      </c>
      <c r="B1780" s="82">
        <f t="shared" si="120"/>
        <v>12</v>
      </c>
      <c r="C1780">
        <f t="shared" si="121"/>
        <v>2022</v>
      </c>
      <c r="E1780" t="s">
        <v>230</v>
      </c>
      <c r="F1780" s="111"/>
      <c r="G1780" s="44">
        <v>3254959</v>
      </c>
      <c r="H1780" s="44">
        <f t="shared" si="119"/>
        <v>-3254959</v>
      </c>
      <c r="I1780"/>
      <c r="M1780" s="44" t="s">
        <v>35</v>
      </c>
    </row>
    <row r="1781" spans="1:13">
      <c r="A1781" s="86">
        <v>44896</v>
      </c>
      <c r="B1781" s="82">
        <f t="shared" si="120"/>
        <v>12</v>
      </c>
      <c r="C1781">
        <f t="shared" si="121"/>
        <v>2022</v>
      </c>
      <c r="E1781" t="s">
        <v>230</v>
      </c>
      <c r="F1781" s="111"/>
      <c r="G1781" s="44">
        <v>3940695</v>
      </c>
      <c r="H1781" s="44">
        <f t="shared" si="119"/>
        <v>-3940695</v>
      </c>
      <c r="I1781"/>
      <c r="M1781" s="44" t="s">
        <v>31</v>
      </c>
    </row>
    <row r="1782" spans="1:13">
      <c r="A1782" s="86">
        <v>44896</v>
      </c>
      <c r="B1782" s="82">
        <f t="shared" si="120"/>
        <v>12</v>
      </c>
      <c r="C1782">
        <f t="shared" si="121"/>
        <v>2022</v>
      </c>
      <c r="E1782" t="s">
        <v>230</v>
      </c>
      <c r="F1782" s="111"/>
      <c r="G1782" s="44">
        <v>1402989</v>
      </c>
      <c r="H1782" s="44">
        <f t="shared" si="119"/>
        <v>-1402989</v>
      </c>
      <c r="I1782"/>
      <c r="M1782" s="44" t="s">
        <v>40</v>
      </c>
    </row>
    <row r="1783" spans="1:13">
      <c r="A1783" s="86">
        <v>44896</v>
      </c>
      <c r="B1783" s="82">
        <f t="shared" si="120"/>
        <v>12</v>
      </c>
      <c r="C1783">
        <f t="shared" si="121"/>
        <v>2022</v>
      </c>
      <c r="E1783" t="s">
        <v>230</v>
      </c>
      <c r="F1783" s="111"/>
      <c r="G1783" s="44">
        <v>3176834</v>
      </c>
      <c r="H1783" s="44">
        <f t="shared" si="119"/>
        <v>-3176834</v>
      </c>
      <c r="I1783"/>
      <c r="M1783" s="44" t="s">
        <v>36</v>
      </c>
    </row>
    <row r="1784" spans="1:13">
      <c r="A1784" s="86">
        <v>44896</v>
      </c>
      <c r="B1784" s="82">
        <f t="shared" si="120"/>
        <v>12</v>
      </c>
      <c r="C1784">
        <f t="shared" si="121"/>
        <v>2022</v>
      </c>
      <c r="E1784" t="s">
        <v>230</v>
      </c>
      <c r="F1784" s="111"/>
      <c r="G1784" s="44">
        <v>4487293</v>
      </c>
      <c r="H1784" s="44">
        <f t="shared" si="119"/>
        <v>-4487293</v>
      </c>
      <c r="I1784"/>
      <c r="M1784" s="44" t="s">
        <v>32</v>
      </c>
    </row>
    <row r="1785" spans="1:13">
      <c r="A1785" s="86">
        <v>44896</v>
      </c>
      <c r="B1785" s="82">
        <f t="shared" si="120"/>
        <v>12</v>
      </c>
      <c r="C1785">
        <f t="shared" si="121"/>
        <v>2022</v>
      </c>
      <c r="E1785" t="s">
        <v>230</v>
      </c>
      <c r="F1785" s="111"/>
      <c r="G1785" s="44">
        <v>1206642</v>
      </c>
      <c r="H1785" s="44">
        <f t="shared" si="119"/>
        <v>-1206642</v>
      </c>
      <c r="I1785"/>
      <c r="M1785" s="44" t="s">
        <v>37</v>
      </c>
    </row>
    <row r="1786" spans="1:13">
      <c r="A1786" s="86">
        <v>44896</v>
      </c>
      <c r="B1786" s="82">
        <f t="shared" si="120"/>
        <v>12</v>
      </c>
      <c r="C1786">
        <f t="shared" si="121"/>
        <v>2022</v>
      </c>
      <c r="E1786" t="s">
        <v>230</v>
      </c>
      <c r="F1786" s="111"/>
      <c r="G1786" s="44">
        <v>1905794</v>
      </c>
      <c r="H1786" s="44">
        <f t="shared" si="119"/>
        <v>-1905794</v>
      </c>
      <c r="I1786"/>
      <c r="M1786" s="44" t="s">
        <v>33</v>
      </c>
    </row>
    <row r="1787" spans="1:13">
      <c r="A1787" s="86">
        <v>44896</v>
      </c>
      <c r="B1787" s="82">
        <f t="shared" si="120"/>
        <v>12</v>
      </c>
      <c r="C1787">
        <f t="shared" si="121"/>
        <v>2022</v>
      </c>
      <c r="E1787" t="s">
        <v>230</v>
      </c>
      <c r="F1787" s="111"/>
      <c r="G1787" s="44">
        <v>1467324</v>
      </c>
      <c r="H1787" s="44">
        <f t="shared" si="119"/>
        <v>-1467324</v>
      </c>
      <c r="I1787"/>
      <c r="M1787" s="44" t="s">
        <v>38</v>
      </c>
    </row>
    <row r="1788" spans="1:13">
      <c r="A1788" s="86">
        <v>44896</v>
      </c>
      <c r="B1788" s="82">
        <f t="shared" si="120"/>
        <v>12</v>
      </c>
      <c r="C1788">
        <f t="shared" si="121"/>
        <v>2022</v>
      </c>
      <c r="E1788" t="s">
        <v>230</v>
      </c>
      <c r="F1788" s="111"/>
      <c r="G1788" s="44">
        <v>3811562</v>
      </c>
      <c r="H1788" s="44">
        <f t="shared" si="119"/>
        <v>-3811562</v>
      </c>
      <c r="I1788"/>
      <c r="M1788" s="44" t="s">
        <v>34</v>
      </c>
    </row>
    <row r="1789" spans="1:13">
      <c r="A1789" s="26">
        <v>44593</v>
      </c>
      <c r="B1789" s="82">
        <v>2</v>
      </c>
      <c r="C1789">
        <v>2022</v>
      </c>
      <c r="E1789" s="84" t="s">
        <v>67</v>
      </c>
      <c r="F1789" s="44">
        <v>158330.79999999993</v>
      </c>
      <c r="G1789"/>
      <c r="H1789" s="44">
        <f t="shared" si="119"/>
        <v>158330.79999999993</v>
      </c>
      <c r="I1789"/>
      <c r="J1789"/>
      <c r="L1789" t="s">
        <v>3</v>
      </c>
    </row>
    <row r="1790" spans="1:13">
      <c r="A1790" s="26">
        <v>44593</v>
      </c>
      <c r="B1790" s="82">
        <v>2</v>
      </c>
      <c r="C1790">
        <v>2022</v>
      </c>
      <c r="E1790" s="84" t="s">
        <v>67</v>
      </c>
      <c r="F1790" s="44">
        <v>416425.31999999995</v>
      </c>
      <c r="G1790"/>
      <c r="H1790" s="44">
        <f t="shared" si="119"/>
        <v>416425.31999999995</v>
      </c>
      <c r="I1790"/>
      <c r="J1790"/>
      <c r="L1790" t="s">
        <v>4</v>
      </c>
    </row>
    <row r="1791" spans="1:13">
      <c r="A1791" s="26">
        <v>44593</v>
      </c>
      <c r="B1791" s="82">
        <v>2</v>
      </c>
      <c r="C1791">
        <v>2022</v>
      </c>
      <c r="E1791" s="84" t="s">
        <v>67</v>
      </c>
      <c r="F1791" s="44">
        <v>309794.04999999981</v>
      </c>
      <c r="G1791"/>
      <c r="H1791" s="44">
        <f t="shared" si="119"/>
        <v>309794.04999999981</v>
      </c>
      <c r="I1791"/>
      <c r="J1791"/>
      <c r="L1791" t="s">
        <v>5</v>
      </c>
    </row>
    <row r="1792" spans="1:13">
      <c r="A1792" s="26">
        <v>44593</v>
      </c>
      <c r="B1792" s="82">
        <v>2</v>
      </c>
      <c r="C1792">
        <v>2022</v>
      </c>
      <c r="E1792" s="84" t="s">
        <v>67</v>
      </c>
      <c r="F1792" s="44">
        <v>329406</v>
      </c>
      <c r="G1792"/>
      <c r="H1792" s="44">
        <f t="shared" si="119"/>
        <v>329406</v>
      </c>
      <c r="I1792"/>
      <c r="J1792"/>
      <c r="L1792" t="s">
        <v>6</v>
      </c>
    </row>
    <row r="1793" spans="1:12">
      <c r="A1793" s="26">
        <v>44593</v>
      </c>
      <c r="B1793" s="82">
        <v>2</v>
      </c>
      <c r="C1793">
        <v>2022</v>
      </c>
      <c r="E1793" s="84" t="s">
        <v>67</v>
      </c>
      <c r="F1793" s="44">
        <v>2062.7999999999302</v>
      </c>
      <c r="G1793"/>
      <c r="H1793" s="44">
        <f t="shared" si="119"/>
        <v>2062.7999999999302</v>
      </c>
      <c r="I1793"/>
      <c r="J1793"/>
      <c r="L1793" t="s">
        <v>11</v>
      </c>
    </row>
    <row r="1794" spans="1:12">
      <c r="A1794" s="26">
        <v>44593</v>
      </c>
      <c r="B1794" s="82">
        <v>2</v>
      </c>
      <c r="C1794">
        <v>2022</v>
      </c>
      <c r="E1794" s="84" t="s">
        <v>67</v>
      </c>
      <c r="F1794" s="44">
        <v>1330</v>
      </c>
      <c r="G1794"/>
      <c r="H1794" s="44">
        <f t="shared" ref="H1794:H1857" si="122">F1794-G1794</f>
        <v>1330</v>
      </c>
      <c r="I1794"/>
      <c r="J1794"/>
      <c r="L1794" t="s">
        <v>12</v>
      </c>
    </row>
    <row r="1795" spans="1:12">
      <c r="A1795" s="26">
        <v>44621</v>
      </c>
      <c r="B1795" s="82">
        <v>3</v>
      </c>
      <c r="C1795">
        <v>2022</v>
      </c>
      <c r="E1795" s="84" t="s">
        <v>67</v>
      </c>
      <c r="F1795" s="44">
        <v>30415.999999999884</v>
      </c>
      <c r="G1795"/>
      <c r="H1795" s="44">
        <f t="shared" si="122"/>
        <v>30415.999999999884</v>
      </c>
      <c r="I1795"/>
      <c r="J1795"/>
      <c r="L1795" t="s">
        <v>3</v>
      </c>
    </row>
    <row r="1796" spans="1:12">
      <c r="A1796" s="26">
        <v>44621</v>
      </c>
      <c r="B1796" s="82">
        <v>3</v>
      </c>
      <c r="C1796">
        <v>2022</v>
      </c>
      <c r="E1796" s="84" t="s">
        <v>67</v>
      </c>
      <c r="F1796" s="44">
        <v>435593.76000000013</v>
      </c>
      <c r="G1796"/>
      <c r="H1796" s="44">
        <f t="shared" si="122"/>
        <v>435593.76000000013</v>
      </c>
      <c r="I1796"/>
      <c r="J1796"/>
      <c r="L1796" t="s">
        <v>4</v>
      </c>
    </row>
    <row r="1797" spans="1:12">
      <c r="A1797" s="26">
        <v>44621</v>
      </c>
      <c r="B1797" s="82">
        <v>3</v>
      </c>
      <c r="C1797">
        <v>2022</v>
      </c>
      <c r="E1797" s="84" t="s">
        <v>67</v>
      </c>
      <c r="F1797" s="44">
        <v>155025.17999999993</v>
      </c>
      <c r="G1797"/>
      <c r="H1797" s="44">
        <f t="shared" si="122"/>
        <v>155025.17999999993</v>
      </c>
      <c r="I1797"/>
      <c r="J1797"/>
      <c r="L1797" t="s">
        <v>5</v>
      </c>
    </row>
    <row r="1798" spans="1:12">
      <c r="A1798" s="26">
        <v>44621</v>
      </c>
      <c r="B1798" s="82">
        <v>3</v>
      </c>
      <c r="C1798">
        <v>2022</v>
      </c>
      <c r="E1798" s="84" t="s">
        <v>67</v>
      </c>
      <c r="F1798" s="44">
        <v>155790</v>
      </c>
      <c r="G1798"/>
      <c r="H1798" s="44">
        <f t="shared" si="122"/>
        <v>155790</v>
      </c>
      <c r="I1798"/>
      <c r="J1798"/>
      <c r="L1798" t="s">
        <v>6</v>
      </c>
    </row>
    <row r="1799" spans="1:12">
      <c r="A1799" s="26">
        <v>44621</v>
      </c>
      <c r="B1799" s="82">
        <v>3</v>
      </c>
      <c r="C1799">
        <v>2022</v>
      </c>
      <c r="E1799" s="84" t="s">
        <v>67</v>
      </c>
      <c r="F1799" s="44">
        <v>60780.04999999993</v>
      </c>
      <c r="G1799"/>
      <c r="H1799" s="44">
        <f t="shared" si="122"/>
        <v>60780.04999999993</v>
      </c>
      <c r="I1799"/>
      <c r="J1799"/>
      <c r="L1799" t="s">
        <v>11</v>
      </c>
    </row>
    <row r="1800" spans="1:12">
      <c r="A1800" s="26">
        <v>44621</v>
      </c>
      <c r="B1800" s="82">
        <v>3</v>
      </c>
      <c r="C1800">
        <v>2022</v>
      </c>
      <c r="E1800" s="84" t="s">
        <v>67</v>
      </c>
      <c r="F1800" s="44">
        <v>127827</v>
      </c>
      <c r="G1800"/>
      <c r="H1800" s="44">
        <f t="shared" si="122"/>
        <v>127827</v>
      </c>
      <c r="I1800"/>
      <c r="J1800"/>
      <c r="L1800" t="s">
        <v>12</v>
      </c>
    </row>
    <row r="1801" spans="1:12">
      <c r="A1801" s="26">
        <v>44652</v>
      </c>
      <c r="B1801" s="82">
        <v>4</v>
      </c>
      <c r="C1801">
        <v>2022</v>
      </c>
      <c r="E1801" s="84" t="s">
        <v>67</v>
      </c>
      <c r="F1801" s="44">
        <v>385540.39999999991</v>
      </c>
      <c r="G1801"/>
      <c r="H1801" s="44">
        <f t="shared" si="122"/>
        <v>385540.39999999991</v>
      </c>
      <c r="I1801"/>
      <c r="J1801"/>
      <c r="L1801" t="s">
        <v>3</v>
      </c>
    </row>
    <row r="1802" spans="1:12">
      <c r="A1802" s="26">
        <v>44652</v>
      </c>
      <c r="B1802" s="82">
        <v>4</v>
      </c>
      <c r="C1802">
        <v>2022</v>
      </c>
      <c r="E1802" s="84" t="s">
        <v>67</v>
      </c>
      <c r="F1802" s="44">
        <v>459795.06000000017</v>
      </c>
      <c r="G1802"/>
      <c r="H1802" s="44">
        <f t="shared" si="122"/>
        <v>459795.06000000017</v>
      </c>
      <c r="I1802"/>
      <c r="J1802"/>
      <c r="L1802" t="s">
        <v>4</v>
      </c>
    </row>
    <row r="1803" spans="1:12">
      <c r="A1803" s="26">
        <v>44652</v>
      </c>
      <c r="B1803" s="82">
        <v>4</v>
      </c>
      <c r="C1803">
        <v>2022</v>
      </c>
      <c r="E1803" s="84" t="s">
        <v>67</v>
      </c>
      <c r="F1803" s="44">
        <v>132180.59999999986</v>
      </c>
      <c r="G1803"/>
      <c r="H1803" s="44">
        <f t="shared" si="122"/>
        <v>132180.59999999986</v>
      </c>
      <c r="I1803"/>
      <c r="J1803"/>
      <c r="L1803" t="s">
        <v>5</v>
      </c>
    </row>
    <row r="1804" spans="1:12">
      <c r="A1804" s="26">
        <v>44652</v>
      </c>
      <c r="B1804" s="82">
        <v>4</v>
      </c>
      <c r="C1804">
        <v>2022</v>
      </c>
      <c r="E1804" s="84" t="s">
        <v>67</v>
      </c>
      <c r="F1804" s="44">
        <v>1180476</v>
      </c>
      <c r="G1804"/>
      <c r="H1804" s="44">
        <f t="shared" si="122"/>
        <v>1180476</v>
      </c>
      <c r="I1804"/>
      <c r="J1804"/>
      <c r="L1804" t="s">
        <v>6</v>
      </c>
    </row>
    <row r="1805" spans="1:12">
      <c r="A1805" s="26">
        <v>44652</v>
      </c>
      <c r="B1805" s="82">
        <v>4</v>
      </c>
      <c r="C1805">
        <v>2022</v>
      </c>
      <c r="E1805" s="84" t="s">
        <v>67</v>
      </c>
      <c r="F1805" s="44">
        <v>82298.699999999953</v>
      </c>
      <c r="G1805"/>
      <c r="H1805" s="44">
        <f t="shared" si="122"/>
        <v>82298.699999999953</v>
      </c>
      <c r="I1805"/>
      <c r="J1805"/>
      <c r="L1805" t="s">
        <v>11</v>
      </c>
    </row>
    <row r="1806" spans="1:12">
      <c r="A1806" s="26">
        <v>44652</v>
      </c>
      <c r="B1806" s="82">
        <v>4</v>
      </c>
      <c r="C1806">
        <v>2022</v>
      </c>
      <c r="E1806" s="84" t="s">
        <v>67</v>
      </c>
      <c r="F1806" s="44">
        <v>447238</v>
      </c>
      <c r="G1806"/>
      <c r="H1806" s="44">
        <f t="shared" si="122"/>
        <v>447238</v>
      </c>
      <c r="I1806"/>
      <c r="J1806"/>
      <c r="L1806" t="s">
        <v>12</v>
      </c>
    </row>
    <row r="1807" spans="1:12">
      <c r="A1807" s="26">
        <v>44682</v>
      </c>
      <c r="B1807" s="82">
        <v>5</v>
      </c>
      <c r="C1807">
        <v>2022</v>
      </c>
      <c r="E1807" s="84" t="s">
        <v>67</v>
      </c>
      <c r="F1807" s="44">
        <v>426927.99999999977</v>
      </c>
      <c r="G1807"/>
      <c r="H1807" s="44">
        <f t="shared" si="122"/>
        <v>426927.99999999977</v>
      </c>
      <c r="I1807"/>
      <c r="J1807"/>
      <c r="L1807" t="s">
        <v>3</v>
      </c>
    </row>
    <row r="1808" spans="1:12">
      <c r="A1808" s="26">
        <v>44682</v>
      </c>
      <c r="B1808" s="82">
        <v>5</v>
      </c>
      <c r="C1808">
        <v>2022</v>
      </c>
      <c r="E1808" s="84" t="s">
        <v>67</v>
      </c>
      <c r="F1808" s="44">
        <v>415182.18000000017</v>
      </c>
      <c r="G1808"/>
      <c r="H1808" s="44">
        <f t="shared" si="122"/>
        <v>415182.18000000017</v>
      </c>
      <c r="I1808"/>
      <c r="J1808"/>
      <c r="L1808" t="s">
        <v>4</v>
      </c>
    </row>
    <row r="1809" spans="1:12">
      <c r="A1809" s="26">
        <v>44682</v>
      </c>
      <c r="B1809" s="82">
        <v>5</v>
      </c>
      <c r="C1809">
        <v>2022</v>
      </c>
      <c r="E1809" s="84" t="s">
        <v>67</v>
      </c>
      <c r="F1809" s="44">
        <v>229372.36999999988</v>
      </c>
      <c r="G1809"/>
      <c r="H1809" s="44">
        <f t="shared" si="122"/>
        <v>229372.36999999988</v>
      </c>
      <c r="I1809"/>
      <c r="J1809"/>
      <c r="L1809" t="s">
        <v>5</v>
      </c>
    </row>
    <row r="1810" spans="1:12">
      <c r="A1810" s="26">
        <v>44682</v>
      </c>
      <c r="B1810" s="82">
        <v>5</v>
      </c>
      <c r="C1810">
        <v>2022</v>
      </c>
      <c r="E1810" s="84" t="s">
        <v>67</v>
      </c>
      <c r="F1810" s="44">
        <v>1720818</v>
      </c>
      <c r="G1810"/>
      <c r="H1810" s="44">
        <f t="shared" si="122"/>
        <v>1720818</v>
      </c>
      <c r="I1810"/>
      <c r="J1810"/>
      <c r="L1810" t="s">
        <v>6</v>
      </c>
    </row>
    <row r="1811" spans="1:12">
      <c r="A1811" s="26">
        <v>44682</v>
      </c>
      <c r="B1811" s="82">
        <v>5</v>
      </c>
      <c r="C1811">
        <v>2022</v>
      </c>
      <c r="E1811" s="84" t="s">
        <v>67</v>
      </c>
      <c r="F1811" s="44">
        <v>76952.199999999953</v>
      </c>
      <c r="G1811"/>
      <c r="H1811" s="44">
        <f t="shared" si="122"/>
        <v>76952.199999999953</v>
      </c>
      <c r="I1811"/>
      <c r="J1811"/>
      <c r="L1811" t="s">
        <v>11</v>
      </c>
    </row>
    <row r="1812" spans="1:12">
      <c r="A1812" s="26">
        <v>44682</v>
      </c>
      <c r="B1812" s="82">
        <v>5</v>
      </c>
      <c r="C1812">
        <v>2022</v>
      </c>
      <c r="E1812" s="84" t="s">
        <v>67</v>
      </c>
      <c r="F1812" s="44">
        <v>57266</v>
      </c>
      <c r="G1812"/>
      <c r="H1812" s="44">
        <f t="shared" si="122"/>
        <v>57266</v>
      </c>
      <c r="I1812"/>
      <c r="J1812"/>
      <c r="L1812" t="s">
        <v>12</v>
      </c>
    </row>
    <row r="1813" spans="1:12">
      <c r="A1813" s="26">
        <v>44713</v>
      </c>
      <c r="B1813" s="82">
        <v>6</v>
      </c>
      <c r="C1813">
        <v>2022</v>
      </c>
      <c r="E1813" s="84" t="s">
        <v>67</v>
      </c>
      <c r="F1813" s="44">
        <v>485344.7999999997</v>
      </c>
      <c r="G1813"/>
      <c r="H1813" s="44">
        <f t="shared" si="122"/>
        <v>485344.7999999997</v>
      </c>
      <c r="I1813"/>
      <c r="J1813"/>
      <c r="L1813" t="s">
        <v>3</v>
      </c>
    </row>
    <row r="1814" spans="1:12">
      <c r="A1814" s="26">
        <v>44713</v>
      </c>
      <c r="B1814" s="82">
        <v>6</v>
      </c>
      <c r="C1814">
        <v>2022</v>
      </c>
      <c r="E1814" s="84" t="s">
        <v>67</v>
      </c>
      <c r="F1814" s="44">
        <v>402234.42000000027</v>
      </c>
      <c r="G1814"/>
      <c r="H1814" s="44">
        <f t="shared" si="122"/>
        <v>402234.42000000027</v>
      </c>
      <c r="I1814"/>
      <c r="J1814"/>
      <c r="L1814" t="s">
        <v>4</v>
      </c>
    </row>
    <row r="1815" spans="1:12">
      <c r="A1815" s="26">
        <v>44713</v>
      </c>
      <c r="B1815" s="82">
        <v>6</v>
      </c>
      <c r="C1815">
        <v>2022</v>
      </c>
      <c r="E1815" s="84" t="s">
        <v>67</v>
      </c>
      <c r="F1815" s="44">
        <v>66159.059999999823</v>
      </c>
      <c r="G1815"/>
      <c r="H1815" s="44">
        <f t="shared" si="122"/>
        <v>66159.059999999823</v>
      </c>
      <c r="I1815"/>
      <c r="J1815"/>
      <c r="L1815" t="s">
        <v>5</v>
      </c>
    </row>
    <row r="1816" spans="1:12">
      <c r="A1816" s="26">
        <v>44713</v>
      </c>
      <c r="B1816" s="82">
        <v>6</v>
      </c>
      <c r="C1816">
        <v>2022</v>
      </c>
      <c r="E1816" s="84" t="s">
        <v>67</v>
      </c>
      <c r="F1816" s="44">
        <v>2045240</v>
      </c>
      <c r="G1816"/>
      <c r="H1816" s="44">
        <f t="shared" si="122"/>
        <v>2045240</v>
      </c>
      <c r="I1816"/>
      <c r="J1816"/>
      <c r="L1816" t="s">
        <v>6</v>
      </c>
    </row>
    <row r="1817" spans="1:12">
      <c r="A1817" s="26">
        <v>44713</v>
      </c>
      <c r="B1817" s="82">
        <v>6</v>
      </c>
      <c r="C1817">
        <v>2022</v>
      </c>
      <c r="E1817" s="84" t="s">
        <v>67</v>
      </c>
      <c r="F1817" s="44">
        <v>67582.199999999953</v>
      </c>
      <c r="G1817"/>
      <c r="H1817" s="44">
        <f t="shared" si="122"/>
        <v>67582.199999999953</v>
      </c>
      <c r="I1817"/>
      <c r="J1817"/>
      <c r="L1817" t="s">
        <v>11</v>
      </c>
    </row>
    <row r="1818" spans="1:12">
      <c r="A1818" s="26">
        <v>44713</v>
      </c>
      <c r="B1818" s="82">
        <v>6</v>
      </c>
      <c r="C1818">
        <v>2022</v>
      </c>
      <c r="E1818" s="84" t="s">
        <v>67</v>
      </c>
      <c r="F1818" s="44">
        <v>220837</v>
      </c>
      <c r="G1818"/>
      <c r="H1818" s="44">
        <f t="shared" si="122"/>
        <v>220837</v>
      </c>
      <c r="I1818"/>
      <c r="J1818"/>
      <c r="L1818" t="s">
        <v>12</v>
      </c>
    </row>
    <row r="1819" spans="1:12">
      <c r="A1819" s="26">
        <v>44743</v>
      </c>
      <c r="B1819" s="82">
        <v>7</v>
      </c>
      <c r="C1819">
        <v>2022</v>
      </c>
      <c r="E1819" s="84" t="s">
        <v>67</v>
      </c>
      <c r="F1819" s="44">
        <v>721887.99999999965</v>
      </c>
      <c r="G1819"/>
      <c r="H1819" s="44">
        <f t="shared" si="122"/>
        <v>721887.99999999965</v>
      </c>
      <c r="I1819"/>
      <c r="J1819"/>
      <c r="L1819" t="s">
        <v>3</v>
      </c>
    </row>
    <row r="1820" spans="1:12">
      <c r="A1820" s="26">
        <v>44743</v>
      </c>
      <c r="B1820" s="82">
        <v>7</v>
      </c>
      <c r="C1820">
        <v>2022</v>
      </c>
      <c r="E1820" s="84" t="s">
        <v>67</v>
      </c>
      <c r="F1820" s="44">
        <v>373452.48000000033</v>
      </c>
      <c r="G1820"/>
      <c r="H1820" s="44">
        <f t="shared" si="122"/>
        <v>373452.48000000033</v>
      </c>
      <c r="I1820"/>
      <c r="J1820"/>
      <c r="L1820" t="s">
        <v>4</v>
      </c>
    </row>
    <row r="1821" spans="1:12">
      <c r="A1821" s="26">
        <v>44743</v>
      </c>
      <c r="B1821" s="82">
        <v>7</v>
      </c>
      <c r="C1821">
        <v>2022</v>
      </c>
      <c r="E1821" s="84" t="s">
        <v>67</v>
      </c>
      <c r="F1821" s="44">
        <v>481405.99999999953</v>
      </c>
      <c r="G1821"/>
      <c r="H1821" s="44">
        <f t="shared" si="122"/>
        <v>481405.99999999953</v>
      </c>
      <c r="I1821"/>
      <c r="J1821"/>
      <c r="L1821" t="s">
        <v>5</v>
      </c>
    </row>
    <row r="1822" spans="1:12">
      <c r="A1822" s="26">
        <v>44743</v>
      </c>
      <c r="B1822" s="82">
        <v>7</v>
      </c>
      <c r="C1822">
        <v>2022</v>
      </c>
      <c r="E1822" s="84" t="s">
        <v>67</v>
      </c>
      <c r="F1822" s="44">
        <v>2971958</v>
      </c>
      <c r="G1822"/>
      <c r="H1822" s="44">
        <f t="shared" si="122"/>
        <v>2971958</v>
      </c>
      <c r="I1822"/>
      <c r="J1822"/>
      <c r="L1822" t="s">
        <v>6</v>
      </c>
    </row>
    <row r="1823" spans="1:12">
      <c r="A1823" s="26">
        <v>44743</v>
      </c>
      <c r="B1823" s="82">
        <v>7</v>
      </c>
      <c r="C1823">
        <v>2022</v>
      </c>
      <c r="E1823" s="84" t="s">
        <v>67</v>
      </c>
      <c r="F1823" s="44">
        <v>57456.600000000093</v>
      </c>
      <c r="G1823"/>
      <c r="H1823" s="44">
        <f t="shared" si="122"/>
        <v>57456.600000000093</v>
      </c>
      <c r="I1823"/>
      <c r="J1823"/>
      <c r="L1823" t="s">
        <v>11</v>
      </c>
    </row>
    <row r="1824" spans="1:12">
      <c r="A1824" s="26">
        <v>44743</v>
      </c>
      <c r="B1824" s="82">
        <v>7</v>
      </c>
      <c r="C1824">
        <v>2022</v>
      </c>
      <c r="E1824" s="84" t="s">
        <v>67</v>
      </c>
      <c r="F1824" s="44">
        <v>25381</v>
      </c>
      <c r="G1824"/>
      <c r="H1824" s="44">
        <f t="shared" si="122"/>
        <v>25381</v>
      </c>
      <c r="I1824"/>
      <c r="J1824"/>
      <c r="L1824" t="s">
        <v>12</v>
      </c>
    </row>
    <row r="1825" spans="1:12">
      <c r="A1825" s="26">
        <v>44774</v>
      </c>
      <c r="B1825" s="82">
        <v>8</v>
      </c>
      <c r="C1825">
        <v>2022</v>
      </c>
      <c r="E1825" s="84" t="s">
        <v>67</v>
      </c>
      <c r="F1825" s="44">
        <v>777343.19999999972</v>
      </c>
      <c r="G1825"/>
      <c r="H1825" s="44">
        <f t="shared" si="122"/>
        <v>777343.19999999972</v>
      </c>
      <c r="I1825"/>
      <c r="J1825"/>
      <c r="L1825" t="s">
        <v>3</v>
      </c>
    </row>
    <row r="1826" spans="1:12">
      <c r="A1826" s="26">
        <v>44774</v>
      </c>
      <c r="B1826" s="82">
        <v>8</v>
      </c>
      <c r="C1826">
        <v>2022</v>
      </c>
      <c r="E1826" s="84" t="s">
        <v>67</v>
      </c>
      <c r="F1826" s="44">
        <v>338635.60000000021</v>
      </c>
      <c r="G1826"/>
      <c r="H1826" s="44">
        <f t="shared" si="122"/>
        <v>338635.60000000021</v>
      </c>
      <c r="I1826"/>
      <c r="J1826"/>
      <c r="L1826" t="s">
        <v>4</v>
      </c>
    </row>
    <row r="1827" spans="1:12">
      <c r="A1827" s="26">
        <v>44774</v>
      </c>
      <c r="B1827" s="82">
        <v>8</v>
      </c>
      <c r="C1827">
        <v>2022</v>
      </c>
      <c r="E1827" s="84" t="s">
        <v>67</v>
      </c>
      <c r="F1827" s="44">
        <v>230813.51999999909</v>
      </c>
      <c r="G1827"/>
      <c r="H1827" s="44">
        <f t="shared" si="122"/>
        <v>230813.51999999909</v>
      </c>
      <c r="I1827"/>
      <c r="J1827"/>
      <c r="L1827" t="s">
        <v>5</v>
      </c>
    </row>
    <row r="1828" spans="1:12">
      <c r="A1828" s="26">
        <v>44774</v>
      </c>
      <c r="B1828" s="82">
        <v>8</v>
      </c>
      <c r="C1828">
        <v>2022</v>
      </c>
      <c r="E1828" s="84" t="s">
        <v>67</v>
      </c>
      <c r="F1828" s="44">
        <v>3299835</v>
      </c>
      <c r="G1828"/>
      <c r="H1828" s="44">
        <f t="shared" si="122"/>
        <v>3299835</v>
      </c>
      <c r="I1828"/>
      <c r="J1828"/>
      <c r="L1828" t="s">
        <v>6</v>
      </c>
    </row>
    <row r="1829" spans="1:12">
      <c r="A1829" s="26">
        <v>44774</v>
      </c>
      <c r="B1829" s="82">
        <v>8</v>
      </c>
      <c r="C1829">
        <v>2022</v>
      </c>
      <c r="E1829" s="84" t="s">
        <v>67</v>
      </c>
      <c r="F1829" s="44">
        <v>312893.00000000023</v>
      </c>
      <c r="G1829"/>
      <c r="H1829" s="44">
        <f t="shared" si="122"/>
        <v>312893.00000000023</v>
      </c>
      <c r="I1829"/>
      <c r="J1829"/>
      <c r="L1829" t="s">
        <v>11</v>
      </c>
    </row>
    <row r="1830" spans="1:12">
      <c r="A1830" s="26">
        <v>44774</v>
      </c>
      <c r="B1830" s="82">
        <v>8</v>
      </c>
      <c r="C1830">
        <v>2022</v>
      </c>
      <c r="E1830" s="84" t="s">
        <v>67</v>
      </c>
      <c r="F1830" s="44">
        <v>128486</v>
      </c>
      <c r="G1830"/>
      <c r="H1830" s="44">
        <f t="shared" si="122"/>
        <v>128486</v>
      </c>
      <c r="I1830"/>
      <c r="J1830"/>
      <c r="L1830" t="s">
        <v>12</v>
      </c>
    </row>
    <row r="1831" spans="1:12">
      <c r="A1831" s="26">
        <v>44805</v>
      </c>
      <c r="B1831" s="82">
        <v>9</v>
      </c>
      <c r="C1831">
        <v>2022</v>
      </c>
      <c r="E1831" s="84" t="s">
        <v>67</v>
      </c>
      <c r="F1831" s="44">
        <v>848263.99999999977</v>
      </c>
      <c r="G1831"/>
      <c r="H1831" s="44">
        <f t="shared" si="122"/>
        <v>848263.99999999977</v>
      </c>
      <c r="I1831"/>
      <c r="J1831"/>
      <c r="L1831" t="s">
        <v>3</v>
      </c>
    </row>
    <row r="1832" spans="1:12">
      <c r="A1832" s="26">
        <v>44805</v>
      </c>
      <c r="B1832" s="82">
        <v>9</v>
      </c>
      <c r="C1832">
        <v>2022</v>
      </c>
      <c r="E1832" s="84" t="s">
        <v>67</v>
      </c>
      <c r="F1832" s="44">
        <v>325975.68000000028</v>
      </c>
      <c r="G1832"/>
      <c r="H1832" s="44">
        <f t="shared" si="122"/>
        <v>325975.68000000028</v>
      </c>
      <c r="I1832"/>
      <c r="J1832"/>
      <c r="L1832" t="s">
        <v>4</v>
      </c>
    </row>
    <row r="1833" spans="1:12">
      <c r="A1833" s="26">
        <v>44805</v>
      </c>
      <c r="B1833" s="82">
        <v>9</v>
      </c>
      <c r="C1833">
        <v>2022</v>
      </c>
      <c r="E1833" s="84" t="s">
        <v>67</v>
      </c>
      <c r="F1833" s="44">
        <v>262236.59999999916</v>
      </c>
      <c r="G1833"/>
      <c r="H1833" s="44">
        <f t="shared" si="122"/>
        <v>262236.59999999916</v>
      </c>
      <c r="I1833"/>
      <c r="J1833"/>
      <c r="L1833" t="s">
        <v>5</v>
      </c>
    </row>
    <row r="1834" spans="1:12">
      <c r="A1834" s="26">
        <v>44805</v>
      </c>
      <c r="B1834" s="82">
        <v>9</v>
      </c>
      <c r="C1834">
        <v>2022</v>
      </c>
      <c r="E1834" s="84" t="s">
        <v>67</v>
      </c>
      <c r="F1834" s="44">
        <v>3246834</v>
      </c>
      <c r="G1834"/>
      <c r="H1834" s="44">
        <f t="shared" si="122"/>
        <v>3246834</v>
      </c>
      <c r="I1834"/>
      <c r="J1834"/>
      <c r="L1834" t="s">
        <v>6</v>
      </c>
    </row>
    <row r="1835" spans="1:12">
      <c r="A1835" s="26">
        <v>44805</v>
      </c>
      <c r="B1835" s="82">
        <v>9</v>
      </c>
      <c r="C1835">
        <v>2022</v>
      </c>
      <c r="E1835" s="84" t="s">
        <v>67</v>
      </c>
      <c r="F1835" s="44">
        <v>275113.30000000016</v>
      </c>
      <c r="G1835"/>
      <c r="H1835" s="44">
        <f t="shared" si="122"/>
        <v>275113.30000000016</v>
      </c>
      <c r="I1835"/>
      <c r="J1835"/>
      <c r="L1835" t="s">
        <v>11</v>
      </c>
    </row>
    <row r="1836" spans="1:12">
      <c r="A1836" s="26">
        <v>44805</v>
      </c>
      <c r="B1836" s="82">
        <v>9</v>
      </c>
      <c r="C1836">
        <v>2022</v>
      </c>
      <c r="E1836" s="84" t="s">
        <v>67</v>
      </c>
      <c r="F1836" s="44">
        <v>189441</v>
      </c>
      <c r="G1836"/>
      <c r="H1836" s="44">
        <f t="shared" si="122"/>
        <v>189441</v>
      </c>
      <c r="I1836"/>
      <c r="J1836"/>
      <c r="L1836" t="s">
        <v>12</v>
      </c>
    </row>
    <row r="1837" spans="1:12">
      <c r="A1837" s="26">
        <v>44835</v>
      </c>
      <c r="B1837" s="82">
        <v>10</v>
      </c>
      <c r="C1837">
        <v>2022</v>
      </c>
      <c r="E1837" s="84" t="s">
        <v>67</v>
      </c>
      <c r="F1837" s="44">
        <v>972703.19999999972</v>
      </c>
      <c r="G1837"/>
      <c r="H1837" s="44">
        <f t="shared" si="122"/>
        <v>972703.19999999972</v>
      </c>
      <c r="I1837"/>
      <c r="J1837"/>
      <c r="L1837" t="s">
        <v>3</v>
      </c>
    </row>
    <row r="1838" spans="1:12">
      <c r="A1838" s="26">
        <v>44835</v>
      </c>
      <c r="B1838" s="82">
        <v>10</v>
      </c>
      <c r="C1838">
        <v>2022</v>
      </c>
      <c r="E1838" s="84" t="s">
        <v>67</v>
      </c>
      <c r="F1838" s="44">
        <v>427551.18000000028</v>
      </c>
      <c r="G1838"/>
      <c r="H1838" s="44">
        <f t="shared" si="122"/>
        <v>427551.18000000028</v>
      </c>
      <c r="I1838"/>
      <c r="J1838"/>
      <c r="L1838" t="s">
        <v>4</v>
      </c>
    </row>
    <row r="1839" spans="1:12">
      <c r="A1839" s="26">
        <v>44835</v>
      </c>
      <c r="B1839" s="82">
        <v>10</v>
      </c>
      <c r="C1839">
        <v>2022</v>
      </c>
      <c r="E1839" s="84" t="s">
        <v>67</v>
      </c>
      <c r="F1839" s="44">
        <v>329941.47999999905</v>
      </c>
      <c r="G1839"/>
      <c r="H1839" s="44">
        <f t="shared" si="122"/>
        <v>329941.47999999905</v>
      </c>
      <c r="I1839"/>
      <c r="J1839"/>
      <c r="L1839" t="s">
        <v>5</v>
      </c>
    </row>
    <row r="1840" spans="1:12">
      <c r="A1840" s="26">
        <v>44835</v>
      </c>
      <c r="B1840" s="82">
        <v>10</v>
      </c>
      <c r="C1840">
        <v>2022</v>
      </c>
      <c r="E1840" s="84" t="s">
        <v>67</v>
      </c>
      <c r="F1840" s="44">
        <v>3813020</v>
      </c>
      <c r="G1840"/>
      <c r="H1840" s="44">
        <f t="shared" si="122"/>
        <v>3813020</v>
      </c>
      <c r="I1840"/>
      <c r="J1840"/>
      <c r="L1840" t="s">
        <v>6</v>
      </c>
    </row>
    <row r="1841" spans="1:12">
      <c r="A1841" s="26">
        <v>44835</v>
      </c>
      <c r="B1841" s="82">
        <v>10</v>
      </c>
      <c r="C1841">
        <v>2022</v>
      </c>
      <c r="E1841" s="84" t="s">
        <v>67</v>
      </c>
      <c r="F1841" s="44">
        <v>149955.30000000016</v>
      </c>
      <c r="G1841"/>
      <c r="H1841" s="44">
        <f t="shared" si="122"/>
        <v>149955.30000000016</v>
      </c>
      <c r="I1841"/>
      <c r="J1841"/>
      <c r="L1841" t="s">
        <v>11</v>
      </c>
    </row>
    <row r="1842" spans="1:12">
      <c r="A1842" s="26">
        <v>44835</v>
      </c>
      <c r="B1842" s="82">
        <v>10</v>
      </c>
      <c r="C1842">
        <v>2022</v>
      </c>
      <c r="E1842" s="84" t="s">
        <v>67</v>
      </c>
      <c r="F1842" s="44">
        <v>158814</v>
      </c>
      <c r="G1842"/>
      <c r="H1842" s="44">
        <f t="shared" si="122"/>
        <v>158814</v>
      </c>
      <c r="I1842"/>
      <c r="J1842"/>
      <c r="L1842" t="s">
        <v>12</v>
      </c>
    </row>
    <row r="1843" spans="1:12">
      <c r="A1843" s="26">
        <v>44866</v>
      </c>
      <c r="B1843" s="82">
        <v>11</v>
      </c>
      <c r="C1843">
        <v>2022</v>
      </c>
      <c r="E1843" s="84" t="s">
        <v>67</v>
      </c>
      <c r="F1843" s="44">
        <v>841701.59999999986</v>
      </c>
      <c r="G1843"/>
      <c r="H1843" s="44">
        <f t="shared" si="122"/>
        <v>841701.59999999986</v>
      </c>
      <c r="I1843"/>
      <c r="J1843"/>
      <c r="L1843" t="s">
        <v>3</v>
      </c>
    </row>
    <row r="1844" spans="1:12">
      <c r="A1844" s="26">
        <v>44866</v>
      </c>
      <c r="B1844" s="82">
        <v>11</v>
      </c>
      <c r="C1844">
        <v>2022</v>
      </c>
      <c r="E1844" s="84" t="s">
        <v>67</v>
      </c>
      <c r="F1844" s="44">
        <v>431522.30000000016</v>
      </c>
      <c r="G1844"/>
      <c r="H1844" s="44">
        <f t="shared" si="122"/>
        <v>431522.30000000016</v>
      </c>
      <c r="I1844"/>
      <c r="J1844"/>
      <c r="L1844" t="s">
        <v>4</v>
      </c>
    </row>
    <row r="1845" spans="1:12">
      <c r="A1845" s="26">
        <v>44866</v>
      </c>
      <c r="B1845" s="82">
        <v>11</v>
      </c>
      <c r="C1845">
        <v>2022</v>
      </c>
      <c r="E1845" s="84" t="s">
        <v>67</v>
      </c>
      <c r="F1845" s="44">
        <v>357806.19999999925</v>
      </c>
      <c r="G1845"/>
      <c r="H1845" s="44">
        <f t="shared" si="122"/>
        <v>357806.19999999925</v>
      </c>
      <c r="I1845"/>
      <c r="J1845"/>
      <c r="L1845" t="s">
        <v>5</v>
      </c>
    </row>
    <row r="1846" spans="1:12">
      <c r="A1846" s="26">
        <v>44866</v>
      </c>
      <c r="B1846" s="82">
        <v>11</v>
      </c>
      <c r="C1846">
        <v>2022</v>
      </c>
      <c r="E1846" s="84" t="s">
        <v>67</v>
      </c>
      <c r="F1846" s="44">
        <v>4236876</v>
      </c>
      <c r="G1846"/>
      <c r="H1846" s="44">
        <f t="shared" si="122"/>
        <v>4236876</v>
      </c>
      <c r="I1846"/>
      <c r="J1846"/>
      <c r="L1846" t="s">
        <v>6</v>
      </c>
    </row>
    <row r="1847" spans="1:12">
      <c r="A1847" s="26">
        <v>44866</v>
      </c>
      <c r="B1847" s="82">
        <v>11</v>
      </c>
      <c r="C1847">
        <v>2022</v>
      </c>
      <c r="E1847" s="84" t="s">
        <v>67</v>
      </c>
      <c r="F1847" s="44">
        <v>159932.00000000012</v>
      </c>
      <c r="G1847"/>
      <c r="H1847" s="44">
        <f t="shared" si="122"/>
        <v>159932.00000000012</v>
      </c>
      <c r="I1847"/>
      <c r="J1847"/>
      <c r="L1847" t="s">
        <v>11</v>
      </c>
    </row>
    <row r="1848" spans="1:12">
      <c r="A1848" s="26">
        <v>44866</v>
      </c>
      <c r="B1848" s="82">
        <v>11</v>
      </c>
      <c r="C1848">
        <v>2022</v>
      </c>
      <c r="E1848" s="84" t="s">
        <v>67</v>
      </c>
      <c r="F1848" s="44">
        <v>356972</v>
      </c>
      <c r="G1848"/>
      <c r="H1848" s="44">
        <f t="shared" si="122"/>
        <v>356972</v>
      </c>
      <c r="I1848"/>
      <c r="J1848"/>
      <c r="L1848" t="s">
        <v>12</v>
      </c>
    </row>
    <row r="1849" spans="1:12">
      <c r="A1849" s="26">
        <v>44896</v>
      </c>
      <c r="B1849" s="82">
        <v>12</v>
      </c>
      <c r="C1849">
        <v>2022</v>
      </c>
      <c r="E1849" s="84" t="s">
        <v>67</v>
      </c>
      <c r="F1849" s="44">
        <v>1085339.2</v>
      </c>
      <c r="G1849"/>
      <c r="H1849" s="44">
        <f t="shared" si="122"/>
        <v>1085339.2</v>
      </c>
      <c r="I1849"/>
      <c r="J1849"/>
      <c r="L1849" t="s">
        <v>3</v>
      </c>
    </row>
    <row r="1850" spans="1:12">
      <c r="A1850" s="26">
        <v>44896</v>
      </c>
      <c r="B1850" s="82">
        <v>12</v>
      </c>
      <c r="C1850">
        <v>2022</v>
      </c>
      <c r="E1850" s="84" t="s">
        <v>67</v>
      </c>
      <c r="F1850" s="44">
        <v>405619.66000000027</v>
      </c>
      <c r="G1850"/>
      <c r="H1850" s="44">
        <f t="shared" si="122"/>
        <v>405619.66000000027</v>
      </c>
      <c r="I1850"/>
      <c r="J1850"/>
      <c r="L1850" t="s">
        <v>4</v>
      </c>
    </row>
    <row r="1851" spans="1:12">
      <c r="A1851" s="26">
        <v>44896</v>
      </c>
      <c r="B1851" s="82">
        <v>12</v>
      </c>
      <c r="C1851">
        <v>2022</v>
      </c>
      <c r="E1851" s="84" t="s">
        <v>67</v>
      </c>
      <c r="F1851" s="44">
        <v>226366.37999999896</v>
      </c>
      <c r="G1851"/>
      <c r="H1851" s="44">
        <f t="shared" si="122"/>
        <v>226366.37999999896</v>
      </c>
      <c r="I1851"/>
      <c r="J1851"/>
      <c r="L1851" t="s">
        <v>5</v>
      </c>
    </row>
    <row r="1852" spans="1:12">
      <c r="A1852" s="26">
        <v>44896</v>
      </c>
      <c r="B1852" s="82">
        <v>12</v>
      </c>
      <c r="C1852">
        <v>2022</v>
      </c>
      <c r="E1852" s="84" t="s">
        <v>67</v>
      </c>
      <c r="F1852" s="44">
        <v>4145553</v>
      </c>
      <c r="G1852"/>
      <c r="H1852" s="44">
        <f t="shared" si="122"/>
        <v>4145553</v>
      </c>
      <c r="I1852"/>
      <c r="J1852"/>
      <c r="L1852" t="s">
        <v>6</v>
      </c>
    </row>
    <row r="1853" spans="1:12">
      <c r="A1853" s="26">
        <v>44896</v>
      </c>
      <c r="B1853" s="82">
        <v>12</v>
      </c>
      <c r="C1853">
        <v>2022</v>
      </c>
      <c r="E1853" s="84" t="s">
        <v>67</v>
      </c>
      <c r="F1853" s="44">
        <v>39506.000000000116</v>
      </c>
      <c r="G1853"/>
      <c r="H1853" s="44">
        <f t="shared" si="122"/>
        <v>39506.000000000116</v>
      </c>
      <c r="I1853"/>
      <c r="J1853"/>
      <c r="L1853" t="s">
        <v>11</v>
      </c>
    </row>
    <row r="1854" spans="1:12">
      <c r="A1854" s="26">
        <v>44896</v>
      </c>
      <c r="B1854" s="82">
        <v>12</v>
      </c>
      <c r="C1854">
        <v>2022</v>
      </c>
      <c r="E1854" s="84" t="s">
        <v>67</v>
      </c>
      <c r="F1854" s="44">
        <v>296412</v>
      </c>
      <c r="G1854"/>
      <c r="H1854" s="44">
        <f t="shared" si="122"/>
        <v>296412</v>
      </c>
      <c r="I1854"/>
      <c r="J1854"/>
      <c r="L1854" t="s">
        <v>12</v>
      </c>
    </row>
    <row r="1855" spans="1:12">
      <c r="A1855" s="26">
        <v>44593</v>
      </c>
      <c r="B1855" s="82">
        <v>2</v>
      </c>
      <c r="C1855">
        <v>2022</v>
      </c>
      <c r="E1855" t="s">
        <v>236</v>
      </c>
      <c r="F1855"/>
      <c r="G1855" s="44">
        <v>158330.79999999993</v>
      </c>
      <c r="H1855" s="44">
        <f t="shared" si="122"/>
        <v>-158330.79999999993</v>
      </c>
      <c r="I1855"/>
      <c r="J1855"/>
      <c r="L1855" t="s">
        <v>3</v>
      </c>
    </row>
    <row r="1856" spans="1:12">
      <c r="A1856" s="26">
        <v>44593</v>
      </c>
      <c r="B1856" s="82">
        <v>2</v>
      </c>
      <c r="C1856">
        <v>2022</v>
      </c>
      <c r="E1856" t="s">
        <v>236</v>
      </c>
      <c r="F1856"/>
      <c r="G1856" s="44">
        <v>416425.31999999995</v>
      </c>
      <c r="H1856" s="44">
        <f t="shared" si="122"/>
        <v>-416425.31999999995</v>
      </c>
      <c r="I1856"/>
      <c r="J1856"/>
      <c r="L1856" t="s">
        <v>4</v>
      </c>
    </row>
    <row r="1857" spans="1:12">
      <c r="A1857" s="26">
        <v>44593</v>
      </c>
      <c r="B1857" s="82">
        <v>2</v>
      </c>
      <c r="C1857">
        <v>2022</v>
      </c>
      <c r="E1857" t="s">
        <v>236</v>
      </c>
      <c r="F1857"/>
      <c r="G1857" s="44">
        <v>309794.04999999981</v>
      </c>
      <c r="H1857" s="44">
        <f t="shared" si="122"/>
        <v>-309794.04999999981</v>
      </c>
      <c r="I1857"/>
      <c r="J1857"/>
      <c r="L1857" t="s">
        <v>5</v>
      </c>
    </row>
    <row r="1858" spans="1:12">
      <c r="A1858" s="26">
        <v>44593</v>
      </c>
      <c r="B1858" s="82">
        <v>2</v>
      </c>
      <c r="C1858">
        <v>2022</v>
      </c>
      <c r="E1858" t="s">
        <v>236</v>
      </c>
      <c r="F1858"/>
      <c r="G1858" s="44">
        <v>329406</v>
      </c>
      <c r="H1858" s="44">
        <f t="shared" ref="H1858:H1921" si="123">F1858-G1858</f>
        <v>-329406</v>
      </c>
      <c r="I1858"/>
      <c r="J1858"/>
      <c r="L1858" t="s">
        <v>6</v>
      </c>
    </row>
    <row r="1859" spans="1:12">
      <c r="A1859" s="26">
        <v>44593</v>
      </c>
      <c r="B1859" s="82">
        <v>2</v>
      </c>
      <c r="C1859">
        <v>2022</v>
      </c>
      <c r="E1859" t="s">
        <v>236</v>
      </c>
      <c r="F1859"/>
      <c r="G1859" s="44">
        <v>2062.7999999999302</v>
      </c>
      <c r="H1859" s="44">
        <f t="shared" si="123"/>
        <v>-2062.7999999999302</v>
      </c>
      <c r="I1859"/>
      <c r="J1859"/>
      <c r="L1859" t="s">
        <v>11</v>
      </c>
    </row>
    <row r="1860" spans="1:12">
      <c r="A1860" s="26">
        <v>44593</v>
      </c>
      <c r="B1860" s="82">
        <v>2</v>
      </c>
      <c r="C1860">
        <v>2022</v>
      </c>
      <c r="E1860" t="s">
        <v>236</v>
      </c>
      <c r="F1860"/>
      <c r="G1860" s="44">
        <v>1330</v>
      </c>
      <c r="H1860" s="44">
        <f t="shared" si="123"/>
        <v>-1330</v>
      </c>
      <c r="I1860"/>
      <c r="J1860"/>
      <c r="L1860" t="s">
        <v>12</v>
      </c>
    </row>
    <row r="1861" spans="1:12">
      <c r="A1861" s="26">
        <v>44621</v>
      </c>
      <c r="B1861" s="82">
        <v>3</v>
      </c>
      <c r="C1861">
        <v>2022</v>
      </c>
      <c r="E1861" t="s">
        <v>236</v>
      </c>
      <c r="F1861"/>
      <c r="G1861" s="44">
        <v>30415.999999999884</v>
      </c>
      <c r="H1861" s="44">
        <f t="shared" si="123"/>
        <v>-30415.999999999884</v>
      </c>
      <c r="I1861"/>
      <c r="J1861"/>
      <c r="L1861" t="s">
        <v>3</v>
      </c>
    </row>
    <row r="1862" spans="1:12">
      <c r="A1862" s="26">
        <v>44621</v>
      </c>
      <c r="B1862" s="82">
        <v>3</v>
      </c>
      <c r="C1862">
        <v>2022</v>
      </c>
      <c r="E1862" t="s">
        <v>236</v>
      </c>
      <c r="F1862"/>
      <c r="G1862" s="44">
        <v>435593.76000000013</v>
      </c>
      <c r="H1862" s="44">
        <f t="shared" si="123"/>
        <v>-435593.76000000013</v>
      </c>
      <c r="I1862"/>
      <c r="J1862"/>
      <c r="L1862" t="s">
        <v>4</v>
      </c>
    </row>
    <row r="1863" spans="1:12">
      <c r="A1863" s="26">
        <v>44621</v>
      </c>
      <c r="B1863" s="82">
        <v>3</v>
      </c>
      <c r="C1863">
        <v>2022</v>
      </c>
      <c r="E1863" t="s">
        <v>236</v>
      </c>
      <c r="F1863"/>
      <c r="G1863" s="44">
        <v>155025.17999999993</v>
      </c>
      <c r="H1863" s="44">
        <f t="shared" si="123"/>
        <v>-155025.17999999993</v>
      </c>
      <c r="I1863"/>
      <c r="J1863"/>
      <c r="L1863" t="s">
        <v>5</v>
      </c>
    </row>
    <row r="1864" spans="1:12">
      <c r="A1864" s="26">
        <v>44621</v>
      </c>
      <c r="B1864" s="82">
        <v>3</v>
      </c>
      <c r="C1864">
        <v>2022</v>
      </c>
      <c r="E1864" t="s">
        <v>236</v>
      </c>
      <c r="F1864"/>
      <c r="G1864" s="44">
        <v>155790</v>
      </c>
      <c r="H1864" s="44">
        <f t="shared" si="123"/>
        <v>-155790</v>
      </c>
      <c r="I1864"/>
      <c r="J1864"/>
      <c r="L1864" t="s">
        <v>6</v>
      </c>
    </row>
    <row r="1865" spans="1:12">
      <c r="A1865" s="26">
        <v>44621</v>
      </c>
      <c r="B1865" s="82">
        <v>3</v>
      </c>
      <c r="C1865">
        <v>2022</v>
      </c>
      <c r="E1865" t="s">
        <v>236</v>
      </c>
      <c r="F1865"/>
      <c r="G1865" s="44">
        <v>60780.04999999993</v>
      </c>
      <c r="H1865" s="44">
        <f t="shared" si="123"/>
        <v>-60780.04999999993</v>
      </c>
      <c r="I1865"/>
      <c r="J1865"/>
      <c r="L1865" t="s">
        <v>11</v>
      </c>
    </row>
    <row r="1866" spans="1:12">
      <c r="A1866" s="26">
        <v>44621</v>
      </c>
      <c r="B1866" s="82">
        <v>3</v>
      </c>
      <c r="C1866">
        <v>2022</v>
      </c>
      <c r="E1866" t="s">
        <v>236</v>
      </c>
      <c r="F1866"/>
      <c r="G1866" s="44">
        <v>127827</v>
      </c>
      <c r="H1866" s="44">
        <f t="shared" si="123"/>
        <v>-127827</v>
      </c>
      <c r="I1866"/>
      <c r="J1866"/>
      <c r="L1866" t="s">
        <v>12</v>
      </c>
    </row>
    <row r="1867" spans="1:12">
      <c r="A1867" s="26">
        <v>44652</v>
      </c>
      <c r="B1867" s="82">
        <v>4</v>
      </c>
      <c r="C1867">
        <v>2022</v>
      </c>
      <c r="E1867" t="s">
        <v>236</v>
      </c>
      <c r="F1867"/>
      <c r="G1867" s="44">
        <v>385540.39999999991</v>
      </c>
      <c r="H1867" s="44">
        <f t="shared" si="123"/>
        <v>-385540.39999999991</v>
      </c>
      <c r="I1867"/>
      <c r="J1867"/>
      <c r="L1867" t="s">
        <v>3</v>
      </c>
    </row>
    <row r="1868" spans="1:12">
      <c r="A1868" s="26">
        <v>44652</v>
      </c>
      <c r="B1868" s="82">
        <v>4</v>
      </c>
      <c r="C1868">
        <v>2022</v>
      </c>
      <c r="E1868" t="s">
        <v>236</v>
      </c>
      <c r="F1868"/>
      <c r="G1868" s="44">
        <v>459795.06000000017</v>
      </c>
      <c r="H1868" s="44">
        <f t="shared" si="123"/>
        <v>-459795.06000000017</v>
      </c>
      <c r="I1868"/>
      <c r="J1868"/>
      <c r="L1868" t="s">
        <v>4</v>
      </c>
    </row>
    <row r="1869" spans="1:12">
      <c r="A1869" s="26">
        <v>44652</v>
      </c>
      <c r="B1869" s="82">
        <v>4</v>
      </c>
      <c r="C1869">
        <v>2022</v>
      </c>
      <c r="E1869" t="s">
        <v>236</v>
      </c>
      <c r="F1869"/>
      <c r="G1869" s="44">
        <v>132180.59999999986</v>
      </c>
      <c r="H1869" s="44">
        <f t="shared" si="123"/>
        <v>-132180.59999999986</v>
      </c>
      <c r="I1869"/>
      <c r="J1869"/>
      <c r="L1869" t="s">
        <v>5</v>
      </c>
    </row>
    <row r="1870" spans="1:12">
      <c r="A1870" s="26">
        <v>44652</v>
      </c>
      <c r="B1870" s="82">
        <v>4</v>
      </c>
      <c r="C1870">
        <v>2022</v>
      </c>
      <c r="E1870" t="s">
        <v>236</v>
      </c>
      <c r="F1870"/>
      <c r="G1870" s="44">
        <v>1180476</v>
      </c>
      <c r="H1870" s="44">
        <f t="shared" si="123"/>
        <v>-1180476</v>
      </c>
      <c r="I1870"/>
      <c r="J1870"/>
      <c r="L1870" t="s">
        <v>6</v>
      </c>
    </row>
    <row r="1871" spans="1:12">
      <c r="A1871" s="26">
        <v>44652</v>
      </c>
      <c r="B1871" s="82">
        <v>4</v>
      </c>
      <c r="C1871">
        <v>2022</v>
      </c>
      <c r="E1871" t="s">
        <v>236</v>
      </c>
      <c r="F1871"/>
      <c r="G1871" s="44">
        <v>82298.699999999953</v>
      </c>
      <c r="H1871" s="44">
        <f t="shared" si="123"/>
        <v>-82298.699999999953</v>
      </c>
      <c r="I1871"/>
      <c r="J1871"/>
      <c r="L1871" t="s">
        <v>11</v>
      </c>
    </row>
    <row r="1872" spans="1:12">
      <c r="A1872" s="26">
        <v>44652</v>
      </c>
      <c r="B1872" s="82">
        <v>4</v>
      </c>
      <c r="C1872">
        <v>2022</v>
      </c>
      <c r="E1872" t="s">
        <v>236</v>
      </c>
      <c r="F1872"/>
      <c r="G1872" s="44">
        <v>447238</v>
      </c>
      <c r="H1872" s="44">
        <f t="shared" si="123"/>
        <v>-447238</v>
      </c>
      <c r="I1872"/>
      <c r="J1872"/>
      <c r="L1872" t="s">
        <v>12</v>
      </c>
    </row>
    <row r="1873" spans="1:12">
      <c r="A1873" s="26">
        <v>44682</v>
      </c>
      <c r="B1873" s="82">
        <v>5</v>
      </c>
      <c r="C1873">
        <v>2022</v>
      </c>
      <c r="E1873" t="s">
        <v>236</v>
      </c>
      <c r="F1873"/>
      <c r="G1873" s="44">
        <v>426927.99999999977</v>
      </c>
      <c r="H1873" s="44">
        <f t="shared" si="123"/>
        <v>-426927.99999999977</v>
      </c>
      <c r="I1873"/>
      <c r="J1873"/>
      <c r="L1873" t="s">
        <v>3</v>
      </c>
    </row>
    <row r="1874" spans="1:12">
      <c r="A1874" s="26">
        <v>44682</v>
      </c>
      <c r="B1874" s="82">
        <v>5</v>
      </c>
      <c r="C1874">
        <v>2022</v>
      </c>
      <c r="E1874" t="s">
        <v>236</v>
      </c>
      <c r="F1874"/>
      <c r="G1874" s="44">
        <v>415182.18000000017</v>
      </c>
      <c r="H1874" s="44">
        <f t="shared" si="123"/>
        <v>-415182.18000000017</v>
      </c>
      <c r="I1874"/>
      <c r="J1874"/>
      <c r="L1874" t="s">
        <v>4</v>
      </c>
    </row>
    <row r="1875" spans="1:12">
      <c r="A1875" s="26">
        <v>44682</v>
      </c>
      <c r="B1875" s="82">
        <v>5</v>
      </c>
      <c r="C1875">
        <v>2022</v>
      </c>
      <c r="E1875" t="s">
        <v>236</v>
      </c>
      <c r="F1875"/>
      <c r="G1875" s="44">
        <v>229372.36999999988</v>
      </c>
      <c r="H1875" s="44">
        <f t="shared" si="123"/>
        <v>-229372.36999999988</v>
      </c>
      <c r="I1875"/>
      <c r="J1875"/>
      <c r="L1875" t="s">
        <v>5</v>
      </c>
    </row>
    <row r="1876" spans="1:12">
      <c r="A1876" s="26">
        <v>44682</v>
      </c>
      <c r="B1876" s="82">
        <v>5</v>
      </c>
      <c r="C1876">
        <v>2022</v>
      </c>
      <c r="E1876" t="s">
        <v>236</v>
      </c>
      <c r="F1876"/>
      <c r="G1876" s="44">
        <v>1720818</v>
      </c>
      <c r="H1876" s="44">
        <f t="shared" si="123"/>
        <v>-1720818</v>
      </c>
      <c r="I1876"/>
      <c r="J1876"/>
      <c r="L1876" t="s">
        <v>6</v>
      </c>
    </row>
    <row r="1877" spans="1:12">
      <c r="A1877" s="26">
        <v>44682</v>
      </c>
      <c r="B1877" s="82">
        <v>5</v>
      </c>
      <c r="C1877">
        <v>2022</v>
      </c>
      <c r="E1877" t="s">
        <v>236</v>
      </c>
      <c r="F1877"/>
      <c r="G1877" s="44">
        <v>76952.199999999953</v>
      </c>
      <c r="H1877" s="44">
        <f t="shared" si="123"/>
        <v>-76952.199999999953</v>
      </c>
      <c r="I1877"/>
      <c r="J1877"/>
      <c r="L1877" t="s">
        <v>11</v>
      </c>
    </row>
    <row r="1878" spans="1:12">
      <c r="A1878" s="26">
        <v>44682</v>
      </c>
      <c r="B1878" s="82">
        <v>5</v>
      </c>
      <c r="C1878">
        <v>2022</v>
      </c>
      <c r="E1878" t="s">
        <v>236</v>
      </c>
      <c r="F1878"/>
      <c r="G1878" s="44">
        <v>57266</v>
      </c>
      <c r="H1878" s="44">
        <f t="shared" si="123"/>
        <v>-57266</v>
      </c>
      <c r="I1878"/>
      <c r="J1878"/>
      <c r="L1878" t="s">
        <v>12</v>
      </c>
    </row>
    <row r="1879" spans="1:12">
      <c r="A1879" s="26">
        <v>44713</v>
      </c>
      <c r="B1879" s="82">
        <v>6</v>
      </c>
      <c r="C1879">
        <v>2022</v>
      </c>
      <c r="E1879" t="s">
        <v>236</v>
      </c>
      <c r="F1879"/>
      <c r="G1879" s="44">
        <v>485344.7999999997</v>
      </c>
      <c r="H1879" s="44">
        <f t="shared" si="123"/>
        <v>-485344.7999999997</v>
      </c>
      <c r="I1879"/>
      <c r="J1879"/>
      <c r="L1879" t="s">
        <v>3</v>
      </c>
    </row>
    <row r="1880" spans="1:12">
      <c r="A1880" s="26">
        <v>44713</v>
      </c>
      <c r="B1880" s="82">
        <v>6</v>
      </c>
      <c r="C1880">
        <v>2022</v>
      </c>
      <c r="E1880" t="s">
        <v>236</v>
      </c>
      <c r="F1880"/>
      <c r="G1880" s="44">
        <v>402234.42000000027</v>
      </c>
      <c r="H1880" s="44">
        <f t="shared" si="123"/>
        <v>-402234.42000000027</v>
      </c>
      <c r="I1880"/>
      <c r="J1880"/>
      <c r="L1880" t="s">
        <v>4</v>
      </c>
    </row>
    <row r="1881" spans="1:12">
      <c r="A1881" s="26">
        <v>44713</v>
      </c>
      <c r="B1881" s="82">
        <v>6</v>
      </c>
      <c r="C1881">
        <v>2022</v>
      </c>
      <c r="E1881" t="s">
        <v>236</v>
      </c>
      <c r="F1881"/>
      <c r="G1881" s="44">
        <v>66159.059999999823</v>
      </c>
      <c r="H1881" s="44">
        <f t="shared" si="123"/>
        <v>-66159.059999999823</v>
      </c>
      <c r="I1881"/>
      <c r="J1881"/>
      <c r="L1881" t="s">
        <v>5</v>
      </c>
    </row>
    <row r="1882" spans="1:12">
      <c r="A1882" s="26">
        <v>44713</v>
      </c>
      <c r="B1882" s="82">
        <v>6</v>
      </c>
      <c r="C1882">
        <v>2022</v>
      </c>
      <c r="E1882" t="s">
        <v>236</v>
      </c>
      <c r="F1882"/>
      <c r="G1882" s="44">
        <v>2045240</v>
      </c>
      <c r="H1882" s="44">
        <f t="shared" si="123"/>
        <v>-2045240</v>
      </c>
      <c r="I1882"/>
      <c r="J1882"/>
      <c r="L1882" t="s">
        <v>6</v>
      </c>
    </row>
    <row r="1883" spans="1:12">
      <c r="A1883" s="26">
        <v>44713</v>
      </c>
      <c r="B1883" s="82">
        <v>6</v>
      </c>
      <c r="C1883">
        <v>2022</v>
      </c>
      <c r="E1883" t="s">
        <v>236</v>
      </c>
      <c r="F1883"/>
      <c r="G1883" s="44">
        <v>67582.199999999953</v>
      </c>
      <c r="H1883" s="44">
        <f t="shared" si="123"/>
        <v>-67582.199999999953</v>
      </c>
      <c r="I1883"/>
      <c r="J1883"/>
      <c r="L1883" t="s">
        <v>11</v>
      </c>
    </row>
    <row r="1884" spans="1:12">
      <c r="A1884" s="26">
        <v>44713</v>
      </c>
      <c r="B1884" s="82">
        <v>6</v>
      </c>
      <c r="C1884">
        <v>2022</v>
      </c>
      <c r="E1884" t="s">
        <v>236</v>
      </c>
      <c r="F1884"/>
      <c r="G1884" s="44">
        <v>220837</v>
      </c>
      <c r="H1884" s="44">
        <f t="shared" si="123"/>
        <v>-220837</v>
      </c>
      <c r="I1884"/>
      <c r="J1884"/>
      <c r="L1884" t="s">
        <v>12</v>
      </c>
    </row>
    <row r="1885" spans="1:12">
      <c r="A1885" s="26">
        <v>44743</v>
      </c>
      <c r="B1885" s="82">
        <v>7</v>
      </c>
      <c r="C1885">
        <v>2022</v>
      </c>
      <c r="E1885" t="s">
        <v>236</v>
      </c>
      <c r="F1885"/>
      <c r="G1885" s="44">
        <v>721887.99999999965</v>
      </c>
      <c r="H1885" s="44">
        <f t="shared" si="123"/>
        <v>-721887.99999999965</v>
      </c>
      <c r="I1885"/>
      <c r="J1885"/>
      <c r="L1885" t="s">
        <v>3</v>
      </c>
    </row>
    <row r="1886" spans="1:12">
      <c r="A1886" s="26">
        <v>44743</v>
      </c>
      <c r="B1886" s="82">
        <v>7</v>
      </c>
      <c r="C1886">
        <v>2022</v>
      </c>
      <c r="E1886" t="s">
        <v>236</v>
      </c>
      <c r="F1886"/>
      <c r="G1886" s="44">
        <v>373452.48000000033</v>
      </c>
      <c r="H1886" s="44">
        <f t="shared" si="123"/>
        <v>-373452.48000000033</v>
      </c>
      <c r="I1886"/>
      <c r="J1886"/>
      <c r="L1886" t="s">
        <v>4</v>
      </c>
    </row>
    <row r="1887" spans="1:12">
      <c r="A1887" s="26">
        <v>44743</v>
      </c>
      <c r="B1887" s="82">
        <v>7</v>
      </c>
      <c r="C1887">
        <v>2022</v>
      </c>
      <c r="E1887" t="s">
        <v>236</v>
      </c>
      <c r="F1887"/>
      <c r="G1887" s="44">
        <v>481405.99999999953</v>
      </c>
      <c r="H1887" s="44">
        <f t="shared" si="123"/>
        <v>-481405.99999999953</v>
      </c>
      <c r="I1887"/>
      <c r="J1887"/>
      <c r="L1887" t="s">
        <v>5</v>
      </c>
    </row>
    <row r="1888" spans="1:12">
      <c r="A1888" s="26">
        <v>44743</v>
      </c>
      <c r="B1888" s="82">
        <v>7</v>
      </c>
      <c r="C1888">
        <v>2022</v>
      </c>
      <c r="E1888" t="s">
        <v>236</v>
      </c>
      <c r="F1888"/>
      <c r="G1888" s="44">
        <v>2971958</v>
      </c>
      <c r="H1888" s="44">
        <f t="shared" si="123"/>
        <v>-2971958</v>
      </c>
      <c r="I1888"/>
      <c r="J1888"/>
      <c r="L1888" t="s">
        <v>6</v>
      </c>
    </row>
    <row r="1889" spans="1:12">
      <c r="A1889" s="26">
        <v>44743</v>
      </c>
      <c r="B1889" s="82">
        <v>7</v>
      </c>
      <c r="C1889">
        <v>2022</v>
      </c>
      <c r="E1889" t="s">
        <v>236</v>
      </c>
      <c r="F1889"/>
      <c r="G1889" s="44">
        <v>57456.600000000093</v>
      </c>
      <c r="H1889" s="44">
        <f t="shared" si="123"/>
        <v>-57456.600000000093</v>
      </c>
      <c r="I1889"/>
      <c r="J1889"/>
      <c r="L1889" t="s">
        <v>11</v>
      </c>
    </row>
    <row r="1890" spans="1:12">
      <c r="A1890" s="26">
        <v>44743</v>
      </c>
      <c r="B1890" s="82">
        <v>7</v>
      </c>
      <c r="C1890">
        <v>2022</v>
      </c>
      <c r="E1890" t="s">
        <v>236</v>
      </c>
      <c r="F1890"/>
      <c r="G1890" s="44">
        <v>25381</v>
      </c>
      <c r="H1890" s="44">
        <f t="shared" si="123"/>
        <v>-25381</v>
      </c>
      <c r="I1890"/>
      <c r="J1890"/>
      <c r="L1890" t="s">
        <v>12</v>
      </c>
    </row>
    <row r="1891" spans="1:12">
      <c r="A1891" s="26">
        <v>44774</v>
      </c>
      <c r="B1891" s="82">
        <v>8</v>
      </c>
      <c r="C1891">
        <v>2022</v>
      </c>
      <c r="E1891" t="s">
        <v>236</v>
      </c>
      <c r="F1891" s="27"/>
      <c r="G1891" s="44">
        <v>777343.19999999972</v>
      </c>
      <c r="H1891" s="44">
        <f t="shared" si="123"/>
        <v>-777343.19999999972</v>
      </c>
      <c r="I1891"/>
      <c r="J1891"/>
      <c r="L1891" t="s">
        <v>3</v>
      </c>
    </row>
    <row r="1892" spans="1:12">
      <c r="A1892" s="26">
        <v>44774</v>
      </c>
      <c r="B1892" s="82">
        <v>8</v>
      </c>
      <c r="C1892">
        <v>2022</v>
      </c>
      <c r="E1892" t="s">
        <v>236</v>
      </c>
      <c r="F1892" s="27"/>
      <c r="G1892" s="44">
        <v>338635.60000000021</v>
      </c>
      <c r="H1892" s="44">
        <f t="shared" si="123"/>
        <v>-338635.60000000021</v>
      </c>
      <c r="I1892"/>
      <c r="J1892"/>
      <c r="L1892" t="s">
        <v>4</v>
      </c>
    </row>
    <row r="1893" spans="1:12">
      <c r="A1893" s="26">
        <v>44774</v>
      </c>
      <c r="B1893" s="82">
        <v>8</v>
      </c>
      <c r="C1893">
        <v>2022</v>
      </c>
      <c r="E1893" t="s">
        <v>236</v>
      </c>
      <c r="F1893" s="27"/>
      <c r="G1893" s="44">
        <v>230813.51999999909</v>
      </c>
      <c r="H1893" s="44">
        <f t="shared" si="123"/>
        <v>-230813.51999999909</v>
      </c>
      <c r="I1893"/>
      <c r="J1893"/>
      <c r="L1893" t="s">
        <v>5</v>
      </c>
    </row>
    <row r="1894" spans="1:12">
      <c r="A1894" s="26">
        <v>44774</v>
      </c>
      <c r="B1894" s="82">
        <v>8</v>
      </c>
      <c r="C1894">
        <v>2022</v>
      </c>
      <c r="E1894" t="s">
        <v>236</v>
      </c>
      <c r="F1894" s="27"/>
      <c r="G1894" s="44">
        <v>3299835</v>
      </c>
      <c r="H1894" s="44">
        <f t="shared" si="123"/>
        <v>-3299835</v>
      </c>
      <c r="I1894"/>
      <c r="J1894"/>
      <c r="L1894" t="s">
        <v>6</v>
      </c>
    </row>
    <row r="1895" spans="1:12">
      <c r="A1895" s="26">
        <v>44774</v>
      </c>
      <c r="B1895" s="82">
        <v>8</v>
      </c>
      <c r="C1895">
        <v>2022</v>
      </c>
      <c r="E1895" t="s">
        <v>236</v>
      </c>
      <c r="F1895" s="27"/>
      <c r="G1895" s="44">
        <v>312893.00000000023</v>
      </c>
      <c r="H1895" s="44">
        <f t="shared" si="123"/>
        <v>-312893.00000000023</v>
      </c>
      <c r="I1895"/>
      <c r="J1895"/>
      <c r="L1895" t="s">
        <v>11</v>
      </c>
    </row>
    <row r="1896" spans="1:12">
      <c r="A1896" s="26">
        <v>44774</v>
      </c>
      <c r="B1896" s="82">
        <v>8</v>
      </c>
      <c r="C1896">
        <v>2022</v>
      </c>
      <c r="E1896" t="s">
        <v>236</v>
      </c>
      <c r="F1896" s="27"/>
      <c r="G1896" s="44">
        <v>128486</v>
      </c>
      <c r="H1896" s="44">
        <f t="shared" si="123"/>
        <v>-128486</v>
      </c>
      <c r="I1896"/>
      <c r="J1896"/>
      <c r="L1896" t="s">
        <v>12</v>
      </c>
    </row>
    <row r="1897" spans="1:12">
      <c r="A1897" s="26">
        <v>44805</v>
      </c>
      <c r="B1897" s="82">
        <v>9</v>
      </c>
      <c r="C1897">
        <v>2022</v>
      </c>
      <c r="E1897" t="s">
        <v>236</v>
      </c>
      <c r="F1897" s="27"/>
      <c r="G1897" s="44">
        <v>848263.99999999977</v>
      </c>
      <c r="H1897" s="44">
        <f t="shared" si="123"/>
        <v>-848263.99999999977</v>
      </c>
      <c r="I1897"/>
      <c r="J1897"/>
      <c r="L1897" t="s">
        <v>3</v>
      </c>
    </row>
    <row r="1898" spans="1:12">
      <c r="A1898" s="26">
        <v>44805</v>
      </c>
      <c r="B1898" s="82">
        <v>9</v>
      </c>
      <c r="C1898">
        <v>2022</v>
      </c>
      <c r="E1898" t="s">
        <v>236</v>
      </c>
      <c r="F1898" s="27"/>
      <c r="G1898" s="44">
        <v>325975.68000000028</v>
      </c>
      <c r="H1898" s="44">
        <f t="shared" si="123"/>
        <v>-325975.68000000028</v>
      </c>
      <c r="I1898"/>
      <c r="J1898"/>
      <c r="L1898" t="s">
        <v>4</v>
      </c>
    </row>
    <row r="1899" spans="1:12">
      <c r="A1899" s="26">
        <v>44805</v>
      </c>
      <c r="B1899" s="82">
        <v>9</v>
      </c>
      <c r="C1899">
        <v>2022</v>
      </c>
      <c r="E1899" t="s">
        <v>236</v>
      </c>
      <c r="F1899" s="27"/>
      <c r="G1899" s="44">
        <v>262236.59999999916</v>
      </c>
      <c r="H1899" s="44">
        <f t="shared" si="123"/>
        <v>-262236.59999999916</v>
      </c>
      <c r="I1899"/>
      <c r="J1899"/>
      <c r="L1899" t="s">
        <v>5</v>
      </c>
    </row>
    <row r="1900" spans="1:12">
      <c r="A1900" s="26">
        <v>44805</v>
      </c>
      <c r="B1900" s="82">
        <v>9</v>
      </c>
      <c r="C1900">
        <v>2022</v>
      </c>
      <c r="E1900" t="s">
        <v>236</v>
      </c>
      <c r="F1900" s="27"/>
      <c r="G1900" s="44">
        <v>3246834</v>
      </c>
      <c r="H1900" s="44">
        <f t="shared" si="123"/>
        <v>-3246834</v>
      </c>
      <c r="I1900"/>
      <c r="J1900"/>
      <c r="L1900" t="s">
        <v>6</v>
      </c>
    </row>
    <row r="1901" spans="1:12">
      <c r="A1901" s="26">
        <v>44805</v>
      </c>
      <c r="B1901" s="82">
        <v>9</v>
      </c>
      <c r="C1901">
        <v>2022</v>
      </c>
      <c r="E1901" t="s">
        <v>236</v>
      </c>
      <c r="F1901" s="27"/>
      <c r="G1901" s="44">
        <v>275113.30000000016</v>
      </c>
      <c r="H1901" s="44">
        <f t="shared" si="123"/>
        <v>-275113.30000000016</v>
      </c>
      <c r="I1901"/>
      <c r="J1901"/>
      <c r="L1901" t="s">
        <v>11</v>
      </c>
    </row>
    <row r="1902" spans="1:12">
      <c r="A1902" s="26">
        <v>44805</v>
      </c>
      <c r="B1902" s="82">
        <v>9</v>
      </c>
      <c r="C1902">
        <v>2022</v>
      </c>
      <c r="E1902" t="s">
        <v>236</v>
      </c>
      <c r="F1902" s="27"/>
      <c r="G1902" s="44">
        <v>189441</v>
      </c>
      <c r="H1902" s="44">
        <f t="shared" si="123"/>
        <v>-189441</v>
      </c>
      <c r="I1902"/>
      <c r="J1902"/>
      <c r="L1902" t="s">
        <v>12</v>
      </c>
    </row>
    <row r="1903" spans="1:12">
      <c r="A1903" s="26">
        <v>44835</v>
      </c>
      <c r="B1903" s="82">
        <v>10</v>
      </c>
      <c r="C1903">
        <v>2022</v>
      </c>
      <c r="E1903" t="s">
        <v>236</v>
      </c>
      <c r="F1903" s="27"/>
      <c r="G1903" s="44">
        <v>972703.19999999972</v>
      </c>
      <c r="H1903" s="44">
        <f t="shared" si="123"/>
        <v>-972703.19999999972</v>
      </c>
      <c r="I1903"/>
      <c r="J1903"/>
      <c r="L1903" t="s">
        <v>3</v>
      </c>
    </row>
    <row r="1904" spans="1:12">
      <c r="A1904" s="26">
        <v>44835</v>
      </c>
      <c r="B1904" s="82">
        <v>10</v>
      </c>
      <c r="C1904">
        <v>2022</v>
      </c>
      <c r="E1904" t="s">
        <v>236</v>
      </c>
      <c r="F1904" s="27"/>
      <c r="G1904" s="44">
        <v>427551.18000000028</v>
      </c>
      <c r="H1904" s="44">
        <f t="shared" si="123"/>
        <v>-427551.18000000028</v>
      </c>
      <c r="I1904"/>
      <c r="J1904"/>
      <c r="L1904" t="s">
        <v>4</v>
      </c>
    </row>
    <row r="1905" spans="1:12">
      <c r="A1905" s="26">
        <v>44835</v>
      </c>
      <c r="B1905" s="82">
        <v>10</v>
      </c>
      <c r="C1905">
        <v>2022</v>
      </c>
      <c r="E1905" t="s">
        <v>236</v>
      </c>
      <c r="F1905" s="27"/>
      <c r="G1905" s="44">
        <v>329941.47999999905</v>
      </c>
      <c r="H1905" s="44">
        <f t="shared" si="123"/>
        <v>-329941.47999999905</v>
      </c>
      <c r="I1905"/>
      <c r="J1905"/>
      <c r="L1905" t="s">
        <v>5</v>
      </c>
    </row>
    <row r="1906" spans="1:12">
      <c r="A1906" s="26">
        <v>44835</v>
      </c>
      <c r="B1906" s="82">
        <v>10</v>
      </c>
      <c r="C1906">
        <v>2022</v>
      </c>
      <c r="E1906" t="s">
        <v>236</v>
      </c>
      <c r="F1906" s="27"/>
      <c r="G1906" s="44">
        <v>3813020</v>
      </c>
      <c r="H1906" s="44">
        <f t="shared" si="123"/>
        <v>-3813020</v>
      </c>
      <c r="I1906"/>
      <c r="J1906"/>
      <c r="L1906" t="s">
        <v>6</v>
      </c>
    </row>
    <row r="1907" spans="1:12">
      <c r="A1907" s="26">
        <v>44835</v>
      </c>
      <c r="B1907" s="82">
        <v>10</v>
      </c>
      <c r="C1907">
        <v>2022</v>
      </c>
      <c r="E1907" t="s">
        <v>236</v>
      </c>
      <c r="F1907" s="27"/>
      <c r="G1907" s="44">
        <v>149955.30000000016</v>
      </c>
      <c r="H1907" s="44">
        <f t="shared" si="123"/>
        <v>-149955.30000000016</v>
      </c>
      <c r="I1907"/>
      <c r="J1907"/>
      <c r="L1907" t="s">
        <v>11</v>
      </c>
    </row>
    <row r="1908" spans="1:12">
      <c r="A1908" s="26">
        <v>44835</v>
      </c>
      <c r="B1908" s="82">
        <v>10</v>
      </c>
      <c r="C1908">
        <v>2022</v>
      </c>
      <c r="E1908" t="s">
        <v>236</v>
      </c>
      <c r="F1908" s="27"/>
      <c r="G1908" s="44">
        <v>158814</v>
      </c>
      <c r="H1908" s="44">
        <f t="shared" si="123"/>
        <v>-158814</v>
      </c>
      <c r="I1908"/>
      <c r="J1908"/>
      <c r="L1908" t="s">
        <v>12</v>
      </c>
    </row>
    <row r="1909" spans="1:12">
      <c r="A1909" s="26">
        <v>44866</v>
      </c>
      <c r="B1909" s="82">
        <v>11</v>
      </c>
      <c r="C1909">
        <v>2022</v>
      </c>
      <c r="E1909" t="s">
        <v>236</v>
      </c>
      <c r="F1909" s="27"/>
      <c r="G1909" s="44">
        <v>841701.59999999986</v>
      </c>
      <c r="H1909" s="44">
        <f t="shared" si="123"/>
        <v>-841701.59999999986</v>
      </c>
      <c r="I1909"/>
      <c r="J1909"/>
      <c r="L1909" t="s">
        <v>3</v>
      </c>
    </row>
    <row r="1910" spans="1:12">
      <c r="A1910" s="26">
        <v>44866</v>
      </c>
      <c r="B1910" s="82">
        <v>11</v>
      </c>
      <c r="C1910">
        <v>2022</v>
      </c>
      <c r="E1910" t="s">
        <v>236</v>
      </c>
      <c r="F1910" s="27"/>
      <c r="G1910" s="44">
        <v>431522.30000000016</v>
      </c>
      <c r="H1910" s="44">
        <f t="shared" si="123"/>
        <v>-431522.30000000016</v>
      </c>
      <c r="I1910"/>
      <c r="J1910"/>
      <c r="L1910" t="s">
        <v>4</v>
      </c>
    </row>
    <row r="1911" spans="1:12">
      <c r="A1911" s="26">
        <v>44866</v>
      </c>
      <c r="B1911" s="82">
        <v>11</v>
      </c>
      <c r="C1911">
        <v>2022</v>
      </c>
      <c r="E1911" t="s">
        <v>236</v>
      </c>
      <c r="F1911" s="27"/>
      <c r="G1911" s="44">
        <v>357806.19999999925</v>
      </c>
      <c r="H1911" s="44">
        <f t="shared" si="123"/>
        <v>-357806.19999999925</v>
      </c>
      <c r="I1911"/>
      <c r="J1911"/>
      <c r="L1911" t="s">
        <v>5</v>
      </c>
    </row>
    <row r="1912" spans="1:12">
      <c r="A1912" s="26">
        <v>44866</v>
      </c>
      <c r="B1912" s="82">
        <v>11</v>
      </c>
      <c r="C1912">
        <v>2022</v>
      </c>
      <c r="E1912" t="s">
        <v>236</v>
      </c>
      <c r="F1912" s="27"/>
      <c r="G1912" s="44">
        <v>4236876</v>
      </c>
      <c r="H1912" s="44">
        <f t="shared" si="123"/>
        <v>-4236876</v>
      </c>
      <c r="I1912"/>
      <c r="J1912"/>
      <c r="L1912" t="s">
        <v>6</v>
      </c>
    </row>
    <row r="1913" spans="1:12">
      <c r="A1913" s="26">
        <v>44866</v>
      </c>
      <c r="B1913" s="82">
        <v>11</v>
      </c>
      <c r="C1913">
        <v>2022</v>
      </c>
      <c r="E1913" t="s">
        <v>236</v>
      </c>
      <c r="F1913" s="27"/>
      <c r="G1913" s="44">
        <v>159932.00000000012</v>
      </c>
      <c r="H1913" s="44">
        <f t="shared" si="123"/>
        <v>-159932.00000000012</v>
      </c>
      <c r="I1913"/>
      <c r="J1913"/>
      <c r="L1913" t="s">
        <v>11</v>
      </c>
    </row>
    <row r="1914" spans="1:12">
      <c r="A1914" s="26">
        <v>44866</v>
      </c>
      <c r="B1914" s="82">
        <v>11</v>
      </c>
      <c r="C1914">
        <v>2022</v>
      </c>
      <c r="E1914" t="s">
        <v>236</v>
      </c>
      <c r="F1914" s="27"/>
      <c r="G1914" s="44">
        <v>356972</v>
      </c>
      <c r="H1914" s="44">
        <f t="shared" si="123"/>
        <v>-356972</v>
      </c>
      <c r="I1914"/>
      <c r="J1914"/>
      <c r="L1914" t="s">
        <v>12</v>
      </c>
    </row>
    <row r="1915" spans="1:12">
      <c r="A1915" s="26">
        <v>44896</v>
      </c>
      <c r="B1915" s="82">
        <v>12</v>
      </c>
      <c r="C1915">
        <v>2022</v>
      </c>
      <c r="E1915" t="s">
        <v>236</v>
      </c>
      <c r="F1915" s="27"/>
      <c r="G1915" s="44">
        <v>1085339.2</v>
      </c>
      <c r="H1915" s="44">
        <f t="shared" si="123"/>
        <v>-1085339.2</v>
      </c>
      <c r="I1915"/>
      <c r="J1915"/>
      <c r="L1915" t="s">
        <v>3</v>
      </c>
    </row>
    <row r="1916" spans="1:12">
      <c r="A1916" s="26">
        <v>44896</v>
      </c>
      <c r="B1916" s="82">
        <v>12</v>
      </c>
      <c r="C1916">
        <v>2022</v>
      </c>
      <c r="E1916" t="s">
        <v>236</v>
      </c>
      <c r="F1916" s="27"/>
      <c r="G1916" s="44">
        <v>405619.66000000027</v>
      </c>
      <c r="H1916" s="44">
        <f t="shared" si="123"/>
        <v>-405619.66000000027</v>
      </c>
      <c r="I1916"/>
      <c r="J1916"/>
      <c r="L1916" t="s">
        <v>4</v>
      </c>
    </row>
    <row r="1917" spans="1:12">
      <c r="A1917" s="26">
        <v>44896</v>
      </c>
      <c r="B1917" s="82">
        <v>12</v>
      </c>
      <c r="C1917">
        <v>2022</v>
      </c>
      <c r="E1917" t="s">
        <v>236</v>
      </c>
      <c r="F1917" s="27"/>
      <c r="G1917" s="44">
        <v>226366.37999999896</v>
      </c>
      <c r="H1917" s="44">
        <f t="shared" si="123"/>
        <v>-226366.37999999896</v>
      </c>
      <c r="I1917"/>
      <c r="J1917"/>
      <c r="L1917" t="s">
        <v>5</v>
      </c>
    </row>
    <row r="1918" spans="1:12">
      <c r="A1918" s="26">
        <v>44896</v>
      </c>
      <c r="B1918" s="82">
        <v>12</v>
      </c>
      <c r="C1918">
        <v>2022</v>
      </c>
      <c r="E1918" t="s">
        <v>236</v>
      </c>
      <c r="F1918" s="27"/>
      <c r="G1918" s="44">
        <v>4145553</v>
      </c>
      <c r="H1918" s="44">
        <f t="shared" si="123"/>
        <v>-4145553</v>
      </c>
      <c r="I1918"/>
      <c r="J1918"/>
      <c r="L1918" t="s">
        <v>6</v>
      </c>
    </row>
    <row r="1919" spans="1:12">
      <c r="A1919" s="26">
        <v>44896</v>
      </c>
      <c r="B1919" s="82">
        <v>12</v>
      </c>
      <c r="C1919">
        <v>2022</v>
      </c>
      <c r="E1919" t="s">
        <v>236</v>
      </c>
      <c r="F1919" s="27"/>
      <c r="G1919" s="44">
        <v>39506.000000000116</v>
      </c>
      <c r="H1919" s="44">
        <f t="shared" si="123"/>
        <v>-39506.000000000116</v>
      </c>
      <c r="I1919"/>
      <c r="J1919"/>
      <c r="L1919" t="s">
        <v>11</v>
      </c>
    </row>
    <row r="1920" spans="1:12">
      <c r="A1920" s="26">
        <v>44896</v>
      </c>
      <c r="B1920" s="82">
        <v>12</v>
      </c>
      <c r="C1920">
        <v>2022</v>
      </c>
      <c r="E1920" t="s">
        <v>236</v>
      </c>
      <c r="F1920" s="27"/>
      <c r="G1920" s="44">
        <v>296412</v>
      </c>
      <c r="H1920" s="44">
        <f t="shared" si="123"/>
        <v>-296412</v>
      </c>
      <c r="I1920"/>
      <c r="J1920"/>
      <c r="L1920" t="s">
        <v>12</v>
      </c>
    </row>
    <row r="1921" spans="1:8">
      <c r="A1921" s="86">
        <v>44593</v>
      </c>
      <c r="B1921" s="82">
        <f t="shared" ref="B1921:B1942" si="124">MONTH(A1921)</f>
        <v>2</v>
      </c>
      <c r="C1921">
        <f t="shared" ref="C1921:C1942" si="125">YEAR(A1921)</f>
        <v>2022</v>
      </c>
      <c r="E1921" s="331" t="s">
        <v>191</v>
      </c>
      <c r="F1921" s="44">
        <v>3607884</v>
      </c>
      <c r="H1921" s="44">
        <f t="shared" si="123"/>
        <v>3607884</v>
      </c>
    </row>
    <row r="1922" spans="1:8">
      <c r="A1922" s="86">
        <v>44621</v>
      </c>
      <c r="B1922" s="82">
        <f t="shared" si="124"/>
        <v>3</v>
      </c>
      <c r="C1922">
        <f t="shared" si="125"/>
        <v>2022</v>
      </c>
      <c r="E1922" s="331" t="s">
        <v>191</v>
      </c>
      <c r="F1922" s="44">
        <v>7214915.9019999998</v>
      </c>
      <c r="H1922" s="44">
        <f t="shared" ref="H1922:H1942" si="126">F1922-G1922</f>
        <v>7214915.9019999998</v>
      </c>
    </row>
    <row r="1923" spans="1:8">
      <c r="A1923" s="86">
        <v>44652</v>
      </c>
      <c r="B1923" s="82">
        <f t="shared" si="124"/>
        <v>4</v>
      </c>
      <c r="C1923">
        <f t="shared" si="125"/>
        <v>2022</v>
      </c>
      <c r="E1923" s="331" t="s">
        <v>191</v>
      </c>
      <c r="F1923" s="44">
        <v>5825205.8999999994</v>
      </c>
      <c r="H1923" s="44">
        <f t="shared" si="126"/>
        <v>5825205.8999999994</v>
      </c>
    </row>
    <row r="1924" spans="1:8">
      <c r="A1924" s="86">
        <v>44682</v>
      </c>
      <c r="B1924" s="82">
        <f t="shared" si="124"/>
        <v>5</v>
      </c>
      <c r="C1924">
        <f t="shared" si="125"/>
        <v>2022</v>
      </c>
      <c r="E1924" s="331" t="s">
        <v>191</v>
      </c>
      <c r="F1924" s="44">
        <v>22839043.623999998</v>
      </c>
      <c r="H1924" s="44">
        <f t="shared" si="126"/>
        <v>22839043.623999998</v>
      </c>
    </row>
    <row r="1925" spans="1:8">
      <c r="A1925" s="86">
        <v>44713</v>
      </c>
      <c r="B1925" s="82">
        <f t="shared" si="124"/>
        <v>6</v>
      </c>
      <c r="C1925">
        <f t="shared" si="125"/>
        <v>2022</v>
      </c>
      <c r="E1925" s="331" t="s">
        <v>191</v>
      </c>
      <c r="F1925" s="44">
        <v>25553263.207999997</v>
      </c>
      <c r="H1925" s="44">
        <f t="shared" si="126"/>
        <v>25553263.207999997</v>
      </c>
    </row>
    <row r="1926" spans="1:8">
      <c r="A1926" s="86">
        <v>44743</v>
      </c>
      <c r="B1926" s="82">
        <f t="shared" si="124"/>
        <v>7</v>
      </c>
      <c r="C1926">
        <f t="shared" si="125"/>
        <v>2022</v>
      </c>
      <c r="E1926" s="331" t="s">
        <v>191</v>
      </c>
      <c r="F1926" s="44">
        <v>26096565.181999996</v>
      </c>
      <c r="H1926" s="44">
        <f t="shared" si="126"/>
        <v>26096565.181999996</v>
      </c>
    </row>
    <row r="1927" spans="1:8">
      <c r="A1927" s="86">
        <v>44774</v>
      </c>
      <c r="B1927" s="82">
        <f t="shared" si="124"/>
        <v>8</v>
      </c>
      <c r="C1927">
        <f t="shared" si="125"/>
        <v>2022</v>
      </c>
      <c r="E1927" s="331" t="s">
        <v>191</v>
      </c>
      <c r="F1927" s="44">
        <v>35733386.943999998</v>
      </c>
      <c r="H1927" s="44">
        <f t="shared" si="126"/>
        <v>35733386.943999998</v>
      </c>
    </row>
    <row r="1928" spans="1:8">
      <c r="A1928" s="86">
        <v>44805</v>
      </c>
      <c r="B1928" s="82">
        <f t="shared" si="124"/>
        <v>9</v>
      </c>
      <c r="C1928">
        <f t="shared" si="125"/>
        <v>2022</v>
      </c>
      <c r="E1928" s="331" t="s">
        <v>191</v>
      </c>
      <c r="F1928" s="44">
        <v>43738790.821999997</v>
      </c>
      <c r="H1928" s="44">
        <f t="shared" si="126"/>
        <v>43738790.821999997</v>
      </c>
    </row>
    <row r="1929" spans="1:8">
      <c r="A1929" s="86">
        <v>44835</v>
      </c>
      <c r="B1929" s="82">
        <f t="shared" si="124"/>
        <v>10</v>
      </c>
      <c r="C1929">
        <f t="shared" si="125"/>
        <v>2022</v>
      </c>
      <c r="E1929" s="331" t="s">
        <v>191</v>
      </c>
      <c r="F1929" s="44">
        <v>45618337.523999996</v>
      </c>
      <c r="H1929" s="44">
        <f t="shared" si="126"/>
        <v>45618337.523999996</v>
      </c>
    </row>
    <row r="1930" spans="1:8">
      <c r="A1930" s="86">
        <v>44866</v>
      </c>
      <c r="B1930" s="82">
        <f t="shared" si="124"/>
        <v>11</v>
      </c>
      <c r="C1930">
        <f t="shared" si="125"/>
        <v>2022</v>
      </c>
      <c r="E1930" s="331" t="s">
        <v>191</v>
      </c>
      <c r="F1930" s="44">
        <v>58977900.255999997</v>
      </c>
      <c r="H1930" s="44">
        <f t="shared" si="126"/>
        <v>58977900.255999997</v>
      </c>
    </row>
    <row r="1931" spans="1:8">
      <c r="A1931" s="86">
        <v>44896</v>
      </c>
      <c r="B1931" s="82">
        <f t="shared" si="124"/>
        <v>12</v>
      </c>
      <c r="C1931">
        <f t="shared" si="125"/>
        <v>2022</v>
      </c>
      <c r="E1931" s="331" t="s">
        <v>191</v>
      </c>
      <c r="F1931" s="44">
        <v>63938757.964000002</v>
      </c>
      <c r="H1931" s="44">
        <f t="shared" si="126"/>
        <v>63938757.964000002</v>
      </c>
    </row>
    <row r="1932" spans="1:8">
      <c r="A1932" s="86">
        <v>44593</v>
      </c>
      <c r="B1932" s="82">
        <f t="shared" si="124"/>
        <v>2</v>
      </c>
      <c r="C1932">
        <f t="shared" si="125"/>
        <v>2022</v>
      </c>
      <c r="E1932" s="331" t="s">
        <v>263</v>
      </c>
      <c r="G1932" s="44">
        <v>3607884</v>
      </c>
      <c r="H1932" s="44">
        <f t="shared" si="126"/>
        <v>-3607884</v>
      </c>
    </row>
    <row r="1933" spans="1:8">
      <c r="A1933" s="86">
        <v>44621</v>
      </c>
      <c r="B1933" s="82">
        <f t="shared" si="124"/>
        <v>3</v>
      </c>
      <c r="C1933">
        <f t="shared" si="125"/>
        <v>2022</v>
      </c>
      <c r="E1933" s="331" t="s">
        <v>263</v>
      </c>
      <c r="G1933" s="44">
        <v>7214915.9019999998</v>
      </c>
      <c r="H1933" s="44">
        <f t="shared" si="126"/>
        <v>-7214915.9019999998</v>
      </c>
    </row>
    <row r="1934" spans="1:8">
      <c r="A1934" s="86">
        <v>44652</v>
      </c>
      <c r="B1934" s="82">
        <f t="shared" si="124"/>
        <v>4</v>
      </c>
      <c r="C1934">
        <f t="shared" si="125"/>
        <v>2022</v>
      </c>
      <c r="E1934" s="331" t="s">
        <v>263</v>
      </c>
      <c r="G1934" s="44">
        <v>5825205.8999999994</v>
      </c>
      <c r="H1934" s="44">
        <f t="shared" si="126"/>
        <v>-5825205.8999999994</v>
      </c>
    </row>
    <row r="1935" spans="1:8">
      <c r="A1935" s="86">
        <v>44682</v>
      </c>
      <c r="B1935" s="82">
        <f t="shared" si="124"/>
        <v>5</v>
      </c>
      <c r="C1935">
        <f t="shared" si="125"/>
        <v>2022</v>
      </c>
      <c r="E1935" s="331" t="s">
        <v>263</v>
      </c>
      <c r="G1935" s="44">
        <v>22839043.623999998</v>
      </c>
      <c r="H1935" s="44">
        <f t="shared" si="126"/>
        <v>-22839043.623999998</v>
      </c>
    </row>
    <row r="1936" spans="1:8">
      <c r="A1936" s="86">
        <v>44713</v>
      </c>
      <c r="B1936" s="82">
        <f t="shared" si="124"/>
        <v>6</v>
      </c>
      <c r="C1936">
        <f t="shared" si="125"/>
        <v>2022</v>
      </c>
      <c r="E1936" s="331" t="s">
        <v>263</v>
      </c>
      <c r="G1936" s="44">
        <v>25553263.207999997</v>
      </c>
      <c r="H1936" s="44">
        <f t="shared" si="126"/>
        <v>-25553263.207999997</v>
      </c>
    </row>
    <row r="1937" spans="1:8">
      <c r="A1937" s="86">
        <v>44743</v>
      </c>
      <c r="B1937" s="82">
        <f t="shared" si="124"/>
        <v>7</v>
      </c>
      <c r="C1937">
        <f t="shared" si="125"/>
        <v>2022</v>
      </c>
      <c r="E1937" s="331" t="s">
        <v>263</v>
      </c>
      <c r="G1937" s="44">
        <v>26096565.181999996</v>
      </c>
      <c r="H1937" s="44">
        <f t="shared" si="126"/>
        <v>-26096565.181999996</v>
      </c>
    </row>
    <row r="1938" spans="1:8">
      <c r="A1938" s="86">
        <v>44774</v>
      </c>
      <c r="B1938" s="82">
        <f t="shared" si="124"/>
        <v>8</v>
      </c>
      <c r="C1938">
        <f t="shared" si="125"/>
        <v>2022</v>
      </c>
      <c r="E1938" s="331" t="s">
        <v>263</v>
      </c>
      <c r="G1938" s="44">
        <v>35733386.943999998</v>
      </c>
      <c r="H1938" s="44">
        <f t="shared" si="126"/>
        <v>-35733386.943999998</v>
      </c>
    </row>
    <row r="1939" spans="1:8">
      <c r="A1939" s="86">
        <v>44805</v>
      </c>
      <c r="B1939" s="82">
        <f t="shared" si="124"/>
        <v>9</v>
      </c>
      <c r="C1939">
        <f t="shared" si="125"/>
        <v>2022</v>
      </c>
      <c r="E1939" s="331" t="s">
        <v>263</v>
      </c>
      <c r="G1939" s="44">
        <v>43738790.821999997</v>
      </c>
      <c r="H1939" s="44">
        <f t="shared" si="126"/>
        <v>-43738790.821999997</v>
      </c>
    </row>
    <row r="1940" spans="1:8">
      <c r="A1940" s="86">
        <v>44835</v>
      </c>
      <c r="B1940" s="82">
        <f t="shared" si="124"/>
        <v>10</v>
      </c>
      <c r="C1940">
        <f t="shared" si="125"/>
        <v>2022</v>
      </c>
      <c r="E1940" s="331" t="s">
        <v>263</v>
      </c>
      <c r="G1940" s="44">
        <v>45618337.523999996</v>
      </c>
      <c r="H1940" s="44">
        <f t="shared" si="126"/>
        <v>-45618337.523999996</v>
      </c>
    </row>
    <row r="1941" spans="1:8">
      <c r="A1941" s="86">
        <v>44866</v>
      </c>
      <c r="B1941" s="82">
        <f t="shared" si="124"/>
        <v>11</v>
      </c>
      <c r="C1941">
        <f t="shared" si="125"/>
        <v>2022</v>
      </c>
      <c r="E1941" s="331" t="s">
        <v>263</v>
      </c>
      <c r="G1941" s="44">
        <v>58977900.255999997</v>
      </c>
      <c r="H1941" s="44">
        <f t="shared" si="126"/>
        <v>-58977900.255999997</v>
      </c>
    </row>
    <row r="1942" spans="1:8">
      <c r="A1942" s="86">
        <v>44896</v>
      </c>
      <c r="B1942" s="82">
        <f t="shared" si="124"/>
        <v>12</v>
      </c>
      <c r="C1942">
        <f t="shared" si="125"/>
        <v>2022</v>
      </c>
      <c r="E1942" s="331" t="s">
        <v>263</v>
      </c>
      <c r="G1942" s="44">
        <v>63938757.964000002</v>
      </c>
      <c r="H1942" s="44">
        <f t="shared" si="126"/>
        <v>-63938757.964000002</v>
      </c>
    </row>
  </sheetData>
  <autoFilter ref="A1:S1942" xr:uid="{76362F9C-27EF-4954-AEC4-43D6C4192334}"/>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E5993-63B3-413B-AD57-A6EC4397D51E}">
  <sheetPr codeName="Sheet151">
    <tabColor rgb="FF00B050"/>
  </sheetPr>
  <dimension ref="A1:J42"/>
  <sheetViews>
    <sheetView workbookViewId="0">
      <selection activeCell="F6" sqref="F5:F11"/>
      <pivotSelection pane="bottomRight" showHeader="1" activeRow="5" activeCol="5" click="1" r:id="rId1">
        <pivotArea dataOnly="0" labelOnly="1" fieldPosition="0">
          <references count="1">
            <reference field="4" count="0"/>
          </references>
        </pivotArea>
      </pivotSelection>
    </sheetView>
  </sheetViews>
  <sheetFormatPr baseColWidth="10" defaultColWidth="8.83203125" defaultRowHeight="15"/>
  <cols>
    <col min="1" max="1" width="30.83203125" bestFit="1" customWidth="1"/>
    <col min="2" max="3" width="15.33203125" style="44" bestFit="1" customWidth="1"/>
    <col min="4" max="4" width="15" style="44" bestFit="1" customWidth="1"/>
    <col min="5" max="5" width="14.1640625" bestFit="1" customWidth="1"/>
    <col min="6" max="6" width="17" bestFit="1" customWidth="1"/>
    <col min="7" max="7" width="14.33203125" bestFit="1" customWidth="1"/>
    <col min="8" max="8" width="14.33203125" style="44" bestFit="1" customWidth="1"/>
    <col min="9" max="9" width="15" style="44" bestFit="1" customWidth="1"/>
    <col min="10" max="10" width="11.83203125" style="44" bestFit="1" customWidth="1"/>
    <col min="11" max="11" width="11.83203125" bestFit="1" customWidth="1"/>
    <col min="12" max="13" width="13.1640625" bestFit="1" customWidth="1"/>
    <col min="14" max="14" width="11.83203125" bestFit="1" customWidth="1"/>
    <col min="15" max="15" width="13.1640625" bestFit="1" customWidth="1"/>
    <col min="16" max="16" width="10.1640625" bestFit="1" customWidth="1"/>
    <col min="17" max="17" width="13.1640625" bestFit="1" customWidth="1"/>
    <col min="18" max="19" width="11.83203125" bestFit="1" customWidth="1"/>
    <col min="20" max="23" width="13.1640625" bestFit="1" customWidth="1"/>
    <col min="24" max="24" width="11.83203125" bestFit="1" customWidth="1"/>
    <col min="25" max="25" width="13.1640625" bestFit="1" customWidth="1"/>
    <col min="26" max="27" width="11.83203125" bestFit="1" customWidth="1"/>
    <col min="28" max="28" width="13.1640625" bestFit="1" customWidth="1"/>
    <col min="29" max="29" width="10.1640625" bestFit="1" customWidth="1"/>
    <col min="30" max="30" width="13.1640625" bestFit="1" customWidth="1"/>
    <col min="31" max="31" width="11.83203125" bestFit="1" customWidth="1"/>
    <col min="32" max="34" width="13.1640625" bestFit="1" customWidth="1"/>
    <col min="35" max="37" width="11.83203125" bestFit="1" customWidth="1"/>
    <col min="38" max="42" width="13.1640625" bestFit="1" customWidth="1"/>
    <col min="43" max="43" width="11.83203125" bestFit="1" customWidth="1"/>
    <col min="44" max="46" width="13.1640625" bestFit="1" customWidth="1"/>
    <col min="47" max="47" width="11.83203125" bestFit="1" customWidth="1"/>
    <col min="48" max="50" width="13.1640625" bestFit="1" customWidth="1"/>
    <col min="51" max="51" width="10.1640625" bestFit="1" customWidth="1"/>
    <col min="52" max="54" width="13.1640625" bestFit="1" customWidth="1"/>
    <col min="55" max="57" width="11.83203125" bestFit="1" customWidth="1"/>
    <col min="58" max="58" width="13.1640625" bestFit="1" customWidth="1"/>
    <col min="59" max="59" width="11.83203125" bestFit="1" customWidth="1"/>
    <col min="60" max="63" width="13.1640625" bestFit="1" customWidth="1"/>
    <col min="64" max="64" width="14.1640625" bestFit="1" customWidth="1"/>
    <col min="65" max="66" width="13.1640625" bestFit="1" customWidth="1"/>
    <col min="67" max="67" width="10.1640625" bestFit="1" customWidth="1"/>
    <col min="68" max="68" width="14.1640625" bestFit="1" customWidth="1"/>
    <col min="69" max="71" width="13.1640625" bestFit="1" customWidth="1"/>
    <col min="72" max="72" width="11.83203125" bestFit="1" customWidth="1"/>
    <col min="73" max="75" width="13.1640625" bestFit="1" customWidth="1"/>
    <col min="76" max="77" width="11.83203125" bestFit="1" customWidth="1"/>
    <col min="78" max="80" width="13.1640625" bestFit="1" customWidth="1"/>
    <col min="81" max="82" width="11.83203125" bestFit="1" customWidth="1"/>
    <col min="83" max="87" width="13.1640625" bestFit="1" customWidth="1"/>
    <col min="88" max="88" width="11.83203125" bestFit="1" customWidth="1"/>
    <col min="89" max="89" width="13.1640625" bestFit="1" customWidth="1"/>
    <col min="90" max="90" width="10.1640625" bestFit="1" customWidth="1"/>
    <col min="91" max="95" width="13.1640625" bestFit="1" customWidth="1"/>
    <col min="96" max="96" width="11.83203125" bestFit="1" customWidth="1"/>
    <col min="97" max="97" width="13.1640625" bestFit="1" customWidth="1"/>
    <col min="98" max="98" width="11.83203125" bestFit="1" customWidth="1"/>
    <col min="99" max="100" width="13.1640625" bestFit="1" customWidth="1"/>
    <col min="101" max="101" width="11.83203125" bestFit="1" customWidth="1"/>
    <col min="102" max="104" width="13.1640625" bestFit="1" customWidth="1"/>
    <col min="105" max="105" width="11.83203125" bestFit="1" customWidth="1"/>
    <col min="106" max="109" width="13.1640625" bestFit="1" customWidth="1"/>
    <col min="110" max="110" width="11.83203125" bestFit="1" customWidth="1"/>
    <col min="111" max="111" width="13.1640625" bestFit="1" customWidth="1"/>
    <col min="112" max="113" width="11.83203125" bestFit="1" customWidth="1"/>
    <col min="114" max="120" width="13.1640625" bestFit="1" customWidth="1"/>
    <col min="121" max="121" width="11.83203125" bestFit="1" customWidth="1"/>
    <col min="122" max="124" width="13.1640625" bestFit="1" customWidth="1"/>
    <col min="125" max="125" width="14.1640625" bestFit="1" customWidth="1"/>
    <col min="126" max="126" width="13.1640625" bestFit="1" customWidth="1"/>
    <col min="127" max="127" width="11.83203125" bestFit="1" customWidth="1"/>
    <col min="128" max="131" width="13.1640625" bestFit="1" customWidth="1"/>
    <col min="132" max="132" width="11.83203125" bestFit="1" customWidth="1"/>
    <col min="133" max="134" width="13.1640625" bestFit="1" customWidth="1"/>
    <col min="135" max="136" width="11.83203125" bestFit="1" customWidth="1"/>
    <col min="137" max="139" width="13.1640625" bestFit="1" customWidth="1"/>
    <col min="140" max="140" width="14.1640625" bestFit="1" customWidth="1"/>
    <col min="141" max="141" width="13.1640625" bestFit="1" customWidth="1"/>
    <col min="142" max="143" width="11.83203125" bestFit="1" customWidth="1"/>
    <col min="144" max="148" width="13.1640625" bestFit="1" customWidth="1"/>
    <col min="149" max="149" width="11.83203125" bestFit="1" customWidth="1"/>
    <col min="150" max="151" width="13.1640625" bestFit="1" customWidth="1"/>
    <col min="152" max="152" width="11.83203125" bestFit="1" customWidth="1"/>
    <col min="153" max="155" width="13.1640625" bestFit="1" customWidth="1"/>
    <col min="156" max="156" width="11.83203125" bestFit="1" customWidth="1"/>
    <col min="157" max="165" width="13.1640625" bestFit="1" customWidth="1"/>
    <col min="166" max="167" width="11.83203125" bestFit="1" customWidth="1"/>
    <col min="168" max="171" width="13.1640625" bestFit="1" customWidth="1"/>
    <col min="172" max="172" width="11.83203125" bestFit="1" customWidth="1"/>
    <col min="173" max="176" width="13.1640625" bestFit="1" customWidth="1"/>
    <col min="177" max="178" width="11.83203125" bestFit="1" customWidth="1"/>
    <col min="179" max="179" width="13.1640625" bestFit="1" customWidth="1"/>
    <col min="180" max="180" width="11.83203125" bestFit="1" customWidth="1"/>
    <col min="181" max="183" width="13.1640625" bestFit="1" customWidth="1"/>
    <col min="184" max="184" width="10.1640625" bestFit="1" customWidth="1"/>
    <col min="185" max="185" width="13.1640625" bestFit="1" customWidth="1"/>
    <col min="186" max="186" width="11.83203125" bestFit="1" customWidth="1"/>
    <col min="187" max="187" width="13.1640625" bestFit="1" customWidth="1"/>
    <col min="188" max="188" width="11.83203125" bestFit="1" customWidth="1"/>
    <col min="189" max="191" width="13.1640625" bestFit="1" customWidth="1"/>
    <col min="192" max="193" width="11.83203125" bestFit="1" customWidth="1"/>
    <col min="194" max="194" width="13.1640625" bestFit="1" customWidth="1"/>
    <col min="195" max="195" width="11.83203125" bestFit="1" customWidth="1"/>
    <col min="196" max="198" width="13.1640625" bestFit="1" customWidth="1"/>
    <col min="199" max="199" width="11.83203125" bestFit="1" customWidth="1"/>
    <col min="200" max="206" width="13.1640625" bestFit="1" customWidth="1"/>
    <col min="207" max="208" width="11.83203125" bestFit="1" customWidth="1"/>
    <col min="209" max="210" width="13.1640625" bestFit="1" customWidth="1"/>
    <col min="211" max="211" width="11.83203125" bestFit="1" customWidth="1"/>
    <col min="212" max="213" width="13.1640625" bestFit="1" customWidth="1"/>
    <col min="214" max="214" width="11.83203125" bestFit="1" customWidth="1"/>
    <col min="215" max="217" width="13.1640625" bestFit="1" customWidth="1"/>
    <col min="218" max="220" width="11.83203125" bestFit="1" customWidth="1"/>
    <col min="221" max="221" width="13.1640625" bestFit="1" customWidth="1"/>
    <col min="222" max="223" width="11.83203125" bestFit="1" customWidth="1"/>
    <col min="224" max="224" width="13.1640625" bestFit="1" customWidth="1"/>
    <col min="225" max="226" width="11.83203125" bestFit="1" customWidth="1"/>
    <col min="227" max="228" width="13.1640625" bestFit="1" customWidth="1"/>
    <col min="229" max="229" width="11.83203125" bestFit="1" customWidth="1"/>
    <col min="230" max="230" width="13.1640625" bestFit="1" customWidth="1"/>
    <col min="231" max="231" width="11.83203125" bestFit="1" customWidth="1"/>
    <col min="232" max="237" width="13.1640625" bestFit="1" customWidth="1"/>
    <col min="238" max="238" width="11.83203125" bestFit="1" customWidth="1"/>
    <col min="239" max="239" width="13.1640625" bestFit="1" customWidth="1"/>
    <col min="240" max="240" width="11.83203125" bestFit="1" customWidth="1"/>
    <col min="241" max="242" width="13.1640625" bestFit="1" customWidth="1"/>
    <col min="243" max="243" width="11.83203125" bestFit="1" customWidth="1"/>
    <col min="244" max="248" width="13.1640625" bestFit="1" customWidth="1"/>
    <col min="249" max="249" width="11.83203125" bestFit="1" customWidth="1"/>
    <col min="250" max="251" width="13.1640625" bestFit="1" customWidth="1"/>
    <col min="252" max="252" width="14.1640625" bestFit="1" customWidth="1"/>
    <col min="253" max="253" width="11.83203125" bestFit="1" customWidth="1"/>
    <col min="254" max="257" width="13.1640625" bestFit="1" customWidth="1"/>
    <col min="258" max="260" width="11.83203125" bestFit="1" customWidth="1"/>
    <col min="261" max="261" width="13.1640625" bestFit="1" customWidth="1"/>
    <col min="262" max="263" width="11.83203125" bestFit="1" customWidth="1"/>
    <col min="264" max="265" width="13.1640625" bestFit="1" customWidth="1"/>
    <col min="266" max="268" width="11.83203125" bestFit="1" customWidth="1"/>
    <col min="269" max="272" width="13.1640625" bestFit="1" customWidth="1"/>
    <col min="273" max="273" width="11.83203125" bestFit="1" customWidth="1"/>
    <col min="274" max="274" width="13.1640625" bestFit="1" customWidth="1"/>
    <col min="275" max="276" width="11.83203125" bestFit="1" customWidth="1"/>
    <col min="277" max="279" width="13.1640625" bestFit="1" customWidth="1"/>
    <col min="280" max="280" width="11.83203125" bestFit="1" customWidth="1"/>
    <col min="281" max="281" width="13.1640625" bestFit="1" customWidth="1"/>
    <col min="282" max="282" width="11.83203125" bestFit="1" customWidth="1"/>
    <col min="283" max="283" width="13.1640625" bestFit="1" customWidth="1"/>
    <col min="284" max="286" width="11.83203125" bestFit="1" customWidth="1"/>
    <col min="287" max="291" width="13.1640625" bestFit="1" customWidth="1"/>
    <col min="292" max="292" width="11.83203125" bestFit="1" customWidth="1"/>
    <col min="293" max="295" width="13.1640625" bestFit="1" customWidth="1"/>
    <col min="296" max="296" width="11.83203125" bestFit="1" customWidth="1"/>
    <col min="297" max="300" width="13.1640625" bestFit="1" customWidth="1"/>
    <col min="301" max="301" width="11.83203125" bestFit="1" customWidth="1"/>
    <col min="302" max="303" width="13.1640625" bestFit="1" customWidth="1"/>
    <col min="304" max="306" width="11.83203125" bestFit="1" customWidth="1"/>
    <col min="307" max="307" width="13.1640625" bestFit="1" customWidth="1"/>
    <col min="308" max="308" width="11.83203125" bestFit="1" customWidth="1"/>
    <col min="309" max="312" width="13.1640625" bestFit="1" customWidth="1"/>
    <col min="313" max="313" width="14.1640625" bestFit="1" customWidth="1"/>
    <col min="314" max="320" width="13.1640625" bestFit="1" customWidth="1"/>
    <col min="321" max="321" width="11.83203125" bestFit="1" customWidth="1"/>
    <col min="322" max="324" width="13.1640625" bestFit="1" customWidth="1"/>
    <col min="325" max="326" width="11.83203125" bestFit="1" customWidth="1"/>
    <col min="327" max="329" width="13.1640625" bestFit="1" customWidth="1"/>
    <col min="330" max="331" width="11.83203125" bestFit="1" customWidth="1"/>
    <col min="332" max="336" width="13.1640625" bestFit="1" customWidth="1"/>
    <col min="337" max="337" width="11.83203125" bestFit="1" customWidth="1"/>
    <col min="338" max="339" width="13.1640625" bestFit="1" customWidth="1"/>
    <col min="340" max="340" width="11.83203125" bestFit="1" customWidth="1"/>
    <col min="341" max="343" width="13.1640625" bestFit="1" customWidth="1"/>
    <col min="344" max="345" width="11.83203125" bestFit="1" customWidth="1"/>
    <col min="346" max="346" width="13.1640625" bestFit="1" customWidth="1"/>
    <col min="347" max="347" width="11.83203125" bestFit="1" customWidth="1"/>
    <col min="348" max="349" width="13.1640625" bestFit="1" customWidth="1"/>
    <col min="350" max="350" width="11.83203125" bestFit="1" customWidth="1"/>
    <col min="351" max="353" width="13.1640625" bestFit="1" customWidth="1"/>
    <col min="354" max="354" width="11.83203125" bestFit="1" customWidth="1"/>
    <col min="355" max="355" width="13.1640625" bestFit="1" customWidth="1"/>
    <col min="356" max="356" width="14.1640625" bestFit="1" customWidth="1"/>
    <col min="357" max="357" width="11.83203125" bestFit="1" customWidth="1"/>
    <col min="358" max="358" width="13.1640625" bestFit="1" customWidth="1"/>
    <col min="359" max="359" width="11.83203125" bestFit="1" customWidth="1"/>
    <col min="360" max="360" width="13.1640625" bestFit="1" customWidth="1"/>
    <col min="361" max="362" width="11.83203125" bestFit="1" customWidth="1"/>
    <col min="363" max="369" width="13.1640625" bestFit="1" customWidth="1"/>
    <col min="370" max="370" width="11.83203125" bestFit="1" customWidth="1"/>
    <col min="371" max="372" width="13.1640625" bestFit="1" customWidth="1"/>
    <col min="373" max="373" width="14.1640625" bestFit="1" customWidth="1"/>
    <col min="374" max="375" width="13.1640625" bestFit="1" customWidth="1"/>
    <col min="376" max="376" width="11.83203125" bestFit="1" customWidth="1"/>
    <col min="377" max="380" width="13.1640625" bestFit="1" customWidth="1"/>
    <col min="381" max="381" width="11.83203125" bestFit="1" customWidth="1"/>
    <col min="382" max="383" width="13.1640625" bestFit="1" customWidth="1"/>
    <col min="384" max="385" width="11.83203125" bestFit="1" customWidth="1"/>
    <col min="386" max="388" width="13.1640625" bestFit="1" customWidth="1"/>
    <col min="389" max="389" width="14.1640625" bestFit="1" customWidth="1"/>
    <col min="390" max="390" width="13.1640625" bestFit="1" customWidth="1"/>
    <col min="391" max="392" width="11.83203125" bestFit="1" customWidth="1"/>
    <col min="393" max="393" width="14.1640625" bestFit="1" customWidth="1"/>
    <col min="394" max="394" width="11.83203125" bestFit="1" customWidth="1"/>
    <col min="395" max="397" width="13.1640625" bestFit="1" customWidth="1"/>
    <col min="398" max="398" width="11.83203125" bestFit="1" customWidth="1"/>
    <col min="399" max="399" width="13.1640625" bestFit="1" customWidth="1"/>
    <col min="400" max="401" width="11.83203125" bestFit="1" customWidth="1"/>
    <col min="402" max="402" width="13.1640625" bestFit="1" customWidth="1"/>
    <col min="403" max="403" width="11.83203125" bestFit="1" customWidth="1"/>
    <col min="404" max="404" width="13.1640625" bestFit="1" customWidth="1"/>
    <col min="405" max="405" width="11.83203125" bestFit="1" customWidth="1"/>
    <col min="406" max="411" width="13.1640625" bestFit="1" customWidth="1"/>
    <col min="412" max="412" width="11.83203125" bestFit="1" customWidth="1"/>
    <col min="413" max="414" width="13.1640625" bestFit="1" customWidth="1"/>
    <col min="415" max="416" width="11.83203125" bestFit="1" customWidth="1"/>
    <col min="417" max="420" width="13.1640625" bestFit="1" customWidth="1"/>
    <col min="421" max="423" width="11.83203125" bestFit="1" customWidth="1"/>
    <col min="424" max="425" width="13.1640625" bestFit="1" customWidth="1"/>
    <col min="426" max="427" width="11.83203125" bestFit="1" customWidth="1"/>
    <col min="428" max="428" width="13.1640625" bestFit="1" customWidth="1"/>
    <col min="429" max="429" width="11.83203125" bestFit="1" customWidth="1"/>
    <col min="430" max="433" width="13.1640625" bestFit="1" customWidth="1"/>
    <col min="434" max="435" width="11.83203125" bestFit="1" customWidth="1"/>
    <col min="436" max="436" width="13.1640625" bestFit="1" customWidth="1"/>
    <col min="437" max="437" width="11.83203125" bestFit="1" customWidth="1"/>
    <col min="438" max="438" width="13.1640625" bestFit="1" customWidth="1"/>
    <col min="439" max="439" width="11.83203125" bestFit="1" customWidth="1"/>
    <col min="440" max="440" width="13.1640625" bestFit="1" customWidth="1"/>
    <col min="441" max="442" width="11.83203125" bestFit="1" customWidth="1"/>
    <col min="443" max="443" width="13.1640625" bestFit="1" customWidth="1"/>
    <col min="444" max="444" width="11.83203125" bestFit="1" customWidth="1"/>
    <col min="445" max="445" width="13.1640625" bestFit="1" customWidth="1"/>
    <col min="446" max="446" width="11.83203125" bestFit="1" customWidth="1"/>
    <col min="447" max="447" width="13.1640625" bestFit="1" customWidth="1"/>
    <col min="448" max="448" width="11.83203125" bestFit="1" customWidth="1"/>
    <col min="449" max="455" width="13.1640625" bestFit="1" customWidth="1"/>
    <col min="456" max="456" width="11.83203125" bestFit="1" customWidth="1"/>
    <col min="457" max="459" width="13.1640625" bestFit="1" customWidth="1"/>
    <col min="460" max="460" width="11.83203125" bestFit="1" customWidth="1"/>
    <col min="461" max="462" width="13.1640625" bestFit="1" customWidth="1"/>
    <col min="463" max="463" width="11.83203125" bestFit="1" customWidth="1"/>
    <col min="464" max="466" width="13.1640625" bestFit="1" customWidth="1"/>
    <col min="467" max="469" width="11.83203125" bestFit="1" customWidth="1"/>
    <col min="470" max="470" width="13.1640625" bestFit="1" customWidth="1"/>
    <col min="471" max="472" width="11.83203125" bestFit="1" customWidth="1"/>
    <col min="473" max="473" width="13.1640625" bestFit="1" customWidth="1"/>
    <col min="474" max="475" width="11.83203125" bestFit="1" customWidth="1"/>
    <col min="476" max="477" width="13.1640625" bestFit="1" customWidth="1"/>
    <col min="478" max="478" width="11.83203125" bestFit="1" customWidth="1"/>
    <col min="479" max="479" width="13.1640625" bestFit="1" customWidth="1"/>
    <col min="480" max="480" width="11.83203125" bestFit="1" customWidth="1"/>
    <col min="481" max="486" width="13.1640625" bestFit="1" customWidth="1"/>
    <col min="487" max="487" width="11.83203125" bestFit="1" customWidth="1"/>
    <col min="488" max="488" width="13.1640625" bestFit="1" customWidth="1"/>
    <col min="489" max="489" width="11.83203125" bestFit="1" customWidth="1"/>
    <col min="490" max="491" width="13.1640625" bestFit="1" customWidth="1"/>
    <col min="492" max="492" width="11.83203125" bestFit="1" customWidth="1"/>
    <col min="493" max="497" width="13.1640625" bestFit="1" customWidth="1"/>
    <col min="498" max="498" width="11.83203125" bestFit="1" customWidth="1"/>
    <col min="499" max="499" width="13.1640625" bestFit="1" customWidth="1"/>
    <col min="500" max="500" width="13.83203125" bestFit="1" customWidth="1"/>
    <col min="501" max="501" width="14.83203125" bestFit="1" customWidth="1"/>
    <col min="502" max="502" width="14.1640625" bestFit="1" customWidth="1"/>
    <col min="503" max="504" width="13.83203125" bestFit="1" customWidth="1"/>
    <col min="505" max="505" width="13.1640625" bestFit="1" customWidth="1"/>
    <col min="506" max="506" width="13.83203125" bestFit="1" customWidth="1"/>
    <col min="507" max="507" width="13.1640625" bestFit="1" customWidth="1"/>
    <col min="508" max="509" width="12.33203125" bestFit="1" customWidth="1"/>
    <col min="510" max="510" width="13.83203125" bestFit="1" customWidth="1"/>
    <col min="511" max="511" width="13.1640625" bestFit="1" customWidth="1"/>
    <col min="512" max="512" width="12.33203125" bestFit="1" customWidth="1"/>
    <col min="513" max="514" width="13.83203125" bestFit="1" customWidth="1"/>
    <col min="515" max="515" width="13.1640625" bestFit="1" customWidth="1"/>
    <col min="516" max="517" width="12.33203125" bestFit="1" customWidth="1"/>
    <col min="518" max="521" width="13.83203125" bestFit="1" customWidth="1"/>
    <col min="522" max="522" width="12.33203125" bestFit="1" customWidth="1"/>
    <col min="523" max="523" width="13.83203125" bestFit="1" customWidth="1"/>
    <col min="524" max="525" width="12.33203125" bestFit="1" customWidth="1"/>
    <col min="526" max="528" width="13.83203125" bestFit="1" customWidth="1"/>
    <col min="529" max="530" width="12.33203125" bestFit="1" customWidth="1"/>
    <col min="531" max="531" width="13.1640625" bestFit="1" customWidth="1"/>
    <col min="532" max="532" width="13.83203125" bestFit="1" customWidth="1"/>
    <col min="533" max="535" width="12.33203125" bestFit="1" customWidth="1"/>
    <col min="536" max="538" width="13.83203125" bestFit="1" customWidth="1"/>
    <col min="539" max="539" width="12.33203125" bestFit="1" customWidth="1"/>
    <col min="540" max="540" width="13.83203125" bestFit="1" customWidth="1"/>
    <col min="541" max="541" width="12.33203125" bestFit="1" customWidth="1"/>
    <col min="542" max="544" width="13.83203125" bestFit="1" customWidth="1"/>
    <col min="545" max="545" width="12.33203125" bestFit="1" customWidth="1"/>
    <col min="546" max="549" width="13.83203125" bestFit="1" customWidth="1"/>
    <col min="550" max="550" width="13.1640625" bestFit="1" customWidth="1"/>
    <col min="551" max="552" width="13.83203125" bestFit="1" customWidth="1"/>
    <col min="553" max="555" width="12.33203125" bestFit="1" customWidth="1"/>
    <col min="556" max="556" width="13.83203125" bestFit="1" customWidth="1"/>
    <col min="557" max="557" width="12.33203125" bestFit="1" customWidth="1"/>
    <col min="558" max="562" width="13.83203125" bestFit="1" customWidth="1"/>
    <col min="563" max="563" width="12.33203125" bestFit="1" customWidth="1"/>
    <col min="564" max="565" width="13.83203125" bestFit="1" customWidth="1"/>
    <col min="566" max="566" width="13.1640625" bestFit="1" customWidth="1"/>
    <col min="567" max="567" width="13.83203125" bestFit="1" customWidth="1"/>
    <col min="568" max="568" width="12.33203125" bestFit="1" customWidth="1"/>
    <col min="569" max="569" width="13.1640625" bestFit="1" customWidth="1"/>
    <col min="570" max="570" width="12.33203125" bestFit="1" customWidth="1"/>
    <col min="571" max="572" width="13.83203125" bestFit="1" customWidth="1"/>
    <col min="573" max="575" width="12.33203125" bestFit="1" customWidth="1"/>
    <col min="576" max="578" width="13.83203125" bestFit="1" customWidth="1"/>
    <col min="579" max="580" width="12.33203125" bestFit="1" customWidth="1"/>
    <col min="581" max="585" width="13.83203125" bestFit="1" customWidth="1"/>
    <col min="586" max="586" width="12.33203125" bestFit="1" customWidth="1"/>
    <col min="587" max="588" width="13.83203125" bestFit="1" customWidth="1"/>
    <col min="589" max="590" width="13.1640625" bestFit="1" customWidth="1"/>
    <col min="591" max="591" width="13.83203125" bestFit="1" customWidth="1"/>
    <col min="592" max="592" width="12.33203125" bestFit="1" customWidth="1"/>
    <col min="593" max="593" width="13.1640625" bestFit="1" customWidth="1"/>
    <col min="594" max="594" width="12.33203125" bestFit="1" customWidth="1"/>
    <col min="595" max="595" width="13.83203125" bestFit="1" customWidth="1"/>
    <col min="596" max="596" width="12.33203125" bestFit="1" customWidth="1"/>
    <col min="597" max="598" width="13.83203125" bestFit="1" customWidth="1"/>
    <col min="599" max="599" width="12.33203125" bestFit="1" customWidth="1"/>
    <col min="600" max="602" width="13.83203125" bestFit="1" customWidth="1"/>
    <col min="603" max="603" width="12.33203125" bestFit="1" customWidth="1"/>
    <col min="604" max="605" width="13.83203125" bestFit="1" customWidth="1"/>
    <col min="606" max="606" width="13.1640625" bestFit="1" customWidth="1"/>
    <col min="607" max="607" width="13.83203125" bestFit="1" customWidth="1"/>
    <col min="608" max="608" width="12.33203125" bestFit="1" customWidth="1"/>
    <col min="609" max="609" width="13.1640625" bestFit="1" customWidth="1"/>
    <col min="610" max="611" width="12.33203125" bestFit="1" customWidth="1"/>
    <col min="612" max="617" width="13.83203125" bestFit="1" customWidth="1"/>
    <col min="618" max="618" width="13.1640625" bestFit="1" customWidth="1"/>
    <col min="619" max="619" width="12.33203125" bestFit="1" customWidth="1"/>
    <col min="620" max="622" width="13.83203125" bestFit="1" customWidth="1"/>
    <col min="623" max="623" width="13.1640625" bestFit="1" customWidth="1"/>
    <col min="624" max="624" width="13.83203125" bestFit="1" customWidth="1"/>
    <col min="625" max="625" width="12.33203125" bestFit="1" customWidth="1"/>
    <col min="626" max="628" width="13.83203125" bestFit="1" customWidth="1"/>
    <col min="629" max="630" width="12.33203125" bestFit="1" customWidth="1"/>
    <col min="631" max="631" width="13.83203125" bestFit="1" customWidth="1"/>
    <col min="632" max="632" width="13.1640625" bestFit="1" customWidth="1"/>
    <col min="633" max="634" width="12.33203125" bestFit="1" customWidth="1"/>
    <col min="635" max="636" width="13.83203125" bestFit="1" customWidth="1"/>
    <col min="637" max="637" width="12.33203125" bestFit="1" customWidth="1"/>
    <col min="638" max="639" width="13.83203125" bestFit="1" customWidth="1"/>
    <col min="640" max="641" width="12.33203125" bestFit="1" customWidth="1"/>
    <col min="642" max="642" width="13.83203125" bestFit="1" customWidth="1"/>
    <col min="643" max="643" width="13.1640625" bestFit="1" customWidth="1"/>
    <col min="644" max="646" width="13.83203125" bestFit="1" customWidth="1"/>
    <col min="647" max="647" width="12.33203125" bestFit="1" customWidth="1"/>
    <col min="648" max="648" width="13.83203125" bestFit="1" customWidth="1"/>
    <col min="649" max="649" width="13.1640625" bestFit="1" customWidth="1"/>
    <col min="650" max="650" width="12.33203125" bestFit="1" customWidth="1"/>
    <col min="651" max="651" width="13.83203125" bestFit="1" customWidth="1"/>
    <col min="652" max="652" width="13.1640625" bestFit="1" customWidth="1"/>
    <col min="653" max="654" width="12.33203125" bestFit="1" customWidth="1"/>
    <col min="655" max="655" width="13.83203125" bestFit="1" customWidth="1"/>
    <col min="656" max="656" width="13.1640625" bestFit="1" customWidth="1"/>
    <col min="657" max="660" width="13.83203125" bestFit="1" customWidth="1"/>
    <col min="661" max="661" width="13.1640625" bestFit="1" customWidth="1"/>
    <col min="662" max="663" width="13.83203125" bestFit="1" customWidth="1"/>
    <col min="664" max="665" width="12.33203125" bestFit="1" customWidth="1"/>
    <col min="666" max="666" width="13.1640625" bestFit="1" customWidth="1"/>
    <col min="667" max="667" width="13.83203125" bestFit="1" customWidth="1"/>
    <col min="668" max="668" width="12.33203125" bestFit="1" customWidth="1"/>
    <col min="669" max="669" width="13.83203125" bestFit="1" customWidth="1"/>
    <col min="670" max="670" width="12.33203125" bestFit="1" customWidth="1"/>
    <col min="671" max="672" width="13.1640625" bestFit="1" customWidth="1"/>
    <col min="673" max="674" width="13.83203125" bestFit="1" customWidth="1"/>
    <col min="675" max="676" width="12.33203125" bestFit="1" customWidth="1"/>
    <col min="677" max="677" width="13.83203125" bestFit="1" customWidth="1"/>
    <col min="678" max="678" width="12.33203125" bestFit="1" customWidth="1"/>
    <col min="679" max="682" width="13.83203125" bestFit="1" customWidth="1"/>
    <col min="683" max="683" width="13.1640625" bestFit="1" customWidth="1"/>
    <col min="684" max="684" width="12.33203125" bestFit="1" customWidth="1"/>
    <col min="685" max="685" width="13.83203125" bestFit="1" customWidth="1"/>
    <col min="686" max="686" width="12.33203125" bestFit="1" customWidth="1"/>
    <col min="687" max="687" width="13.83203125" bestFit="1" customWidth="1"/>
    <col min="688" max="688" width="13.1640625" bestFit="1" customWidth="1"/>
    <col min="689" max="689" width="13.83203125" bestFit="1" customWidth="1"/>
    <col min="690" max="691" width="12.33203125" bestFit="1" customWidth="1"/>
    <col min="692" max="692" width="13.83203125" bestFit="1" customWidth="1"/>
    <col min="693" max="693" width="12.33203125" bestFit="1" customWidth="1"/>
    <col min="694" max="694" width="13.83203125" bestFit="1" customWidth="1"/>
    <col min="695" max="695" width="13.1640625" bestFit="1" customWidth="1"/>
    <col min="696" max="696" width="13.83203125" bestFit="1" customWidth="1"/>
    <col min="697" max="697" width="12.33203125" bestFit="1" customWidth="1"/>
    <col min="698" max="704" width="13.83203125" bestFit="1" customWidth="1"/>
    <col min="705" max="705" width="12.33203125" bestFit="1" customWidth="1"/>
    <col min="706" max="708" width="13.83203125" bestFit="1" customWidth="1"/>
    <col min="709" max="709" width="12.33203125" bestFit="1" customWidth="1"/>
    <col min="710" max="710" width="13.83203125" bestFit="1" customWidth="1"/>
    <col min="711" max="711" width="13.1640625" bestFit="1" customWidth="1"/>
    <col min="712" max="712" width="12.33203125" bestFit="1" customWidth="1"/>
    <col min="713" max="714" width="13.83203125" bestFit="1" customWidth="1"/>
    <col min="715" max="718" width="12.33203125" bestFit="1" customWidth="1"/>
    <col min="719" max="719" width="13.83203125" bestFit="1" customWidth="1"/>
    <col min="720" max="721" width="12.33203125" bestFit="1" customWidth="1"/>
    <col min="722" max="722" width="13.83203125" bestFit="1" customWidth="1"/>
    <col min="723" max="724" width="12.33203125" bestFit="1" customWidth="1"/>
    <col min="725" max="726" width="13.83203125" bestFit="1" customWidth="1"/>
    <col min="727" max="727" width="12.33203125" bestFit="1" customWidth="1"/>
    <col min="728" max="728" width="13.83203125" bestFit="1" customWidth="1"/>
    <col min="729" max="730" width="12.33203125" bestFit="1" customWidth="1"/>
    <col min="731" max="735" width="13.83203125" bestFit="1" customWidth="1"/>
    <col min="736" max="736" width="12.33203125" bestFit="1" customWidth="1"/>
    <col min="737" max="737" width="13.83203125" bestFit="1" customWidth="1"/>
    <col min="738" max="738" width="12.33203125" bestFit="1" customWidth="1"/>
    <col min="739" max="740" width="13.83203125" bestFit="1" customWidth="1"/>
    <col min="741" max="741" width="12.33203125" bestFit="1" customWidth="1"/>
    <col min="742" max="746" width="13.83203125" bestFit="1" customWidth="1"/>
    <col min="747" max="747" width="12.33203125" bestFit="1" customWidth="1"/>
    <col min="748" max="748" width="13.83203125" bestFit="1" customWidth="1"/>
    <col min="749" max="749" width="16.1640625" bestFit="1" customWidth="1"/>
    <col min="750" max="750" width="16.83203125" bestFit="1" customWidth="1"/>
    <col min="751" max="751" width="16.1640625" bestFit="1" customWidth="1"/>
  </cols>
  <sheetData>
    <row r="1" spans="1:10">
      <c r="A1" s="83" t="s">
        <v>152</v>
      </c>
      <c r="B1" t="s">
        <v>151</v>
      </c>
      <c r="F1" s="110" t="s">
        <v>152</v>
      </c>
      <c r="G1" s="44" t="s">
        <v>151</v>
      </c>
    </row>
    <row r="2" spans="1:10">
      <c r="A2" s="83" t="s">
        <v>153</v>
      </c>
      <c r="B2" t="s">
        <v>109</v>
      </c>
      <c r="D2" s="113">
        <f>GETPIVOTDATA("Sum of Solde",$A$4)+GETPIVOTDATA("Sum of Solde",$F$4)</f>
        <v>0</v>
      </c>
      <c r="F2" s="110" t="s">
        <v>153</v>
      </c>
      <c r="G2" s="44" t="s">
        <v>109</v>
      </c>
    </row>
    <row r="3" spans="1:10">
      <c r="E3" s="44"/>
      <c r="F3" s="44"/>
      <c r="G3" s="44"/>
      <c r="J3"/>
    </row>
    <row r="4" spans="1:10">
      <c r="A4" s="83" t="s">
        <v>107</v>
      </c>
      <c r="B4" s="44" t="s">
        <v>147</v>
      </c>
      <c r="C4" s="44" t="s">
        <v>121</v>
      </c>
      <c r="D4" s="44" t="s">
        <v>149</v>
      </c>
      <c r="E4" s="44"/>
      <c r="F4" s="110" t="s">
        <v>107</v>
      </c>
      <c r="G4" s="44" t="s">
        <v>147</v>
      </c>
      <c r="H4" s="44" t="s">
        <v>121</v>
      </c>
      <c r="I4" s="44" t="s">
        <v>149</v>
      </c>
      <c r="J4"/>
    </row>
    <row r="5" spans="1:10">
      <c r="A5" s="84" t="s">
        <v>89</v>
      </c>
      <c r="B5" s="44">
        <v>4770969.0840000007</v>
      </c>
      <c r="C5" s="44">
        <v>4770969.0840000007</v>
      </c>
      <c r="D5" s="44">
        <v>0</v>
      </c>
      <c r="E5" s="44"/>
      <c r="F5" s="111" t="s">
        <v>81</v>
      </c>
      <c r="G5" s="44">
        <v>20844280.546</v>
      </c>
      <c r="H5" s="44">
        <v>10281427.515999999</v>
      </c>
      <c r="I5" s="44">
        <v>10562853.030000001</v>
      </c>
      <c r="J5"/>
    </row>
    <row r="6" spans="1:10">
      <c r="A6" s="84" t="s">
        <v>90</v>
      </c>
      <c r="B6" s="44">
        <v>1482334.9920000001</v>
      </c>
      <c r="C6" s="44">
        <v>1482334.9920000001</v>
      </c>
      <c r="D6" s="44">
        <v>0</v>
      </c>
      <c r="E6" s="44"/>
      <c r="F6" s="111" t="s">
        <v>98</v>
      </c>
      <c r="G6" s="44"/>
      <c r="H6" s="44">
        <v>13745707</v>
      </c>
      <c r="I6" s="44">
        <v>-13745707</v>
      </c>
      <c r="J6"/>
    </row>
    <row r="7" spans="1:10">
      <c r="A7" s="84" t="s">
        <v>91</v>
      </c>
      <c r="B7" s="44">
        <v>4309549.4400000004</v>
      </c>
      <c r="C7" s="44">
        <v>4309549.4400000004</v>
      </c>
      <c r="D7" s="44">
        <v>0</v>
      </c>
      <c r="E7" s="44"/>
      <c r="F7" s="111" t="s">
        <v>157</v>
      </c>
      <c r="G7" s="44">
        <v>991135</v>
      </c>
      <c r="I7" s="44">
        <v>991135</v>
      </c>
      <c r="J7"/>
    </row>
    <row r="8" spans="1:10">
      <c r="A8" s="84" t="s">
        <v>67</v>
      </c>
      <c r="B8" s="44">
        <v>11498776</v>
      </c>
      <c r="C8" s="44">
        <v>10281427.030000001</v>
      </c>
      <c r="D8" s="44">
        <v>1217348.9700000007</v>
      </c>
      <c r="E8" s="44"/>
      <c r="F8" s="111" t="s">
        <v>154</v>
      </c>
      <c r="G8" s="44">
        <v>778137</v>
      </c>
      <c r="I8" s="44">
        <v>778137</v>
      </c>
      <c r="J8"/>
    </row>
    <row r="9" spans="1:10">
      <c r="A9" s="84" t="s">
        <v>146</v>
      </c>
      <c r="B9" s="44">
        <v>281426</v>
      </c>
      <c r="C9" s="44">
        <v>281426</v>
      </c>
      <c r="D9" s="44">
        <v>0</v>
      </c>
      <c r="E9" s="44"/>
      <c r="F9" s="111" t="s">
        <v>155</v>
      </c>
      <c r="G9" s="44">
        <v>795212</v>
      </c>
      <c r="I9" s="44">
        <v>795212</v>
      </c>
      <c r="J9"/>
    </row>
    <row r="10" spans="1:10">
      <c r="A10" s="84" t="s">
        <v>97</v>
      </c>
      <c r="B10" s="44">
        <v>15745707</v>
      </c>
      <c r="D10" s="44">
        <v>15745707</v>
      </c>
      <c r="E10" s="44"/>
      <c r="F10" s="111" t="s">
        <v>158</v>
      </c>
      <c r="G10" s="44"/>
      <c r="H10" s="44">
        <v>1222608</v>
      </c>
      <c r="I10" s="44">
        <v>-1222608</v>
      </c>
      <c r="J10"/>
    </row>
    <row r="11" spans="1:10">
      <c r="A11" s="84" t="s">
        <v>68</v>
      </c>
      <c r="C11" s="44">
        <v>21833695</v>
      </c>
      <c r="D11" s="44">
        <v>-21833695</v>
      </c>
      <c r="E11" s="44"/>
      <c r="F11" s="111" t="s">
        <v>159</v>
      </c>
      <c r="G11" s="44">
        <v>1223814</v>
      </c>
      <c r="I11" s="44">
        <v>1223814</v>
      </c>
      <c r="J11"/>
    </row>
    <row r="12" spans="1:10">
      <c r="A12" s="84" t="s">
        <v>191</v>
      </c>
      <c r="B12" s="44">
        <v>7677608</v>
      </c>
      <c r="C12" s="44">
        <v>4069724</v>
      </c>
      <c r="D12" s="44">
        <v>3607884</v>
      </c>
      <c r="E12" s="44"/>
      <c r="F12" s="111" t="s">
        <v>108</v>
      </c>
      <c r="G12" s="44">
        <v>24632578.546</v>
      </c>
      <c r="H12" s="44">
        <v>25249742.515999999</v>
      </c>
      <c r="I12" s="44">
        <v>-617163.96999999881</v>
      </c>
      <c r="J12"/>
    </row>
    <row r="13" spans="1:10">
      <c r="A13" s="84" t="s">
        <v>156</v>
      </c>
      <c r="C13" s="112">
        <v>50000000</v>
      </c>
      <c r="D13" s="44">
        <v>-50000000</v>
      </c>
      <c r="E13" s="44"/>
      <c r="G13" s="44"/>
      <c r="J13"/>
    </row>
    <row r="14" spans="1:10">
      <c r="A14" s="84" t="s">
        <v>189</v>
      </c>
      <c r="B14" s="44">
        <v>45000000</v>
      </c>
      <c r="D14" s="44">
        <v>45000000</v>
      </c>
      <c r="E14" s="44"/>
      <c r="F14" s="44"/>
      <c r="G14" s="44"/>
      <c r="J14"/>
    </row>
    <row r="15" spans="1:10">
      <c r="A15" s="84" t="s">
        <v>190</v>
      </c>
      <c r="B15" s="44">
        <v>9045000</v>
      </c>
      <c r="D15" s="44">
        <v>9045000</v>
      </c>
      <c r="H15"/>
      <c r="J15"/>
    </row>
    <row r="16" spans="1:10">
      <c r="A16" s="84" t="s">
        <v>192</v>
      </c>
      <c r="C16" s="44">
        <v>10500000</v>
      </c>
      <c r="D16" s="44">
        <v>-10500000</v>
      </c>
      <c r="H16"/>
      <c r="J16"/>
    </row>
    <row r="17" spans="1:10">
      <c r="A17" s="84" t="s">
        <v>185</v>
      </c>
      <c r="B17" s="44">
        <v>13350000</v>
      </c>
      <c r="C17" s="44">
        <v>5015081</v>
      </c>
      <c r="D17" s="44">
        <v>8334919</v>
      </c>
      <c r="H17"/>
      <c r="J17"/>
    </row>
    <row r="18" spans="1:10">
      <c r="A18" s="84" t="s">
        <v>108</v>
      </c>
      <c r="B18" s="44">
        <v>113161370.516</v>
      </c>
      <c r="C18" s="44">
        <v>112544206.546</v>
      </c>
      <c r="D18" s="44">
        <v>617163.96999999881</v>
      </c>
      <c r="F18" s="1"/>
      <c r="G18" s="158"/>
    </row>
    <row r="19" spans="1:10">
      <c r="B19"/>
      <c r="C19"/>
      <c r="D19"/>
      <c r="F19" s="1"/>
      <c r="G19" s="158"/>
    </row>
    <row r="20" spans="1:10">
      <c r="B20"/>
      <c r="C20"/>
      <c r="D20"/>
      <c r="F20" s="1"/>
      <c r="G20" s="158"/>
    </row>
    <row r="21" spans="1:10">
      <c r="B21"/>
      <c r="C21"/>
      <c r="D21"/>
      <c r="F21" s="1"/>
      <c r="G21" s="159"/>
    </row>
    <row r="22" spans="1:10">
      <c r="B22"/>
      <c r="C22"/>
      <c r="D22"/>
      <c r="F22" s="1"/>
      <c r="G22" s="159"/>
    </row>
    <row r="23" spans="1:10">
      <c r="B23"/>
      <c r="C23"/>
      <c r="D23"/>
      <c r="F23" s="1"/>
      <c r="G23" s="158"/>
    </row>
    <row r="24" spans="1:10">
      <c r="B24"/>
      <c r="C24"/>
      <c r="D24"/>
    </row>
    <row r="25" spans="1:10">
      <c r="B25"/>
      <c r="C25"/>
      <c r="D25"/>
    </row>
    <row r="26" spans="1:10">
      <c r="B26"/>
      <c r="C26"/>
      <c r="D26"/>
    </row>
    <row r="27" spans="1:10">
      <c r="B27"/>
      <c r="C27"/>
      <c r="D27"/>
    </row>
    <row r="28" spans="1:10">
      <c r="B28"/>
    </row>
    <row r="29" spans="1:10">
      <c r="B29"/>
    </row>
    <row r="30" spans="1:10">
      <c r="B30"/>
    </row>
    <row r="31" spans="1:10">
      <c r="B31"/>
    </row>
    <row r="32" spans="1:10">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E4393-2B6F-42EC-8F14-981D88249059}">
  <sheetPr codeName="Sheet221"/>
  <dimension ref="A1:S26"/>
  <sheetViews>
    <sheetView topLeftCell="D1" zoomScale="70" zoomScaleNormal="70" workbookViewId="0">
      <selection activeCell="F8" sqref="F8:R27"/>
    </sheetView>
  </sheetViews>
  <sheetFormatPr baseColWidth="10" defaultColWidth="8.83203125" defaultRowHeight="15"/>
  <cols>
    <col min="1" max="1" width="2.1640625" style="115" customWidth="1"/>
    <col min="2" max="2" width="33.1640625" style="115" customWidth="1"/>
    <col min="3" max="3" width="2.83203125" style="115" customWidth="1"/>
    <col min="4" max="4" width="2.83203125" style="114" customWidth="1"/>
    <col min="5" max="5" width="3.1640625" style="114" hidden="1" customWidth="1"/>
    <col min="6" max="6" width="49.83203125" style="118" customWidth="1"/>
    <col min="7" max="19" width="18.5" style="114" customWidth="1"/>
    <col min="20" max="16384" width="8.83203125" style="114"/>
  </cols>
  <sheetData>
    <row r="1" spans="2:19">
      <c r="G1" s="114">
        <v>1</v>
      </c>
      <c r="H1" s="114">
        <v>2</v>
      </c>
      <c r="I1" s="114">
        <v>3</v>
      </c>
      <c r="J1" s="114">
        <v>4</v>
      </c>
      <c r="K1" s="114">
        <v>5</v>
      </c>
      <c r="L1" s="114">
        <v>6</v>
      </c>
      <c r="M1" s="114">
        <v>7</v>
      </c>
      <c r="N1" s="114">
        <v>8</v>
      </c>
      <c r="O1" s="114">
        <v>9</v>
      </c>
      <c r="P1" s="114">
        <v>10</v>
      </c>
      <c r="Q1" s="114">
        <v>11</v>
      </c>
      <c r="R1" s="114">
        <v>12</v>
      </c>
    </row>
    <row r="2" spans="2:19">
      <c r="E2" s="114">
        <f>+VLOOKUP(G2,Reference!$A$2:$B$13,2,0)</f>
        <v>1</v>
      </c>
      <c r="F2" s="130" t="s">
        <v>174</v>
      </c>
      <c r="G2" s="131" t="s">
        <v>17</v>
      </c>
      <c r="H2" s="131" t="s">
        <v>18</v>
      </c>
      <c r="I2" s="131" t="s">
        <v>19</v>
      </c>
      <c r="J2" s="131" t="s">
        <v>20</v>
      </c>
      <c r="K2" s="131" t="s">
        <v>21</v>
      </c>
      <c r="L2" s="131" t="s">
        <v>22</v>
      </c>
      <c r="M2" s="131" t="s">
        <v>23</v>
      </c>
      <c r="N2" s="131" t="s">
        <v>24</v>
      </c>
      <c r="O2" s="131" t="s">
        <v>25</v>
      </c>
      <c r="P2" s="131" t="s">
        <v>26</v>
      </c>
      <c r="Q2" s="131" t="s">
        <v>27</v>
      </c>
      <c r="R2" s="131" t="s">
        <v>28</v>
      </c>
      <c r="S2" s="131"/>
    </row>
    <row r="3" spans="2:19">
      <c r="F3" s="130" t="s">
        <v>175</v>
      </c>
      <c r="G3" s="132">
        <v>2022</v>
      </c>
      <c r="H3" s="132">
        <v>2022</v>
      </c>
      <c r="I3" s="132">
        <v>2022</v>
      </c>
      <c r="J3" s="132">
        <v>2022</v>
      </c>
      <c r="K3" s="132">
        <v>2022</v>
      </c>
      <c r="L3" s="132">
        <v>2022</v>
      </c>
      <c r="M3" s="132">
        <v>2022</v>
      </c>
      <c r="N3" s="132">
        <v>2022</v>
      </c>
      <c r="O3" s="132">
        <v>2022</v>
      </c>
      <c r="P3" s="132">
        <v>2022</v>
      </c>
      <c r="Q3" s="132">
        <v>2022</v>
      </c>
      <c r="R3" s="132">
        <v>2022</v>
      </c>
      <c r="S3" s="132"/>
    </row>
    <row r="6" spans="2:19" ht="29">
      <c r="F6" s="120" t="s">
        <v>228</v>
      </c>
      <c r="G6" s="121" t="s">
        <v>177</v>
      </c>
      <c r="H6" s="121" t="s">
        <v>177</v>
      </c>
      <c r="I6" s="121" t="s">
        <v>177</v>
      </c>
      <c r="J6" s="121" t="s">
        <v>177</v>
      </c>
      <c r="K6" s="121" t="s">
        <v>177</v>
      </c>
      <c r="L6" s="121" t="s">
        <v>177</v>
      </c>
      <c r="M6" s="121" t="s">
        <v>177</v>
      </c>
      <c r="N6" s="121" t="s">
        <v>177</v>
      </c>
      <c r="O6" s="121" t="s">
        <v>177</v>
      </c>
      <c r="P6" s="121" t="s">
        <v>177</v>
      </c>
      <c r="Q6" s="121" t="s">
        <v>177</v>
      </c>
      <c r="R6" s="121" t="s">
        <v>177</v>
      </c>
    </row>
    <row r="7" spans="2:19" ht="17" customHeight="1">
      <c r="B7" s="116" t="s">
        <v>163</v>
      </c>
      <c r="G7" s="162" t="str">
        <f>CONCATENATE(G2," ",G3)</f>
        <v>January 2022</v>
      </c>
      <c r="H7" s="162" t="str">
        <f t="shared" ref="H7:R7" si="0">CONCATENATE(H2," ",H3)</f>
        <v>February 2022</v>
      </c>
      <c r="I7" s="162" t="str">
        <f t="shared" si="0"/>
        <v>March 2022</v>
      </c>
      <c r="J7" s="162" t="str">
        <f t="shared" si="0"/>
        <v>April 2022</v>
      </c>
      <c r="K7" s="162" t="str">
        <f t="shared" si="0"/>
        <v>May 2022</v>
      </c>
      <c r="L7" s="162" t="str">
        <f t="shared" si="0"/>
        <v>June 2022</v>
      </c>
      <c r="M7" s="162" t="str">
        <f t="shared" si="0"/>
        <v>July 2022</v>
      </c>
      <c r="N7" s="162" t="str">
        <f t="shared" si="0"/>
        <v>August 2022</v>
      </c>
      <c r="O7" s="162" t="str">
        <f t="shared" si="0"/>
        <v>September 2022</v>
      </c>
      <c r="P7" s="162" t="str">
        <f t="shared" si="0"/>
        <v>October 2022</v>
      </c>
      <c r="Q7" s="162" t="str">
        <f t="shared" si="0"/>
        <v>November 2022</v>
      </c>
      <c r="R7" s="162" t="str">
        <f t="shared" si="0"/>
        <v>December 2022</v>
      </c>
    </row>
    <row r="8" spans="2:19">
      <c r="F8" s="119" t="s">
        <v>98</v>
      </c>
      <c r="G8" s="124">
        <f>-SUMIFS('Jounal entries final'!$H:$H,'Jounal entries final'!$E:$E,'Working Capital'!$F8,'Jounal entries final'!$B:$B,G$1,'Jounal entries final'!$C:$C,'Working Capital'!$G3)</f>
        <v>13745707</v>
      </c>
      <c r="H8" s="124">
        <f>-SUMIFS('Jounal entries final'!$H:$H,'Jounal entries final'!$E:$E,'Working Capital'!$F8,'Jounal entries final'!$B:$B,H$1,'Jounal entries final'!$C:$C,'Working Capital'!$G3)</f>
        <v>12726467</v>
      </c>
      <c r="I8" s="124">
        <f>-SUMIFS('Jounal entries final'!$H:$H,'Jounal entries final'!$E:$E,'Working Capital'!$F8,'Jounal entries final'!$B:$B,I$1,'Jounal entries final'!$C:$C,'Working Capital'!$G3)</f>
        <v>10796660</v>
      </c>
      <c r="J8" s="124">
        <f>-SUMIFS('Jounal entries final'!$H:$H,'Jounal entries final'!$E:$E,'Working Capital'!$F8,'Jounal entries final'!$B:$B,J$1,'Jounal entries final'!$C:$C,'Working Capital'!$G3)</f>
        <v>12478398</v>
      </c>
      <c r="K8" s="124">
        <f>-SUMIFS('Jounal entries final'!$H:$H,'Jounal entries final'!$E:$E,'Working Capital'!$F8,'Jounal entries final'!$B:$B,K$1,'Jounal entries final'!$C:$C,'Working Capital'!$G3)</f>
        <v>11877090</v>
      </c>
      <c r="L8" s="124">
        <f>-SUMIFS('Jounal entries final'!$H:$H,'Jounal entries final'!$E:$E,'Working Capital'!$F8,'Jounal entries final'!$B:$B,L$1,'Jounal entries final'!$C:$C,'Working Capital'!$G3)</f>
        <v>12577816</v>
      </c>
      <c r="M8" s="124">
        <f>-SUMIFS('Jounal entries final'!$H:$H,'Jounal entries final'!$E:$E,'Working Capital'!$F8,'Jounal entries final'!$B:$B,M$1,'Jounal entries final'!$C:$C,'Working Capital'!$G3)</f>
        <v>13117891</v>
      </c>
      <c r="N8" s="124">
        <f>-SUMIFS('Jounal entries final'!$H:$H,'Jounal entries final'!$E:$E,'Working Capital'!$F8,'Jounal entries final'!$B:$B,N$1,'Jounal entries final'!$C:$C,'Working Capital'!$G3)</f>
        <v>11066732</v>
      </c>
      <c r="O8" s="124">
        <f>-SUMIFS('Jounal entries final'!$H:$H,'Jounal entries final'!$E:$E,'Working Capital'!$F8,'Jounal entries final'!$B:$B,O$1,'Jounal entries final'!$C:$C,'Working Capital'!$G3)</f>
        <v>11487586</v>
      </c>
      <c r="P8" s="124">
        <f>-SUMIFS('Jounal entries final'!$H:$H,'Jounal entries final'!$E:$E,'Working Capital'!$F8,'Jounal entries final'!$B:$B,P$1,'Jounal entries final'!$C:$C,'Working Capital'!$G3)</f>
        <v>11353191</v>
      </c>
      <c r="Q8" s="124">
        <f>-SUMIFS('Jounal entries final'!$H:$H,'Jounal entries final'!$E:$E,'Working Capital'!$F8,'Jounal entries final'!$B:$B,Q$1,'Jounal entries final'!$C:$C,'Working Capital'!$G3)</f>
        <v>11279738</v>
      </c>
      <c r="R8" s="124">
        <f>-SUMIFS('Jounal entries final'!$H:$H,'Jounal entries final'!$E:$E,'Working Capital'!$F8,'Jounal entries final'!$B:$B,R$1,'Jounal entries final'!$C:$C,'Working Capital'!$G3)</f>
        <v>10797568</v>
      </c>
    </row>
    <row r="9" spans="2:19" ht="17" customHeight="1">
      <c r="B9" s="116" t="s">
        <v>164</v>
      </c>
      <c r="F9" s="119" t="s">
        <v>187</v>
      </c>
      <c r="G9" s="124">
        <f>SUMIFS('Jounal entries final'!$H:$H,'Jounal entries final'!$E:$E,'Working Capital'!$F9,'Jounal entries final'!$B:$B,G$1,'Jounal entries final'!$C:$C,'Working Capital'!$G$3)</f>
        <v>15745707</v>
      </c>
      <c r="H9" s="124">
        <f>SUMIFS('Jounal entries final'!$H:$H,'Jounal entries final'!$E:$E,'Working Capital'!$F9,'Jounal entries final'!$B:$B,H$1,'Jounal entries final'!$C:$C,'Working Capital'!$G$3)</f>
        <v>27871048</v>
      </c>
      <c r="I9" s="124">
        <f>SUMIFS('Jounal entries final'!$H:$H,'Jounal entries final'!$E:$E,'Working Capital'!$F9,'Jounal entries final'!$B:$B,I$1,'Jounal entries final'!$C:$C,'Working Capital'!$G$3)</f>
        <v>34858942</v>
      </c>
      <c r="J9" s="124">
        <f>SUMIFS('Jounal entries final'!$H:$H,'Jounal entries final'!$E:$E,'Working Capital'!$F9,'Jounal entries final'!$B:$B,J$1,'Jounal entries final'!$C:$C,'Working Capital'!$G$3)</f>
        <v>25616326</v>
      </c>
      <c r="K9" s="124">
        <f>SUMIFS('Jounal entries final'!$H:$H,'Jounal entries final'!$E:$E,'Working Capital'!$F9,'Jounal entries final'!$B:$B,K$1,'Jounal entries final'!$C:$C,'Working Capital'!$G$3)</f>
        <v>27415787</v>
      </c>
      <c r="L9" s="124">
        <f>SUMIFS('Jounal entries final'!$H:$H,'Jounal entries final'!$E:$E,'Working Capital'!$F9,'Jounal entries final'!$B:$B,L$1,'Jounal entries final'!$C:$C,'Working Capital'!$G$3)</f>
        <v>32249372</v>
      </c>
      <c r="M9" s="124">
        <f>SUMIFS('Jounal entries final'!$H:$H,'Jounal entries final'!$E:$E,'Working Capital'!$F9,'Jounal entries final'!$B:$B,M$1,'Jounal entries final'!$C:$C,'Working Capital'!$G$3)</f>
        <v>31469236</v>
      </c>
      <c r="N9" s="124">
        <f>SUMIFS('Jounal entries final'!$H:$H,'Jounal entries final'!$E:$E,'Working Capital'!$F9,'Jounal entries final'!$B:$B,N$1,'Jounal entries final'!$C:$C,'Working Capital'!$G$3)</f>
        <v>31920418</v>
      </c>
      <c r="O9" s="124">
        <f>SUMIFS('Jounal entries final'!$H:$H,'Jounal entries final'!$E:$E,'Working Capital'!$F9,'Jounal entries final'!$B:$B,O$1,'Jounal entries final'!$C:$C,'Working Capital'!$G$3)</f>
        <v>31815762</v>
      </c>
      <c r="P9" s="124">
        <f>SUMIFS('Jounal entries final'!$H:$H,'Jounal entries final'!$E:$E,'Working Capital'!$F9,'Jounal entries final'!$B:$B,P$1,'Jounal entries final'!$C:$C,'Working Capital'!$G$3)</f>
        <v>25850551</v>
      </c>
      <c r="Q9" s="124">
        <f>SUMIFS('Jounal entries final'!$H:$H,'Jounal entries final'!$E:$E,'Working Capital'!$F9,'Jounal entries final'!$B:$B,Q$1,'Jounal entries final'!$C:$C,'Working Capital'!$G$3)</f>
        <v>28148846</v>
      </c>
      <c r="R9" s="124">
        <f>SUMIFS('Jounal entries final'!$H:$H,'Jounal entries final'!$E:$E,'Working Capital'!$F9,'Jounal entries final'!$B:$B,R$1,'Jounal entries final'!$C:$C,'Working Capital'!$G$3)</f>
        <v>25655312</v>
      </c>
    </row>
    <row r="10" spans="2:19">
      <c r="F10" s="119"/>
      <c r="G10" s="124"/>
    </row>
    <row r="11" spans="2:19" ht="19">
      <c r="B11" s="116" t="s">
        <v>166</v>
      </c>
      <c r="F11" s="126" t="s">
        <v>160</v>
      </c>
      <c r="G11" s="196">
        <f>(G9/SUM(G8))*30</f>
        <v>34.364999195748901</v>
      </c>
      <c r="H11" s="161">
        <f>(H9/SUM(G8:H8))*60</f>
        <v>63.170591127120879</v>
      </c>
      <c r="I11" s="161">
        <f>(I9/SUM(G8:I8))*90</f>
        <v>84.180384607685866</v>
      </c>
      <c r="J11" s="161">
        <f t="shared" ref="J11:Q11" si="1">(J9/SUM(H8:J8))*90</f>
        <v>64.038102274834188</v>
      </c>
      <c r="K11" s="161">
        <f t="shared" si="1"/>
        <v>70.192604730726558</v>
      </c>
      <c r="L11" s="161">
        <f t="shared" si="1"/>
        <v>78.58607721637901</v>
      </c>
      <c r="M11" s="161">
        <f t="shared" si="1"/>
        <v>75.379835043954799</v>
      </c>
      <c r="N11" s="161">
        <f t="shared" si="1"/>
        <v>78.146001683947034</v>
      </c>
      <c r="O11" s="161">
        <f t="shared" si="1"/>
        <v>80.270290522238199</v>
      </c>
      <c r="P11" s="161">
        <f t="shared" si="1"/>
        <v>68.614582982194293</v>
      </c>
      <c r="Q11" s="161">
        <f t="shared" si="1"/>
        <v>74.248473096024483</v>
      </c>
      <c r="R11" s="161">
        <f>(R9/SUM(P8:R8))*90</f>
        <v>69.068015351372139</v>
      </c>
      <c r="S11" s="197">
        <f>+(R9/SUM(G8:R8))*365</f>
        <v>65.34453838838833</v>
      </c>
    </row>
    <row r="12" spans="2:19">
      <c r="F12" s="119"/>
      <c r="G12" s="124"/>
    </row>
    <row r="13" spans="2:19" ht="19">
      <c r="B13" s="150" t="s">
        <v>168</v>
      </c>
      <c r="F13" s="119" t="s">
        <v>143</v>
      </c>
      <c r="G13" s="124">
        <f>+SUMIFS('Jounal entries final'!$H:$H,'Jounal entries final'!$E:$E,'Working Capital'!F13,'Jounal entries final'!B:B,'Working Capital'!$E$2,'Jounal entries final'!C:C,'Working Capital'!$G$3)</f>
        <v>10562853.030000003</v>
      </c>
      <c r="H13" s="124">
        <f>SUMIFS('Jounal entries final'!$H:$H,'Jounal entries final'!$E:$E,'Working Capital'!$F13,'Jounal entries final'!$B:$B,H$1,'Jounal entries final'!$C:$C,'Working Capital'!$G$3)</f>
        <v>9023618.0780000016</v>
      </c>
      <c r="I13" s="124">
        <f>SUMIFS('Jounal entries final'!$H:$H,'Jounal entries final'!$E:$E,'Working Capital'!$F13,'Jounal entries final'!$B:$B,I$1,'Jounal entries final'!$C:$C,'Working Capital'!$G$3)</f>
        <v>8408548.2319999989</v>
      </c>
      <c r="J13" s="124">
        <f>SUMIFS('Jounal entries final'!$H:$H,'Jounal entries final'!$E:$E,'Working Capital'!$F13,'Jounal entries final'!$B:$B,J$1,'Jounal entries final'!$C:$C,'Working Capital'!$G$3)</f>
        <v>9582592.2860000003</v>
      </c>
      <c r="K13" s="124">
        <f>SUMIFS('Jounal entries final'!$H:$H,'Jounal entries final'!$E:$E,'Working Capital'!$F13,'Jounal entries final'!$B:$B,K$1,'Jounal entries final'!$C:$C,'Working Capital'!$G$3)</f>
        <v>9481912.6860000007</v>
      </c>
      <c r="L13" s="124">
        <f>SUMIFS('Jounal entries final'!$H:$H,'Jounal entries final'!$E:$E,'Working Capital'!$F13,'Jounal entries final'!$B:$B,L$1,'Jounal entries final'!$C:$C,'Working Capital'!$G$3)</f>
        <v>7875175.425999999</v>
      </c>
      <c r="M13" s="124">
        <f>SUMIFS('Jounal entries final'!$H:$H,'Jounal entries final'!$E:$E,'Working Capital'!$F13,'Jounal entries final'!$B:$B,M$1,'Jounal entries final'!$C:$C,'Working Capital'!$G$3)</f>
        <v>9646932.9979999978</v>
      </c>
      <c r="N13" s="124">
        <f>SUMIFS('Jounal entries final'!$H:$H,'Jounal entries final'!$E:$E,'Working Capital'!$F13,'Jounal entries final'!$B:$B,N$1,'Jounal entries final'!$C:$C,'Working Capital'!$G$3)</f>
        <v>8940122.8619999997</v>
      </c>
      <c r="O13" s="124">
        <f>SUMIFS('Jounal entries final'!$H:$H,'Jounal entries final'!$E:$E,'Working Capital'!$F13,'Jounal entries final'!$B:$B,O$1,'Jounal entries final'!$C:$C,'Working Capital'!$G$3)</f>
        <v>8197676.7179999994</v>
      </c>
      <c r="P13" s="124">
        <f>SUMIFS('Jounal entries final'!$H:$H,'Jounal entries final'!$E:$E,'Working Capital'!$F13,'Jounal entries final'!$B:$B,P$1,'Jounal entries final'!$C:$C,'Working Capital'!$G$3)</f>
        <v>8357251.3279999997</v>
      </c>
      <c r="Q13" s="124">
        <f>SUMIFS('Jounal entries final'!$H:$H,'Jounal entries final'!$E:$E,'Working Capital'!$F13,'Jounal entries final'!$B:$B,Q$1,'Jounal entries final'!$C:$C,'Working Capital'!$G$3)</f>
        <v>8523529.1520000026</v>
      </c>
      <c r="R13" s="124">
        <f>SUMIFS('Jounal entries final'!$H:$H,'Jounal entries final'!$E:$E,'Working Capital'!$F13,'Jounal entries final'!$B:$B,R$1,'Jounal entries final'!$C:$C,'Working Capital'!$G$3)</f>
        <v>7765783.269999994</v>
      </c>
    </row>
    <row r="14" spans="2:19">
      <c r="F14" s="119" t="s">
        <v>67</v>
      </c>
      <c r="G14" s="124">
        <f>+SUMIFS('Jounal entries final'!$H:$H,'Jounal entries final'!$E:$E,'Working Capital'!F14,'Jounal entries final'!B:B,'Working Capital'!$E$2,'Jounal entries final'!C:C,'Working Capital'!$G$3)</f>
        <v>1217348.9700000007</v>
      </c>
      <c r="H14" s="124">
        <f>SUMIFS('Jounal entries final'!$H:$H,'Jounal entries final'!$E:$E,'Working Capital'!$F14,'Jounal entries final'!$B:$B,H$1,'Jounal entries final'!$C:$C,'Working Capital'!$G$3)</f>
        <v>965431.99000000011</v>
      </c>
      <c r="I14" s="124">
        <f>SUMIFS('Jounal entries final'!$H:$H,'Jounal entries final'!$E:$E,'Working Capital'!$F14,'Jounal entries final'!$B:$B,I$1,'Jounal entries final'!$C:$C,'Working Capital'!$G$3)</f>
        <v>2687528.7600000016</v>
      </c>
      <c r="J14" s="124">
        <f>SUMIFS('Jounal entries final'!$H:$H,'Jounal entries final'!$E:$E,'Working Capital'!$F14,'Jounal entries final'!$B:$B,J$1,'Jounal entries final'!$C:$C,'Working Capital'!$G$3)</f>
        <v>2926518.75</v>
      </c>
      <c r="K14" s="124">
        <f>SUMIFS('Jounal entries final'!$H:$H,'Jounal entries final'!$E:$E,'Working Capital'!$F14,'Jounal entries final'!$B:$B,K$1,'Jounal entries final'!$C:$C,'Working Capital'!$G$3)</f>
        <v>3287397.4800000004</v>
      </c>
      <c r="L14" s="124">
        <f>SUMIFS('Jounal entries final'!$H:$H,'Jounal entries final'!$E:$E,'Working Capital'!$F14,'Jounal entries final'!$B:$B,L$1,'Jounal entries final'!$C:$C,'Working Capital'!$G$3)</f>
        <v>4631542.08</v>
      </c>
      <c r="M14" s="124">
        <f>SUMIFS('Jounal entries final'!$H:$H,'Jounal entries final'!$E:$E,'Working Capital'!$F14,'Jounal entries final'!$B:$B,M$1,'Jounal entries final'!$C:$C,'Working Capital'!$G$3)</f>
        <v>5088006.3199999984</v>
      </c>
      <c r="N14" s="124">
        <f>SUMIFS('Jounal entries final'!$H:$H,'Jounal entries final'!$E:$E,'Working Capital'!$F14,'Jounal entries final'!$B:$B,N$1,'Jounal entries final'!$C:$C,'Working Capital'!$G$3)</f>
        <v>5147864.5799999982</v>
      </c>
      <c r="O14" s="124">
        <f>SUMIFS('Jounal entries final'!$H:$H,'Jounal entries final'!$E:$E,'Working Capital'!$F14,'Jounal entries final'!$B:$B,O$1,'Jounal entries final'!$C:$C,'Working Capital'!$G$3)</f>
        <v>5851985.1599999992</v>
      </c>
      <c r="P14" s="124">
        <f>SUMIFS('Jounal entries final'!$H:$H,'Jounal entries final'!$E:$E,'Working Capital'!$F14,'Jounal entries final'!$B:$B,P$1,'Jounal entries final'!$C:$C,'Working Capital'!$G$3)</f>
        <v>6384810.0999999987</v>
      </c>
      <c r="Q14" s="124">
        <f>SUMIFS('Jounal entries final'!$H:$H,'Jounal entries final'!$E:$E,'Working Capital'!$F14,'Jounal entries final'!$B:$B,Q$1,'Jounal entries final'!$C:$C,'Working Capital'!$G$3)</f>
        <v>6198796.2399999984</v>
      </c>
      <c r="R14" s="124">
        <f>SUMIFS('Jounal entries final'!$H:$H,'Jounal entries final'!$E:$E,'Working Capital'!$F14,'Jounal entries final'!$B:$B,R$1,'Jounal entries final'!$C:$C,'Working Capital'!$G$3)</f>
        <v>6970908.2199999988</v>
      </c>
    </row>
    <row r="15" spans="2:19" ht="19">
      <c r="B15" s="116" t="s">
        <v>167</v>
      </c>
      <c r="F15" s="119"/>
      <c r="G15" s="124"/>
      <c r="H15" s="124"/>
      <c r="I15" s="124"/>
      <c r="J15" s="124"/>
      <c r="K15" s="124"/>
      <c r="L15" s="124"/>
      <c r="M15" s="124"/>
      <c r="N15" s="124"/>
      <c r="O15" s="124"/>
      <c r="P15" s="124"/>
      <c r="Q15" s="124"/>
      <c r="R15" s="124"/>
    </row>
    <row r="16" spans="2:19">
      <c r="F16" s="126" t="s">
        <v>161</v>
      </c>
      <c r="G16" s="161">
        <f>(G14/SUM(G13))*60</f>
        <v>6.9148872934758634</v>
      </c>
      <c r="H16" s="161">
        <f>(H14/SUM(G13:H13))*60</f>
        <v>2.9574454265189423</v>
      </c>
      <c r="I16" s="161">
        <f>(I14/SUM(G13:I13))*90</f>
        <v>8.6400221933191972</v>
      </c>
      <c r="J16" s="161">
        <f>(J14/SUM(H13:J13))*90</f>
        <v>9.749733152862559</v>
      </c>
      <c r="K16" s="161">
        <f t="shared" ref="K16" si="2">(K14/SUM(I13:K13))*90</f>
        <v>10.769308056263759</v>
      </c>
      <c r="L16" s="161">
        <f t="shared" ref="L16" si="3">(L14/SUM(J13:L13))*90</f>
        <v>15.473041292314146</v>
      </c>
      <c r="M16" s="161">
        <f t="shared" ref="M16" si="4">(M14/SUM(K13:M13))*90</f>
        <v>16.957495586848911</v>
      </c>
      <c r="N16" s="161">
        <f t="shared" ref="N16" si="5">(N14/SUM(L13:N13))*90</f>
        <v>17.508267053999926</v>
      </c>
      <c r="O16" s="161">
        <f t="shared" ref="O16" si="6">(O14/SUM(M13:O13))*90</f>
        <v>19.663390809157995</v>
      </c>
      <c r="P16" s="161">
        <f t="shared" ref="P16" si="7">(P14/SUM(N13:P13))*90</f>
        <v>22.538998297104317</v>
      </c>
      <c r="Q16" s="161">
        <f t="shared" ref="Q16" si="8">(Q14/SUM(O13:Q13))*90</f>
        <v>22.245852573598167</v>
      </c>
      <c r="R16" s="161">
        <f>(R14/SUM(P13:R13))*90</f>
        <v>25.455140366169701</v>
      </c>
    </row>
    <row r="17" spans="2:19" ht="19">
      <c r="B17" s="116" t="s">
        <v>173</v>
      </c>
    </row>
    <row r="18" spans="2:19">
      <c r="F18" s="119"/>
      <c r="G18" s="124"/>
    </row>
    <row r="19" spans="2:19" ht="19">
      <c r="B19" s="116" t="s">
        <v>169</v>
      </c>
      <c r="F19" s="119" t="s">
        <v>188</v>
      </c>
      <c r="G19" s="124">
        <f>-SUMIFS('Jounal entries final'!$H:$H,'Jounal entries final'!$E:$E,'Working Capital'!F19,'Jounal entries final'!B:B,'Working Capital'!$E$2,'Jounal entries final'!C:C,'Working Capital'!$G$3)</f>
        <v>21833695</v>
      </c>
      <c r="H19" s="124">
        <f>-SUMIFS('Jounal entries final'!$H:$H,'Jounal entries final'!$E:$E,'Working Capital'!$F19,'Jounal entries final'!$B:$B,H$1,'Jounal entries final'!$C:$C,'Working Capital'!$G$3)</f>
        <v>29646200</v>
      </c>
      <c r="I19" s="124">
        <f>-SUMIFS('Jounal entries final'!$H:$H,'Jounal entries final'!$E:$E,'Working Capital'!$F19,'Jounal entries final'!$B:$B,I$1,'Jounal entries final'!$C:$C,'Working Capital'!$G$3)</f>
        <v>31818810</v>
      </c>
      <c r="J19" s="124">
        <f>-SUMIFS('Jounal entries final'!$H:$H,'Jounal entries final'!$E:$E,'Working Capital'!$F19,'Jounal entries final'!$B:$B,J$1,'Jounal entries final'!$C:$C,'Working Capital'!$G$3)</f>
        <v>33312505</v>
      </c>
      <c r="K19" s="124">
        <f>-SUMIFS('Jounal entries final'!$H:$H,'Jounal entries final'!$E:$E,'Working Capital'!$F19,'Jounal entries final'!$B:$B,K$1,'Jounal entries final'!$C:$C,'Working Capital'!$G$3)</f>
        <v>29079495</v>
      </c>
      <c r="L19" s="124">
        <f>-SUMIFS('Jounal entries final'!$H:$H,'Jounal entries final'!$E:$E,'Working Capital'!$F19,'Jounal entries final'!$B:$B,L$1,'Jounal entries final'!$C:$C,'Working Capital'!$G$3)</f>
        <v>26707000</v>
      </c>
      <c r="M19" s="124">
        <f>-SUMIFS('Jounal entries final'!$H:$H,'Jounal entries final'!$E:$E,'Working Capital'!$F19,'Jounal entries final'!$B:$B,M$1,'Jounal entries final'!$C:$C,'Working Capital'!$G$3)</f>
        <v>32809000</v>
      </c>
      <c r="N19" s="124">
        <f>-SUMIFS('Jounal entries final'!$H:$H,'Jounal entries final'!$E:$E,'Working Capital'!$F19,'Jounal entries final'!$B:$B,N$1,'Jounal entries final'!$C:$C,'Working Capital'!$G$3)</f>
        <v>35846010</v>
      </c>
      <c r="O19" s="124">
        <f>-SUMIFS('Jounal entries final'!$H:$H,'Jounal entries final'!$E:$E,'Working Capital'!$F19,'Jounal entries final'!$B:$B,O$1,'Jounal entries final'!$C:$C,'Working Capital'!$G$3)</f>
        <v>23717265</v>
      </c>
      <c r="P19" s="124">
        <f>-SUMIFS('Jounal entries final'!$H:$H,'Jounal entries final'!$E:$E,'Working Capital'!$F19,'Jounal entries final'!$B:$B,P$1,'Jounal entries final'!$C:$C,'Working Capital'!$G$3)</f>
        <v>30787275</v>
      </c>
      <c r="Q19" s="124">
        <f>-SUMIFS('Jounal entries final'!$H:$H,'Jounal entries final'!$E:$E,'Working Capital'!$F19,'Jounal entries final'!$B:$B,Q$1,'Jounal entries final'!$C:$C,'Working Capital'!$G$3)</f>
        <v>30693580</v>
      </c>
      <c r="R19" s="124">
        <f>-SUMIFS('Jounal entries final'!$H:$H,'Jounal entries final'!$E:$E,'Working Capital'!$F19,'Jounal entries final'!$B:$B,R$1,'Jounal entries final'!$C:$C,'Working Capital'!$G$3)</f>
        <v>27730960</v>
      </c>
    </row>
    <row r="20" spans="2:19">
      <c r="F20" s="119" t="s">
        <v>143</v>
      </c>
      <c r="G20" s="124">
        <f>+SUMIFS('Jounal entries final'!$H:$H,'Jounal entries final'!$E:$E,'Working Capital'!F20,'Jounal entries final'!B:B,'Working Capital'!$E$2,'Jounal entries final'!C:C,'Working Capital'!$G$3)</f>
        <v>10562853.030000003</v>
      </c>
      <c r="H20" s="124">
        <f>SUMIFS('Jounal entries final'!$H:$H,'Jounal entries final'!$E:$E,'Working Capital'!$F20,'Jounal entries final'!$B:$B,H$1,'Jounal entries final'!$C:$C,'Working Capital'!$G$3)</f>
        <v>9023618.0780000016</v>
      </c>
      <c r="I20" s="124">
        <f>SUMIFS('Jounal entries final'!$H:$H,'Jounal entries final'!$E:$E,'Working Capital'!$F20,'Jounal entries final'!$B:$B,I$1,'Jounal entries final'!$C:$C,'Working Capital'!$G$3)</f>
        <v>8408548.2319999989</v>
      </c>
      <c r="J20" s="124">
        <f>SUMIFS('Jounal entries final'!$H:$H,'Jounal entries final'!$E:$E,'Working Capital'!$F20,'Jounal entries final'!$B:$B,J$1,'Jounal entries final'!$C:$C,'Working Capital'!$G$3)</f>
        <v>9582592.2860000003</v>
      </c>
      <c r="K20" s="124">
        <f>SUMIFS('Jounal entries final'!$H:$H,'Jounal entries final'!$E:$E,'Working Capital'!$F20,'Jounal entries final'!$B:$B,K$1,'Jounal entries final'!$C:$C,'Working Capital'!$G$3)</f>
        <v>9481912.6860000007</v>
      </c>
      <c r="L20" s="124">
        <f>SUMIFS('Jounal entries final'!$H:$H,'Jounal entries final'!$E:$E,'Working Capital'!$F20,'Jounal entries final'!$B:$B,L$1,'Jounal entries final'!$C:$C,'Working Capital'!$G$3)</f>
        <v>7875175.425999999</v>
      </c>
      <c r="M20" s="124">
        <f>SUMIFS('Jounal entries final'!$H:$H,'Jounal entries final'!$E:$E,'Working Capital'!$F20,'Jounal entries final'!$B:$B,M$1,'Jounal entries final'!$C:$C,'Working Capital'!$G$3)</f>
        <v>9646932.9979999978</v>
      </c>
      <c r="N20" s="124">
        <f>SUMIFS('Jounal entries final'!$H:$H,'Jounal entries final'!$E:$E,'Working Capital'!$F20,'Jounal entries final'!$B:$B,N$1,'Jounal entries final'!$C:$C,'Working Capital'!$G$3)</f>
        <v>8940122.8619999997</v>
      </c>
      <c r="O20" s="124">
        <f>SUMIFS('Jounal entries final'!$H:$H,'Jounal entries final'!$E:$E,'Working Capital'!$F20,'Jounal entries final'!$B:$B,O$1,'Jounal entries final'!$C:$C,'Working Capital'!$G$3)</f>
        <v>8197676.7179999994</v>
      </c>
      <c r="P20" s="124">
        <f>SUMIFS('Jounal entries final'!$H:$H,'Jounal entries final'!$E:$E,'Working Capital'!$F20,'Jounal entries final'!$B:$B,P$1,'Jounal entries final'!$C:$C,'Working Capital'!$G$3)</f>
        <v>8357251.3279999997</v>
      </c>
      <c r="Q20" s="124">
        <f>SUMIFS('Jounal entries final'!$H:$H,'Jounal entries final'!$E:$E,'Working Capital'!$F20,'Jounal entries final'!$B:$B,Q$1,'Jounal entries final'!$C:$C,'Working Capital'!$G$3)</f>
        <v>8523529.1520000026</v>
      </c>
      <c r="R20" s="124">
        <f>SUMIFS('Jounal entries final'!$H:$H,'Jounal entries final'!$E:$E,'Working Capital'!$F20,'Jounal entries final'!$B:$B,R$1,'Jounal entries final'!$C:$C,'Working Capital'!$G$3)</f>
        <v>7765783.269999994</v>
      </c>
    </row>
    <row r="21" spans="2:19" ht="19">
      <c r="B21" s="116" t="s">
        <v>170</v>
      </c>
      <c r="F21" s="119" t="s">
        <v>188</v>
      </c>
      <c r="G21" s="124"/>
    </row>
    <row r="22" spans="2:19">
      <c r="F22" s="126" t="s">
        <v>162</v>
      </c>
      <c r="G22" s="161">
        <f>(G19/SUM(G20))*30</f>
        <v>62.010788954430794</v>
      </c>
      <c r="H22" s="161">
        <f>(H19/SUM(G20:H20))*60</f>
        <v>90.816359424412539</v>
      </c>
      <c r="I22" s="161">
        <f t="shared" ref="I22" si="9">(I19/SUM(G20:I20))*90</f>
        <v>102.29294237022663</v>
      </c>
      <c r="J22" s="161">
        <f t="shared" ref="J22" si="10">(J19/SUM(H20:J20))*90</f>
        <v>110.98101948036374</v>
      </c>
      <c r="K22" s="161">
        <f t="shared" ref="K22" si="11">(K19/SUM(I20:K20))*90</f>
        <v>95.26260261524007</v>
      </c>
      <c r="L22" s="161">
        <f t="shared" ref="L22" si="12">(L19/SUM(J20:L20))*90</f>
        <v>89.222662054240445</v>
      </c>
      <c r="M22" s="161">
        <f t="shared" ref="M22" si="13">(M19/SUM(K20:M20))*90</f>
        <v>109.34704827743337</v>
      </c>
      <c r="N22" s="161">
        <f t="shared" ref="N22" si="14">(N19/SUM(L20:N20))*90</f>
        <v>121.91492339146811</v>
      </c>
      <c r="O22" s="161">
        <f t="shared" ref="O22" si="15">(O19/SUM(M20:O20))*90</f>
        <v>79.692931179505024</v>
      </c>
      <c r="P22" s="161">
        <f t="shared" ref="P22" si="16">(P19/SUM(N20:P20))*90</f>
        <v>108.68206382480858</v>
      </c>
      <c r="Q22" s="161">
        <f t="shared" ref="Q22" si="17">(Q19/SUM(O20:Q20))*90</f>
        <v>110.15120181397371</v>
      </c>
      <c r="R22" s="161">
        <f t="shared" ref="R22" si="18">(R19/SUM(P20:R20))*90</f>
        <v>101.26305741099506</v>
      </c>
      <c r="S22" s="197">
        <f>+(R19/SUM(G20:R20))*365</f>
        <v>95.160114833310374</v>
      </c>
    </row>
    <row r="23" spans="2:19" ht="19">
      <c r="B23" s="116" t="s">
        <v>171</v>
      </c>
      <c r="G23" s="129"/>
      <c r="H23" s="129"/>
      <c r="I23" s="129"/>
      <c r="J23" s="129"/>
      <c r="K23" s="129"/>
      <c r="L23" s="129"/>
      <c r="M23" s="129"/>
      <c r="N23" s="129"/>
      <c r="O23" s="129"/>
      <c r="P23" s="129"/>
      <c r="Q23" s="129"/>
      <c r="R23" s="129"/>
    </row>
    <row r="24" spans="2:19">
      <c r="G24" s="129"/>
      <c r="H24" s="129"/>
      <c r="I24" s="129"/>
      <c r="J24" s="129"/>
      <c r="K24" s="129"/>
      <c r="L24" s="129"/>
      <c r="M24" s="129"/>
      <c r="N24" s="129"/>
      <c r="O24" s="129"/>
      <c r="P24" s="129"/>
      <c r="Q24" s="129"/>
      <c r="R24" s="129"/>
    </row>
    <row r="25" spans="2:19" ht="19">
      <c r="B25" s="116" t="s">
        <v>172</v>
      </c>
      <c r="F25" s="126" t="s">
        <v>165</v>
      </c>
      <c r="G25" s="161">
        <f>G11+G16-G22</f>
        <v>-20.730902465206029</v>
      </c>
      <c r="H25" s="161">
        <f>H11+H16-H22</f>
        <v>-24.688322870772723</v>
      </c>
      <c r="I25" s="161">
        <f t="shared" ref="I25:R25" si="19">I11+I16-I22</f>
        <v>-9.4725355692215629</v>
      </c>
      <c r="J25" s="161">
        <f>J11+J16-J22</f>
        <v>-37.193184052666993</v>
      </c>
      <c r="K25" s="161">
        <f t="shared" si="19"/>
        <v>-14.300689828249759</v>
      </c>
      <c r="L25" s="161">
        <f t="shared" si="19"/>
        <v>4.8364564544527155</v>
      </c>
      <c r="M25" s="161">
        <f t="shared" si="19"/>
        <v>-17.009717646629667</v>
      </c>
      <c r="N25" s="161">
        <f t="shared" si="19"/>
        <v>-26.260654653521144</v>
      </c>
      <c r="O25" s="161">
        <f t="shared" si="19"/>
        <v>20.240750151891177</v>
      </c>
      <c r="P25" s="161">
        <f t="shared" si="19"/>
        <v>-17.528482545509974</v>
      </c>
      <c r="Q25" s="161">
        <f t="shared" si="19"/>
        <v>-13.65687614435106</v>
      </c>
      <c r="R25" s="161">
        <f t="shared" si="19"/>
        <v>-6.7399016934532199</v>
      </c>
    </row>
    <row r="26" spans="2:19">
      <c r="G26" s="134">
        <f>G9+G14-G19</f>
        <v>-4870639.0300000012</v>
      </c>
      <c r="H26" s="134">
        <f t="shared" ref="H26:R26" si="20">H9+H14-H19</f>
        <v>-809720.01000000164</v>
      </c>
      <c r="I26" s="134">
        <f t="shared" si="20"/>
        <v>5727660.7600000054</v>
      </c>
      <c r="J26" s="134">
        <f t="shared" si="20"/>
        <v>-4769660.25</v>
      </c>
      <c r="K26" s="134">
        <f t="shared" si="20"/>
        <v>1623689.4800000004</v>
      </c>
      <c r="L26" s="134">
        <f t="shared" si="20"/>
        <v>10173914.079999998</v>
      </c>
      <c r="M26" s="134">
        <f t="shared" si="20"/>
        <v>3748242.3200000003</v>
      </c>
      <c r="N26" s="134">
        <f t="shared" si="20"/>
        <v>1222272.5799999982</v>
      </c>
      <c r="O26" s="134">
        <f t="shared" si="20"/>
        <v>13950482.159999996</v>
      </c>
      <c r="P26" s="134">
        <f t="shared" si="20"/>
        <v>1448086.0999999978</v>
      </c>
      <c r="Q26" s="134">
        <f t="shared" si="20"/>
        <v>3654062.2399999946</v>
      </c>
      <c r="R26" s="134">
        <f t="shared" si="20"/>
        <v>4895260.2199999988</v>
      </c>
    </row>
  </sheetData>
  <conditionalFormatting sqref="F10:G10">
    <cfRule type="cellIs" dxfId="4" priority="3" operator="lessThan">
      <formula>0</formula>
    </cfRule>
  </conditionalFormatting>
  <conditionalFormatting sqref="F21:G21">
    <cfRule type="cellIs" dxfId="3" priority="1" operator="lessThan">
      <formula>0</formula>
    </cfRule>
  </conditionalFormatting>
  <conditionalFormatting sqref="F9:R9">
    <cfRule type="cellIs" dxfId="2" priority="7" operator="lessThan">
      <formula>0</formula>
    </cfRule>
  </conditionalFormatting>
  <conditionalFormatting sqref="F13:R14">
    <cfRule type="cellIs" dxfId="1" priority="6" operator="lessThan">
      <formula>0</formula>
    </cfRule>
  </conditionalFormatting>
  <conditionalFormatting sqref="F19:R20">
    <cfRule type="cellIs" dxfId="0" priority="5" operator="lessThan">
      <formula>0</formula>
    </cfRule>
  </conditionalFormatting>
  <hyperlinks>
    <hyperlink ref="G11" location="'Indepth Working Capital'!A1" display="'Indepth Working Capital'!A1" xr:uid="{5BC10B54-EFC4-455B-8A10-48870AE6F423}"/>
  </hyperlink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D3C-FCB7-4311-BCF1-EC3114117484}">
  <sheetPr codeName="Sheet25"/>
  <dimension ref="A1:S26"/>
  <sheetViews>
    <sheetView topLeftCell="B1" zoomScale="70" zoomScaleNormal="70" workbookViewId="0">
      <selection activeCell="G8" sqref="G8"/>
    </sheetView>
  </sheetViews>
  <sheetFormatPr baseColWidth="10" defaultColWidth="8.83203125" defaultRowHeight="15"/>
  <cols>
    <col min="1" max="1" width="2.1640625" style="115" customWidth="1"/>
    <col min="2" max="2" width="33.1640625" style="115" customWidth="1"/>
    <col min="3" max="3" width="2.83203125" style="115" customWidth="1"/>
    <col min="4" max="4" width="2.83203125" style="114" customWidth="1"/>
    <col min="5" max="5" width="3.1640625" style="114" hidden="1" customWidth="1"/>
    <col min="6" max="6" width="49.83203125" style="118" customWidth="1"/>
    <col min="7" max="19" width="18.5" style="114" customWidth="1"/>
    <col min="20" max="16384" width="8.83203125" style="114"/>
  </cols>
  <sheetData>
    <row r="1" spans="2:19">
      <c r="G1" s="114">
        <v>1</v>
      </c>
      <c r="H1" s="114">
        <v>2</v>
      </c>
      <c r="I1" s="114">
        <v>3</v>
      </c>
      <c r="J1" s="114">
        <v>4</v>
      </c>
      <c r="K1" s="114">
        <v>5</v>
      </c>
      <c r="L1" s="114">
        <v>6</v>
      </c>
      <c r="M1" s="114">
        <v>7</v>
      </c>
      <c r="N1" s="114">
        <v>8</v>
      </c>
      <c r="O1" s="114">
        <v>9</v>
      </c>
      <c r="P1" s="114">
        <v>10</v>
      </c>
      <c r="Q1" s="114">
        <v>11</v>
      </c>
      <c r="R1" s="114">
        <v>12</v>
      </c>
    </row>
    <row r="2" spans="2:19">
      <c r="E2" s="114">
        <f>+VLOOKUP(G2,Reference!$A$2:$B$13,2,0)</f>
        <v>1</v>
      </c>
      <c r="F2" s="130" t="s">
        <v>174</v>
      </c>
      <c r="G2" s="131" t="s">
        <v>17</v>
      </c>
      <c r="H2" s="131" t="s">
        <v>18</v>
      </c>
      <c r="I2" s="131" t="s">
        <v>19</v>
      </c>
      <c r="J2" s="131" t="s">
        <v>20</v>
      </c>
      <c r="K2" s="131" t="s">
        <v>21</v>
      </c>
      <c r="L2" s="131" t="s">
        <v>22</v>
      </c>
      <c r="M2" s="131" t="s">
        <v>23</v>
      </c>
      <c r="N2" s="131" t="s">
        <v>24</v>
      </c>
      <c r="O2" s="131" t="s">
        <v>25</v>
      </c>
      <c r="P2" s="131" t="s">
        <v>26</v>
      </c>
      <c r="Q2" s="131" t="s">
        <v>27</v>
      </c>
      <c r="R2" s="131" t="s">
        <v>28</v>
      </c>
      <c r="S2" s="131"/>
    </row>
    <row r="3" spans="2:19">
      <c r="F3" s="130" t="s">
        <v>175</v>
      </c>
      <c r="G3" s="132">
        <v>2022</v>
      </c>
      <c r="H3" s="132">
        <v>2023</v>
      </c>
      <c r="I3" s="132">
        <v>2024</v>
      </c>
      <c r="J3" s="132">
        <v>2025</v>
      </c>
      <c r="K3" s="132">
        <v>2026</v>
      </c>
      <c r="L3" s="132">
        <v>2027</v>
      </c>
      <c r="M3" s="132">
        <v>2028</v>
      </c>
      <c r="N3" s="132">
        <v>2029</v>
      </c>
      <c r="O3" s="132">
        <v>2030</v>
      </c>
      <c r="P3" s="132">
        <v>2031</v>
      </c>
      <c r="Q3" s="132">
        <v>2032</v>
      </c>
      <c r="R3" s="132">
        <v>2033</v>
      </c>
      <c r="S3" s="132"/>
    </row>
    <row r="6" spans="2:19" ht="29">
      <c r="F6" s="120" t="s">
        <v>176</v>
      </c>
      <c r="G6" s="121" t="s">
        <v>177</v>
      </c>
      <c r="H6" s="121" t="s">
        <v>177</v>
      </c>
      <c r="I6" s="121" t="s">
        <v>177</v>
      </c>
      <c r="J6" s="121" t="s">
        <v>177</v>
      </c>
      <c r="K6" s="121" t="s">
        <v>177</v>
      </c>
      <c r="L6" s="121" t="s">
        <v>177</v>
      </c>
      <c r="M6" s="121" t="s">
        <v>177</v>
      </c>
      <c r="N6" s="121" t="s">
        <v>177</v>
      </c>
      <c r="O6" s="121" t="s">
        <v>177</v>
      </c>
      <c r="P6" s="121" t="s">
        <v>177</v>
      </c>
      <c r="Q6" s="121" t="s">
        <v>177</v>
      </c>
      <c r="R6" s="121" t="s">
        <v>177</v>
      </c>
    </row>
    <row r="7" spans="2:19" ht="17" customHeight="1">
      <c r="B7" s="116" t="s">
        <v>163</v>
      </c>
      <c r="G7" s="131" t="s">
        <v>17</v>
      </c>
      <c r="H7" s="131" t="s">
        <v>18</v>
      </c>
      <c r="I7" s="131" t="s">
        <v>19</v>
      </c>
      <c r="J7" s="131" t="s">
        <v>20</v>
      </c>
      <c r="K7" s="131" t="s">
        <v>21</v>
      </c>
      <c r="L7" s="131" t="s">
        <v>22</v>
      </c>
      <c r="M7" s="131" t="s">
        <v>23</v>
      </c>
      <c r="N7" s="131" t="s">
        <v>24</v>
      </c>
      <c r="O7" s="131" t="s">
        <v>25</v>
      </c>
      <c r="P7" s="131" t="s">
        <v>26</v>
      </c>
      <c r="Q7" s="131" t="s">
        <v>27</v>
      </c>
      <c r="R7" s="131" t="s">
        <v>28</v>
      </c>
    </row>
    <row r="8" spans="2:19">
      <c r="F8" s="119" t="s">
        <v>98</v>
      </c>
      <c r="G8" s="124">
        <f>-SUMIFS('Jounal entries final'!$H:$H,'Jounal entries final'!$E:$E,'Last 12M'!$F8,'Jounal entries final'!$B:$B,G$1,'Jounal entries final'!$C:$C,'Last 12M'!$G3)</f>
        <v>13745707</v>
      </c>
      <c r="H8" s="124">
        <f>-SUMIFS('Jounal entries final'!$H:$H,'Jounal entries final'!$E:$E,'Last 12M'!$F8,'Jounal entries final'!$B:$B,H$1,'Jounal entries final'!$C:$C,'Last 12M'!$G3)</f>
        <v>12726467</v>
      </c>
      <c r="I8" s="124">
        <f>-SUMIFS('Jounal entries final'!$H:$H,'Jounal entries final'!$E:$E,'Last 12M'!$F8,'Jounal entries final'!$B:$B,I$1,'Jounal entries final'!$C:$C,'Last 12M'!$G3)</f>
        <v>10796660</v>
      </c>
      <c r="J8" s="124">
        <f>-SUMIFS('Jounal entries final'!$H:$H,'Jounal entries final'!$E:$E,'Last 12M'!$F8,'Jounal entries final'!$B:$B,J$1,'Jounal entries final'!$C:$C,'Last 12M'!$G3)</f>
        <v>12478398</v>
      </c>
      <c r="K8" s="124">
        <f>-SUMIFS('Jounal entries final'!$H:$H,'Jounal entries final'!$E:$E,'Last 12M'!$F8,'Jounal entries final'!$B:$B,K$1,'Jounal entries final'!$C:$C,'Last 12M'!$G3)</f>
        <v>11877090</v>
      </c>
      <c r="L8" s="124">
        <f>-SUMIFS('Jounal entries final'!$H:$H,'Jounal entries final'!$E:$E,'Last 12M'!$F8,'Jounal entries final'!$B:$B,L$1,'Jounal entries final'!$C:$C,'Last 12M'!$G3)</f>
        <v>12577816</v>
      </c>
      <c r="M8" s="124">
        <f>-SUMIFS('Jounal entries final'!$H:$H,'Jounal entries final'!$E:$E,'Last 12M'!$F8,'Jounal entries final'!$B:$B,M$1,'Jounal entries final'!$C:$C,'Last 12M'!$G3)</f>
        <v>13117891</v>
      </c>
      <c r="N8" s="124">
        <f>-SUMIFS('Jounal entries final'!$H:$H,'Jounal entries final'!$E:$E,'Last 12M'!$F8,'Jounal entries final'!$B:$B,N$1,'Jounal entries final'!$C:$C,'Last 12M'!$G3)</f>
        <v>11066732</v>
      </c>
      <c r="O8" s="124">
        <f>-SUMIFS('Jounal entries final'!$H:$H,'Jounal entries final'!$E:$E,'Last 12M'!$F8,'Jounal entries final'!$B:$B,O$1,'Jounal entries final'!$C:$C,'Last 12M'!$G3)</f>
        <v>11487586</v>
      </c>
      <c r="P8" s="124">
        <f>-SUMIFS('Jounal entries final'!$H:$H,'Jounal entries final'!$E:$E,'Last 12M'!$F8,'Jounal entries final'!$B:$B,P$1,'Jounal entries final'!$C:$C,'Last 12M'!$G3)</f>
        <v>11353191</v>
      </c>
      <c r="Q8" s="124">
        <f>-SUMIFS('Jounal entries final'!$H:$H,'Jounal entries final'!$E:$E,'Last 12M'!$F8,'Jounal entries final'!$B:$B,Q$1,'Jounal entries final'!$C:$C,'Last 12M'!$G3)</f>
        <v>11279738</v>
      </c>
      <c r="R8" s="124">
        <f>-SUMIFS('Jounal entries final'!$H:$H,'Jounal entries final'!$E:$E,'Last 12M'!$F8,'Jounal entries final'!$B:$B,R$1,'Jounal entries final'!$C:$C,'Last 12M'!$G3)</f>
        <v>10797568</v>
      </c>
    </row>
    <row r="9" spans="2:19" ht="17" customHeight="1">
      <c r="B9" s="116" t="s">
        <v>164</v>
      </c>
      <c r="F9" s="119" t="s">
        <v>143</v>
      </c>
      <c r="G9" s="124">
        <f>SUMIFS('Jounal entries final'!$H:$H,'Jounal entries final'!$E:$E,'Last 12M'!$F9,'Jounal entries final'!$B:$B,G$1,'Jounal entries final'!$C:$C,'Last 12M'!$G$3)</f>
        <v>10562853.030000003</v>
      </c>
      <c r="H9" s="124">
        <f>SUMIFS('Jounal entries final'!$H:$H,'Jounal entries final'!$E:$E,'Last 12M'!$F9,'Jounal entries final'!$B:$B,H$1,'Jounal entries final'!$C:$C,'Last 12M'!$G$3)</f>
        <v>9023618.0780000016</v>
      </c>
      <c r="I9" s="124">
        <f>SUMIFS('Jounal entries final'!$H:$H,'Jounal entries final'!$E:$E,'Last 12M'!$F9,'Jounal entries final'!$B:$B,I$1,'Jounal entries final'!$C:$C,'Last 12M'!$G$3)</f>
        <v>8408548.2319999989</v>
      </c>
      <c r="J9" s="124">
        <f>SUMIFS('Jounal entries final'!$H:$H,'Jounal entries final'!$E:$E,'Last 12M'!$F9,'Jounal entries final'!$B:$B,J$1,'Jounal entries final'!$C:$C,'Last 12M'!$G$3)</f>
        <v>9582592.2860000003</v>
      </c>
      <c r="K9" s="124">
        <f>SUMIFS('Jounal entries final'!$H:$H,'Jounal entries final'!$E:$E,'Last 12M'!$F9,'Jounal entries final'!$B:$B,K$1,'Jounal entries final'!$C:$C,'Last 12M'!$G$3)</f>
        <v>9481912.6860000007</v>
      </c>
      <c r="L9" s="124">
        <f>SUMIFS('Jounal entries final'!$H:$H,'Jounal entries final'!$E:$E,'Last 12M'!$F9,'Jounal entries final'!$B:$B,L$1,'Jounal entries final'!$C:$C,'Last 12M'!$G$3)</f>
        <v>7875175.425999999</v>
      </c>
      <c r="M9" s="124">
        <f>SUMIFS('Jounal entries final'!$H:$H,'Jounal entries final'!$E:$E,'Last 12M'!$F9,'Jounal entries final'!$B:$B,M$1,'Jounal entries final'!$C:$C,'Last 12M'!$G$3)</f>
        <v>9646932.9979999978</v>
      </c>
      <c r="N9" s="124">
        <f>SUMIFS('Jounal entries final'!$H:$H,'Jounal entries final'!$E:$E,'Last 12M'!$F9,'Jounal entries final'!$B:$B,N$1,'Jounal entries final'!$C:$C,'Last 12M'!$G$3)</f>
        <v>8940122.8619999997</v>
      </c>
      <c r="O9" s="124">
        <f>SUMIFS('Jounal entries final'!$H:$H,'Jounal entries final'!$E:$E,'Last 12M'!$F9,'Jounal entries final'!$B:$B,O$1,'Jounal entries final'!$C:$C,'Last 12M'!$G$3)</f>
        <v>8197676.7179999994</v>
      </c>
      <c r="P9" s="124">
        <f>SUMIFS('Jounal entries final'!$H:$H,'Jounal entries final'!$E:$E,'Last 12M'!$F9,'Jounal entries final'!$B:$B,P$1,'Jounal entries final'!$C:$C,'Last 12M'!$G$3)</f>
        <v>8357251.3279999997</v>
      </c>
      <c r="Q9" s="124">
        <f>SUMIFS('Jounal entries final'!$H:$H,'Jounal entries final'!$E:$E,'Last 12M'!$F9,'Jounal entries final'!$B:$B,Q$1,'Jounal entries final'!$C:$C,'Last 12M'!$G$3)</f>
        <v>8523529.1520000026</v>
      </c>
      <c r="R9" s="124">
        <f>SUMIFS('Jounal entries final'!$H:$H,'Jounal entries final'!$E:$E,'Last 12M'!$F9,'Jounal entries final'!$B:$B,R$1,'Jounal entries final'!$C:$C,'Last 12M'!$G$3)</f>
        <v>7765783.269999994</v>
      </c>
    </row>
    <row r="10" spans="2:19" ht="16">
      <c r="F10" s="119"/>
      <c r="G10" s="125"/>
    </row>
    <row r="11" spans="2:19" ht="19">
      <c r="B11" s="150" t="s">
        <v>166</v>
      </c>
      <c r="F11" s="126" t="s">
        <v>181</v>
      </c>
      <c r="G11" s="127">
        <f>+G8-G9</f>
        <v>3182853.9699999969</v>
      </c>
      <c r="H11" s="127">
        <f t="shared" ref="H11:R11" si="0">+H8-H9</f>
        <v>3702848.9219999984</v>
      </c>
      <c r="I11" s="127">
        <f t="shared" si="0"/>
        <v>2388111.7680000011</v>
      </c>
      <c r="J11" s="127">
        <f t="shared" si="0"/>
        <v>2895805.7139999997</v>
      </c>
      <c r="K11" s="127">
        <f t="shared" si="0"/>
        <v>2395177.3139999993</v>
      </c>
      <c r="L11" s="127">
        <f t="shared" si="0"/>
        <v>4702640.574000001</v>
      </c>
      <c r="M11" s="127">
        <f t="shared" si="0"/>
        <v>3470958.0020000022</v>
      </c>
      <c r="N11" s="127">
        <f t="shared" si="0"/>
        <v>2126609.1380000003</v>
      </c>
      <c r="O11" s="127">
        <f t="shared" si="0"/>
        <v>3289909.2820000006</v>
      </c>
      <c r="P11" s="127">
        <f t="shared" si="0"/>
        <v>2995939.6720000003</v>
      </c>
      <c r="Q11" s="127">
        <f t="shared" si="0"/>
        <v>2756208.8479999974</v>
      </c>
      <c r="R11" s="127">
        <f t="shared" si="0"/>
        <v>3031784.730000006</v>
      </c>
    </row>
    <row r="12" spans="2:19">
      <c r="F12" s="273" t="s">
        <v>253</v>
      </c>
      <c r="G12" s="148">
        <f>G11/G8</f>
        <v>0.23155258365393624</v>
      </c>
      <c r="H12" s="148">
        <f t="shared" ref="H12:R12" si="1">H11/H8</f>
        <v>0.29095654921354042</v>
      </c>
      <c r="I12" s="148">
        <f t="shared" si="1"/>
        <v>0.22118986501380994</v>
      </c>
      <c r="J12" s="148">
        <f t="shared" si="1"/>
        <v>0.23206550344042559</v>
      </c>
      <c r="K12" s="148">
        <f t="shared" si="1"/>
        <v>0.20166364942927933</v>
      </c>
      <c r="L12" s="148">
        <f t="shared" si="1"/>
        <v>0.37388371510602486</v>
      </c>
      <c r="M12" s="148">
        <f t="shared" si="1"/>
        <v>0.26459725896487496</v>
      </c>
      <c r="N12" s="149">
        <f t="shared" si="1"/>
        <v>0.1921623418729215</v>
      </c>
      <c r="O12" s="148">
        <f t="shared" si="1"/>
        <v>0.28638821785534407</v>
      </c>
      <c r="P12" s="148">
        <f t="shared" si="1"/>
        <v>0.26388525234887711</v>
      </c>
      <c r="Q12" s="148">
        <f t="shared" si="1"/>
        <v>0.24435043154371117</v>
      </c>
      <c r="R12" s="148">
        <f t="shared" si="1"/>
        <v>0.28078403673864394</v>
      </c>
    </row>
    <row r="13" spans="2:19" ht="19">
      <c r="B13" s="116" t="s">
        <v>168</v>
      </c>
      <c r="F13" s="119" t="s">
        <v>157</v>
      </c>
      <c r="G13" s="124">
        <f>+SUMIFS('Jounal entries final'!$H:$H,'Jounal entries final'!$E:$E,'Last 12M'!F13,'Jounal entries final'!B:B,'Last 12M'!$E$2,'Jounal entries final'!C:C,'Last 12M'!$G$3)</f>
        <v>991135</v>
      </c>
      <c r="H13" s="124">
        <f>SUMIFS('Jounal entries final'!$H:$H,'Jounal entries final'!$E:$E,'Last 12M'!$F13,'Jounal entries final'!$B:$B,H$1,'Jounal entries final'!$C:$C,'Last 12M'!$G$3)</f>
        <v>938597</v>
      </c>
      <c r="I13" s="124">
        <f>SUMIFS('Jounal entries final'!$H:$H,'Jounal entries final'!$E:$E,'Last 12M'!$F13,'Jounal entries final'!$B:$B,I$1,'Jounal entries final'!$C:$C,'Last 12M'!$G$3)</f>
        <v>1007206</v>
      </c>
      <c r="J13" s="124">
        <f>SUMIFS('Jounal entries final'!$H:$H,'Jounal entries final'!$E:$E,'Last 12M'!$F13,'Jounal entries final'!$B:$B,J$1,'Jounal entries final'!$C:$C,'Last 12M'!$G$3)</f>
        <v>1048028</v>
      </c>
      <c r="K13" s="124">
        <f>SUMIFS('Jounal entries final'!$H:$H,'Jounal entries final'!$E:$E,'Last 12M'!$F13,'Jounal entries final'!$B:$B,K$1,'Jounal entries final'!$C:$C,'Last 12M'!$G$3)</f>
        <v>900412</v>
      </c>
      <c r="L13" s="124">
        <f>SUMIFS('Jounal entries final'!$H:$H,'Jounal entries final'!$E:$E,'Last 12M'!$F13,'Jounal entries final'!$B:$B,L$1,'Jounal entries final'!$C:$C,'Last 12M'!$G$3)</f>
        <v>926816</v>
      </c>
      <c r="M13" s="124">
        <f>SUMIFS('Jounal entries final'!$H:$H,'Jounal entries final'!$E:$E,'Last 12M'!$F13,'Jounal entries final'!$B:$B,M$1,'Jounal entries final'!$C:$C,'Last 12M'!$G$3)</f>
        <v>1130206</v>
      </c>
      <c r="N13" s="124">
        <f>SUMIFS('Jounal entries final'!$H:$H,'Jounal entries final'!$E:$E,'Last 12M'!$F13,'Jounal entries final'!$B:$B,N$1,'Jounal entries final'!$C:$C,'Last 12M'!$G$3)</f>
        <v>1034305</v>
      </c>
      <c r="O13" s="124">
        <f>SUMIFS('Jounal entries final'!$H:$H,'Jounal entries final'!$E:$E,'Last 12M'!$F13,'Jounal entries final'!$B:$B,O$1,'Jounal entries final'!$C:$C,'Last 12M'!$G$3)</f>
        <v>926975</v>
      </c>
      <c r="P13" s="124">
        <f>SUMIFS('Jounal entries final'!$H:$H,'Jounal entries final'!$E:$E,'Last 12M'!$F13,'Jounal entries final'!$B:$B,P$1,'Jounal entries final'!$C:$C,'Last 12M'!$G$3)</f>
        <v>1071231</v>
      </c>
      <c r="Q13" s="124">
        <f>SUMIFS('Jounal entries final'!$H:$H,'Jounal entries final'!$E:$E,'Last 12M'!$F13,'Jounal entries final'!$B:$B,Q$1,'Jounal entries final'!$C:$C,'Last 12M'!$G$3)</f>
        <v>1065789</v>
      </c>
      <c r="R13" s="124">
        <f>SUMIFS('Jounal entries final'!$H:$H,'Jounal entries final'!$E:$E,'Last 12M'!$F13,'Jounal entries final'!$B:$B,R$1,'Jounal entries final'!$C:$C,'Last 12M'!$G$3)</f>
        <v>1033220</v>
      </c>
    </row>
    <row r="14" spans="2:19">
      <c r="F14" s="119" t="s">
        <v>154</v>
      </c>
      <c r="G14" s="124">
        <f>+SUMIFS('Jounal entries final'!$H:$H,'Jounal entries final'!$E:$E,'Last 12M'!F14,'Jounal entries final'!B:B,'Last 12M'!$E$2,'Jounal entries final'!C:C,'Last 12M'!$G$3)</f>
        <v>778137</v>
      </c>
      <c r="H14" s="124">
        <f>SUMIFS('Jounal entries final'!$H:$H,'Jounal entries final'!$E:$E,'Last 12M'!$F14,'Jounal entries final'!$B:$B,H$1,'Jounal entries final'!$C:$C,'Last 12M'!$G$3)</f>
        <v>783888</v>
      </c>
      <c r="I14" s="124">
        <f>SUMIFS('Jounal entries final'!$H:$H,'Jounal entries final'!$E:$E,'Last 12M'!$F14,'Jounal entries final'!$B:$B,I$1,'Jounal entries final'!$C:$C,'Last 12M'!$G$3)</f>
        <v>804347</v>
      </c>
      <c r="J14" s="124">
        <f>SUMIFS('Jounal entries final'!$H:$H,'Jounal entries final'!$E:$E,'Last 12M'!$F14,'Jounal entries final'!$B:$B,J$1,'Jounal entries final'!$C:$C,'Last 12M'!$G$3)</f>
        <v>797542</v>
      </c>
      <c r="K14" s="124">
        <f>SUMIFS('Jounal entries final'!$H:$H,'Jounal entries final'!$E:$E,'Last 12M'!$F14,'Jounal entries final'!$B:$B,K$1,'Jounal entries final'!$C:$C,'Last 12M'!$G$3)</f>
        <v>791922</v>
      </c>
      <c r="L14" s="124">
        <f>SUMIFS('Jounal entries final'!$H:$H,'Jounal entries final'!$E:$E,'Last 12M'!$F14,'Jounal entries final'!$B:$B,L$1,'Jounal entries final'!$C:$C,'Last 12M'!$G$3)</f>
        <v>781895</v>
      </c>
      <c r="M14" s="124">
        <f>SUMIFS('Jounal entries final'!$H:$H,'Jounal entries final'!$E:$E,'Last 12M'!$F14,'Jounal entries final'!$B:$B,M$1,'Jounal entries final'!$C:$C,'Last 12M'!$G$3)</f>
        <v>784848</v>
      </c>
      <c r="N14" s="124">
        <f>SUMIFS('Jounal entries final'!$H:$H,'Jounal entries final'!$E:$E,'Last 12M'!$F14,'Jounal entries final'!$B:$B,N$1,'Jounal entries final'!$C:$C,'Last 12M'!$G$3)</f>
        <v>804178</v>
      </c>
      <c r="O14" s="124">
        <f>SUMIFS('Jounal entries final'!$H:$H,'Jounal entries final'!$E:$E,'Last 12M'!$F14,'Jounal entries final'!$B:$B,O$1,'Jounal entries final'!$C:$C,'Last 12M'!$G$3)</f>
        <v>776615</v>
      </c>
      <c r="P14" s="124">
        <f>SUMIFS('Jounal entries final'!$H:$H,'Jounal entries final'!$E:$E,'Last 12M'!$F14,'Jounal entries final'!$B:$B,P$1,'Jounal entries final'!$C:$C,'Last 12M'!$G$3)</f>
        <v>789096</v>
      </c>
      <c r="Q14" s="124">
        <f>SUMIFS('Jounal entries final'!$H:$H,'Jounal entries final'!$E:$E,'Last 12M'!$F14,'Jounal entries final'!$B:$B,Q$1,'Jounal entries final'!$C:$C,'Last 12M'!$G$3)</f>
        <v>797691</v>
      </c>
      <c r="R14" s="124">
        <f>SUMIFS('Jounal entries final'!$H:$H,'Jounal entries final'!$E:$E,'Last 12M'!$F14,'Jounal entries final'!$B:$B,R$1,'Jounal entries final'!$C:$C,'Last 12M'!$G$3)</f>
        <v>804188</v>
      </c>
    </row>
    <row r="15" spans="2:19" ht="19">
      <c r="B15" s="116" t="s">
        <v>167</v>
      </c>
      <c r="F15" s="119" t="s">
        <v>155</v>
      </c>
      <c r="G15" s="124">
        <f>+SUMIFS('Jounal entries final'!$H:$H,'Jounal entries final'!$E:$E,'Last 12M'!F15,'Jounal entries final'!B:B,'Last 12M'!$E$2,'Jounal entries final'!C:C,'Last 12M'!$G$3)</f>
        <v>795212</v>
      </c>
      <c r="H15" s="124">
        <f>SUMIFS('Jounal entries final'!$H:$H,'Jounal entries final'!$E:$E,'Last 12M'!$F15,'Jounal entries final'!$B:$B,H$1,'Jounal entries final'!$C:$C,'Last 12M'!$G$3)</f>
        <v>790258</v>
      </c>
      <c r="I15" s="124">
        <f>SUMIFS('Jounal entries final'!$H:$H,'Jounal entries final'!$E:$E,'Last 12M'!$F15,'Jounal entries final'!$B:$B,I$1,'Jounal entries final'!$C:$C,'Last 12M'!$G$3)</f>
        <v>802157</v>
      </c>
      <c r="J15" s="124">
        <f>SUMIFS('Jounal entries final'!$H:$H,'Jounal entries final'!$E:$E,'Last 12M'!$F15,'Jounal entries final'!$B:$B,J$1,'Jounal entries final'!$C:$C,'Last 12M'!$G$3)</f>
        <v>794483</v>
      </c>
      <c r="K15" s="124">
        <f>SUMIFS('Jounal entries final'!$H:$H,'Jounal entries final'!$E:$E,'Last 12M'!$F15,'Jounal entries final'!$B:$B,K$1,'Jounal entries final'!$C:$C,'Last 12M'!$G$3)</f>
        <v>784197</v>
      </c>
      <c r="L15" s="124">
        <f>SUMIFS('Jounal entries final'!$H:$H,'Jounal entries final'!$E:$E,'Last 12M'!$F15,'Jounal entries final'!$B:$B,L$1,'Jounal entries final'!$C:$C,'Last 12M'!$G$3)</f>
        <v>794583</v>
      </c>
      <c r="M15" s="124">
        <f>SUMIFS('Jounal entries final'!$H:$H,'Jounal entries final'!$E:$E,'Last 12M'!$F15,'Jounal entries final'!$B:$B,M$1,'Jounal entries final'!$C:$C,'Last 12M'!$G$3)</f>
        <v>796511</v>
      </c>
      <c r="N15" s="124">
        <f>SUMIFS('Jounal entries final'!$H:$H,'Jounal entries final'!$E:$E,'Last 12M'!$F15,'Jounal entries final'!$B:$B,N$1,'Jounal entries final'!$C:$C,'Last 12M'!$G$3)</f>
        <v>803857</v>
      </c>
      <c r="O15" s="124">
        <f>SUMIFS('Jounal entries final'!$H:$H,'Jounal entries final'!$E:$E,'Last 12M'!$F15,'Jounal entries final'!$B:$B,O$1,'Jounal entries final'!$C:$C,'Last 12M'!$G$3)</f>
        <v>789374</v>
      </c>
      <c r="P15" s="124">
        <f>SUMIFS('Jounal entries final'!$H:$H,'Jounal entries final'!$E:$E,'Last 12M'!$F15,'Jounal entries final'!$B:$B,P$1,'Jounal entries final'!$C:$C,'Last 12M'!$G$3)</f>
        <v>796762</v>
      </c>
      <c r="Q15" s="124">
        <f>SUMIFS('Jounal entries final'!$H:$H,'Jounal entries final'!$E:$E,'Last 12M'!$F15,'Jounal entries final'!$B:$B,Q$1,'Jounal entries final'!$C:$C,'Last 12M'!$G$3)</f>
        <v>793038</v>
      </c>
      <c r="R15" s="124">
        <f>SUMIFS('Jounal entries final'!$H:$H,'Jounal entries final'!$E:$E,'Last 12M'!$F15,'Jounal entries final'!$B:$B,R$1,'Jounal entries final'!$C:$C,'Last 12M'!$G$3)</f>
        <v>796575</v>
      </c>
    </row>
    <row r="16" spans="2:19">
      <c r="F16" s="119"/>
      <c r="G16" s="124"/>
    </row>
    <row r="17" spans="2:18" ht="19">
      <c r="B17" s="116" t="s">
        <v>173</v>
      </c>
      <c r="F17" s="126" t="s">
        <v>182</v>
      </c>
      <c r="G17" s="127">
        <f>+G11-SUM(G13:G15)</f>
        <v>618369.96999999695</v>
      </c>
      <c r="H17" s="127">
        <f t="shared" ref="H17:R17" si="2">+H11-SUM(H13:H15)</f>
        <v>1190105.9219999984</v>
      </c>
      <c r="I17" s="127">
        <f t="shared" si="2"/>
        <v>-225598.23199999891</v>
      </c>
      <c r="J17" s="127">
        <f t="shared" si="2"/>
        <v>255752.71399999969</v>
      </c>
      <c r="K17" s="127">
        <f t="shared" si="2"/>
        <v>-81353.686000000685</v>
      </c>
      <c r="L17" s="127">
        <f t="shared" si="2"/>
        <v>2199346.574000001</v>
      </c>
      <c r="M17" s="127">
        <f t="shared" si="2"/>
        <v>759393.00200000219</v>
      </c>
      <c r="N17" s="127">
        <f t="shared" si="2"/>
        <v>-515730.86199999973</v>
      </c>
      <c r="O17" s="127">
        <f t="shared" si="2"/>
        <v>796945.28200000059</v>
      </c>
      <c r="P17" s="127">
        <f t="shared" si="2"/>
        <v>338850.67200000025</v>
      </c>
      <c r="Q17" s="127">
        <f t="shared" si="2"/>
        <v>99690.847999997437</v>
      </c>
      <c r="R17" s="127">
        <f t="shared" si="2"/>
        <v>397801.73000000603</v>
      </c>
    </row>
    <row r="18" spans="2:18">
      <c r="F18" s="119"/>
      <c r="G18" s="124"/>
    </row>
    <row r="19" spans="2:18" ht="19">
      <c r="B19" s="116" t="s">
        <v>169</v>
      </c>
      <c r="F19" s="119" t="s">
        <v>158</v>
      </c>
      <c r="G19" s="124">
        <f>-SUMIFS('Jounal entries final'!$H:$H,'Jounal entries final'!$E:$E,'Last 12M'!F19,'Jounal entries final'!B:B,'Last 12M'!$E$2,'Jounal entries final'!C:C,'Last 12M'!$G$3)</f>
        <v>1222608</v>
      </c>
      <c r="H19" s="124">
        <f>-SUMIFS('Jounal entries final'!$H:$H,'Jounal entries final'!$E:$E,'Last 12M'!$F19,'Jounal entries final'!$B:$B,H$1,'Jounal entries final'!$C:$C,'Last 12M'!$G$3)</f>
        <v>1229651</v>
      </c>
      <c r="I19" s="124">
        <f>-SUMIFS('Jounal entries final'!$H:$H,'Jounal entries final'!$E:$E,'Last 12M'!$F19,'Jounal entries final'!$B:$B,I$1,'Jounal entries final'!$C:$C,'Last 12M'!$G$3)</f>
        <v>1211408</v>
      </c>
      <c r="J19" s="124">
        <f>-SUMIFS('Jounal entries final'!$H:$H,'Jounal entries final'!$E:$E,'Last 12M'!$F19,'Jounal entries final'!$B:$B,J$1,'Jounal entries final'!$C:$C,'Last 12M'!$G$3)</f>
        <v>1214453</v>
      </c>
      <c r="K19" s="124">
        <f>-SUMIFS('Jounal entries final'!$H:$H,'Jounal entries final'!$E:$E,'Last 12M'!$F19,'Jounal entries final'!$B:$B,K$1,'Jounal entries final'!$C:$C,'Last 12M'!$G$3)</f>
        <v>1201645</v>
      </c>
      <c r="L19" s="124">
        <f>-SUMIFS('Jounal entries final'!$H:$H,'Jounal entries final'!$E:$E,'Last 12M'!$F19,'Jounal entries final'!$B:$B,L$1,'Jounal entries final'!$C:$C,'Last 12M'!$G$3)</f>
        <v>1212469</v>
      </c>
      <c r="M19" s="124">
        <f>-SUMIFS('Jounal entries final'!$H:$H,'Jounal entries final'!$E:$E,'Last 12M'!$F19,'Jounal entries final'!$B:$B,M$1,'Jounal entries final'!$C:$C,'Last 12M'!$G$3)</f>
        <v>1218014</v>
      </c>
      <c r="N19" s="124">
        <f>-SUMIFS('Jounal entries final'!$H:$H,'Jounal entries final'!$E:$E,'Last 12M'!$F19,'Jounal entries final'!$B:$B,N$1,'Jounal entries final'!$C:$C,'Last 12M'!$G$3)</f>
        <v>1214125</v>
      </c>
      <c r="O19" s="124">
        <f>-SUMIFS('Jounal entries final'!$H:$H,'Jounal entries final'!$E:$E,'Last 12M'!$F19,'Jounal entries final'!$B:$B,O$1,'Jounal entries final'!$C:$C,'Last 12M'!$G$3)</f>
        <v>1232767</v>
      </c>
      <c r="P19" s="124">
        <f>-SUMIFS('Jounal entries final'!$H:$H,'Jounal entries final'!$E:$E,'Last 12M'!$F19,'Jounal entries final'!$B:$B,P$1,'Jounal entries final'!$C:$C,'Last 12M'!$G$3)</f>
        <v>1205676</v>
      </c>
      <c r="Q19" s="124">
        <f>-SUMIFS('Jounal entries final'!$H:$H,'Jounal entries final'!$E:$E,'Last 12M'!$F19,'Jounal entries final'!$B:$B,Q$1,'Jounal entries final'!$C:$C,'Last 12M'!$G$3)</f>
        <v>1225635</v>
      </c>
      <c r="R19" s="124">
        <f>-SUMIFS('Jounal entries final'!$H:$H,'Jounal entries final'!$E:$E,'Last 12M'!$F19,'Jounal entries final'!$B:$B,R$1,'Jounal entries final'!$C:$C,'Last 12M'!$G$3)</f>
        <v>1201981</v>
      </c>
    </row>
    <row r="20" spans="2:18">
      <c r="F20" s="119" t="s">
        <v>159</v>
      </c>
      <c r="G20" s="124">
        <f>+SUMIFS('Jounal entries final'!$H:$H,'Jounal entries final'!$E:$E,'Last 12M'!F20,'Jounal entries final'!B:B,'Last 12M'!$E$2,'Jounal entries final'!C:C,'Last 12M'!$G$3)</f>
        <v>1223814</v>
      </c>
      <c r="H20" s="124">
        <f>SUMIFS('Jounal entries final'!$H:$H,'Jounal entries final'!$E:$E,'Last 12M'!$F20,'Jounal entries final'!$B:$B,H$1,'Jounal entries final'!$C:$C,'Last 12M'!$G$3)</f>
        <v>1206806</v>
      </c>
      <c r="I20" s="124">
        <f>SUMIFS('Jounal entries final'!$H:$H,'Jounal entries final'!$E:$E,'Last 12M'!$F20,'Jounal entries final'!$B:$B,I$1,'Jounal entries final'!$C:$C,'Last 12M'!$G$3)</f>
        <v>1206834</v>
      </c>
      <c r="J20" s="124">
        <f>SUMIFS('Jounal entries final'!$H:$H,'Jounal entries final'!$E:$E,'Last 12M'!$F20,'Jounal entries final'!$B:$B,J$1,'Jounal entries final'!$C:$C,'Last 12M'!$G$3)</f>
        <v>1204994</v>
      </c>
      <c r="K20" s="124">
        <f>SUMIFS('Jounal entries final'!$H:$H,'Jounal entries final'!$E:$E,'Last 12M'!$F20,'Jounal entries final'!$B:$B,K$1,'Jounal entries final'!$C:$C,'Last 12M'!$G$3)</f>
        <v>1229227</v>
      </c>
      <c r="L20" s="124">
        <f>SUMIFS('Jounal entries final'!$H:$H,'Jounal entries final'!$E:$E,'Last 12M'!$F20,'Jounal entries final'!$B:$B,L$1,'Jounal entries final'!$C:$C,'Last 12M'!$G$3)</f>
        <v>1223784</v>
      </c>
      <c r="M20" s="124">
        <f>SUMIFS('Jounal entries final'!$H:$H,'Jounal entries final'!$E:$E,'Last 12M'!$F20,'Jounal entries final'!$B:$B,M$1,'Jounal entries final'!$C:$C,'Last 12M'!$G$3)</f>
        <v>1209257</v>
      </c>
      <c r="N20" s="124">
        <f>SUMIFS('Jounal entries final'!$H:$H,'Jounal entries final'!$E:$E,'Last 12M'!$F20,'Jounal entries final'!$B:$B,N$1,'Jounal entries final'!$C:$C,'Last 12M'!$G$3)</f>
        <v>1200455</v>
      </c>
      <c r="O20" s="124">
        <f>SUMIFS('Jounal entries final'!$H:$H,'Jounal entries final'!$E:$E,'Last 12M'!$F20,'Jounal entries final'!$B:$B,O$1,'Jounal entries final'!$C:$C,'Last 12M'!$G$3)</f>
        <v>1223081</v>
      </c>
      <c r="P20" s="124">
        <f>SUMIFS('Jounal entries final'!$H:$H,'Jounal entries final'!$E:$E,'Last 12M'!$F20,'Jounal entries final'!$B:$B,P$1,'Jounal entries final'!$C:$C,'Last 12M'!$G$3)</f>
        <v>1216045</v>
      </c>
      <c r="Q20" s="124">
        <f>SUMIFS('Jounal entries final'!$H:$H,'Jounal entries final'!$E:$E,'Last 12M'!$F20,'Jounal entries final'!$B:$B,Q$1,'Jounal entries final'!$C:$C,'Last 12M'!$G$3)</f>
        <v>1232187</v>
      </c>
      <c r="R20" s="124">
        <f>SUMIFS('Jounal entries final'!$H:$H,'Jounal entries final'!$E:$E,'Last 12M'!$F20,'Jounal entries final'!$B:$B,R$1,'Jounal entries final'!$C:$C,'Last 12M'!$G$3)</f>
        <v>1204389</v>
      </c>
    </row>
    <row r="21" spans="2:18" ht="19">
      <c r="B21" s="116" t="s">
        <v>170</v>
      </c>
      <c r="F21" s="119"/>
      <c r="G21" s="124"/>
    </row>
    <row r="22" spans="2:18">
      <c r="F22" s="126" t="s">
        <v>183</v>
      </c>
      <c r="G22" s="128">
        <f>+G17+G19-G20</f>
        <v>617163.96999999695</v>
      </c>
      <c r="H22" s="128">
        <f t="shared" ref="H22:R22" si="3">+H17+H19-H20</f>
        <v>1212950.9219999984</v>
      </c>
      <c r="I22" s="128">
        <f t="shared" si="3"/>
        <v>-221024.23199999891</v>
      </c>
      <c r="J22" s="128">
        <f t="shared" si="3"/>
        <v>265211.71399999969</v>
      </c>
      <c r="K22" s="128">
        <f t="shared" si="3"/>
        <v>-108935.68600000069</v>
      </c>
      <c r="L22" s="128">
        <f t="shared" si="3"/>
        <v>2188031.574000001</v>
      </c>
      <c r="M22" s="128">
        <f t="shared" si="3"/>
        <v>768150.00200000219</v>
      </c>
      <c r="N22" s="128">
        <f t="shared" si="3"/>
        <v>-502060.86199999973</v>
      </c>
      <c r="O22" s="128">
        <f t="shared" si="3"/>
        <v>806631.28200000059</v>
      </c>
      <c r="P22" s="128">
        <f t="shared" si="3"/>
        <v>328481.67200000025</v>
      </c>
      <c r="Q22" s="128">
        <f t="shared" si="3"/>
        <v>93138.847999997437</v>
      </c>
      <c r="R22" s="128">
        <f t="shared" si="3"/>
        <v>395393.73000000603</v>
      </c>
    </row>
    <row r="23" spans="2:18" ht="19">
      <c r="B23" s="116" t="s">
        <v>171</v>
      </c>
    </row>
    <row r="25" spans="2:18" ht="19">
      <c r="B25" s="116" t="s">
        <v>172</v>
      </c>
    </row>
    <row r="26" spans="2:18" ht="5.5" customHeight="1"/>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D8D56-5AC5-4AD2-B919-A62A9CED3814}">
  <sheetPr codeName="Sheet211">
    <tabColor rgb="FFFFC000"/>
  </sheetPr>
  <dimension ref="A2:N28"/>
  <sheetViews>
    <sheetView topLeftCell="B1" zoomScale="80" zoomScaleNormal="80" workbookViewId="0">
      <selection activeCell="G29" sqref="G29"/>
    </sheetView>
  </sheetViews>
  <sheetFormatPr baseColWidth="10" defaultColWidth="8.83203125" defaultRowHeight="15"/>
  <cols>
    <col min="1" max="1" width="2.1640625" style="115" customWidth="1"/>
    <col min="2" max="2" width="33.1640625" style="115" customWidth="1"/>
    <col min="3" max="3" width="2.83203125" style="115" customWidth="1"/>
    <col min="4" max="4" width="2.83203125" style="114" customWidth="1"/>
    <col min="5" max="5" width="3.1640625" style="114" hidden="1" customWidth="1"/>
    <col min="6" max="6" width="49.83203125" style="118" customWidth="1"/>
    <col min="7" max="7" width="18.83203125" style="114" bestFit="1" customWidth="1"/>
    <col min="8" max="8" width="13.83203125" style="114" bestFit="1" customWidth="1"/>
    <col min="9" max="9" width="11" style="114" customWidth="1"/>
    <col min="10" max="10" width="17.5" style="114" bestFit="1" customWidth="1"/>
    <col min="11" max="11" width="8.83203125" style="114"/>
    <col min="12" max="12" width="30.83203125" style="114" bestFit="1" customWidth="1"/>
    <col min="13" max="13" width="10.83203125" style="114" bestFit="1" customWidth="1"/>
    <col min="14" max="16384" width="8.83203125" style="114"/>
  </cols>
  <sheetData>
    <row r="2" spans="2:14">
      <c r="E2" s="114">
        <f>+VLOOKUP(G2,Reference!$A$2:$B$13,2,0)</f>
        <v>2</v>
      </c>
      <c r="F2" s="130" t="s">
        <v>174</v>
      </c>
      <c r="G2" s="131" t="s">
        <v>18</v>
      </c>
    </row>
    <row r="3" spans="2:14">
      <c r="F3" s="130" t="s">
        <v>175</v>
      </c>
      <c r="G3" s="132">
        <v>2022</v>
      </c>
    </row>
    <row r="6" spans="2:14" ht="29">
      <c r="F6" s="120" t="s">
        <v>186</v>
      </c>
      <c r="G6" s="121" t="s">
        <v>177</v>
      </c>
      <c r="H6" s="121" t="s">
        <v>178</v>
      </c>
      <c r="I6" s="121" t="s">
        <v>179</v>
      </c>
      <c r="J6" s="121" t="s">
        <v>180</v>
      </c>
      <c r="K6" s="121" t="s">
        <v>179</v>
      </c>
      <c r="L6" s="121"/>
      <c r="M6" s="121"/>
      <c r="N6" s="121"/>
    </row>
    <row r="7" spans="2:14" ht="17" customHeight="1">
      <c r="B7" s="116" t="s">
        <v>163</v>
      </c>
    </row>
    <row r="8" spans="2:14">
      <c r="F8" s="114" t="s">
        <v>150</v>
      </c>
      <c r="G8" s="124">
        <f>SUMIFS('Jounal entries final'!$H:$H,'Jounal entries final'!$E:$E,F8,'Jounal entries final'!$B:$B,'Financial statement 1 P&amp;L'!$E$2,'Jounal entries final'!$C:$C,'Financial statement 1 P&amp;L'!$G$3)</f>
        <v>5825205.9000000004</v>
      </c>
      <c r="H8" s="123"/>
      <c r="J8" s="124">
        <f>SUMIFS('Jounal entries final'!$H:$H,'Jounal entries final'!$E:$E,F8,'Jounal entries final'!$B:$B,'Financial statement 1 P&amp;L'!$E$2-1,'Jounal entries final'!$C:$C,'Financial statement 1 P&amp;L'!$G$3)</f>
        <v>7214915.9019999998</v>
      </c>
    </row>
    <row r="9" spans="2:14" ht="17" customHeight="1">
      <c r="B9" s="116" t="s">
        <v>164</v>
      </c>
      <c r="F9" s="114" t="s">
        <v>67</v>
      </c>
      <c r="G9" s="124">
        <f>SUMIFS('Jounal entries final'!$H:$H,'Jounal entries final'!$E:$E,F9,'Jounal entries final'!B:B,'Financial statement 1 P&amp;L'!$E$2,'Jounal entries final'!C:C,'Financial statement 1 P&amp;L'!$G$3)</f>
        <v>2687528.7600000016</v>
      </c>
      <c r="H9" s="122"/>
      <c r="J9" s="124">
        <f>SUMIFS('Jounal entries final'!$H:$H,'Jounal entries final'!$E:$E,F9,'Jounal entries final'!$B:$B,'Financial statement 1 P&amp;L'!$E$2-1,'Jounal entries final'!$C:$C,'Financial statement 1 P&amp;L'!$G$3)</f>
        <v>965431.99000000011</v>
      </c>
    </row>
    <row r="10" spans="2:14">
      <c r="F10" s="114" t="s">
        <v>97</v>
      </c>
      <c r="G10" s="124">
        <f>SUMIFS('Jounal entries final'!$H:$H,'Jounal entries final'!$E:$E,F10,'Jounal entries final'!B:B,'Financial statement 1 P&amp;L'!$E$2,'Jounal entries final'!C:C,'Financial statement 1 P&amp;L'!$G$3)</f>
        <v>34858942</v>
      </c>
      <c r="H10" s="119"/>
      <c r="I10" s="119"/>
      <c r="J10" s="124">
        <f>SUMIFS('Jounal entries final'!$H:$H,'Jounal entries final'!$E:$E,F10,'Jounal entries final'!$B:$B,'Financial statement 1 P&amp;L'!$E$2-1,'Jounal entries final'!$C:$C,'Financial statement 1 P&amp;L'!$G$3)</f>
        <v>27871048</v>
      </c>
    </row>
    <row r="11" spans="2:14" ht="19">
      <c r="B11" s="116" t="s">
        <v>166</v>
      </c>
      <c r="F11" s="114" t="s">
        <v>189</v>
      </c>
      <c r="G11" s="124">
        <f>SUMIFS('Jounal entries final'!$H:$H,'Jounal entries final'!$E:$E,F11,'Jounal entries final'!B:B,'Financial statement 1 P&amp;L'!$E$2,'Jounal entries final'!C:C,'Financial statement 1 P&amp;L'!$G$3)</f>
        <v>45000000</v>
      </c>
      <c r="J11" s="124">
        <f>SUMIFS('Jounal entries final'!$H:$H,'Jounal entries final'!$E:$E,F11,'Jounal entries final'!$B:$B,'Financial statement 1 P&amp;L'!$E$2-1,'Jounal entries final'!$C:$C,'Financial statement 1 P&amp;L'!$G$3)</f>
        <v>45000000</v>
      </c>
    </row>
    <row r="12" spans="2:14">
      <c r="F12" s="114" t="s">
        <v>190</v>
      </c>
      <c r="G12" s="124">
        <f>SUMIFS('Jounal entries final'!$H:$H,'Jounal entries final'!$E:$E,F12,'Jounal entries final'!B:B,'Financial statement 1 P&amp;L'!$E$2,'Jounal entries final'!C:C,'Financial statement 1 P&amp;L'!$G$3)</f>
        <v>9045000</v>
      </c>
      <c r="J12" s="124">
        <f>SUMIFS('Jounal entries final'!$H:$H,'Jounal entries final'!$E:$E,F12,'Jounal entries final'!$B:$B,'Financial statement 1 P&amp;L'!$E$2-1,'Jounal entries final'!$C:$C,'Financial statement 1 P&amp;L'!$G$3)</f>
        <v>9045000</v>
      </c>
    </row>
    <row r="13" spans="2:14" ht="19">
      <c r="B13" s="116" t="s">
        <v>168</v>
      </c>
      <c r="F13" s="130" t="s">
        <v>194</v>
      </c>
      <c r="G13" s="124">
        <f>SUM(G8:G12)</f>
        <v>97416676.659999996</v>
      </c>
      <c r="J13" s="124">
        <f>SUM(J8:J12)</f>
        <v>90096395.89199999</v>
      </c>
    </row>
    <row r="14" spans="2:14">
      <c r="G14" s="134"/>
      <c r="J14" s="134"/>
    </row>
    <row r="15" spans="2:14" ht="19">
      <c r="B15" s="116" t="s">
        <v>167</v>
      </c>
      <c r="F15" s="114"/>
      <c r="G15" s="124"/>
    </row>
    <row r="16" spans="2:14">
      <c r="F16" s="114" t="s">
        <v>68</v>
      </c>
      <c r="G16" s="124">
        <f>-SUMIFS('Jounal entries final'!$H:$H,'Jounal entries final'!$E:$E,F16,'Jounal entries final'!B:B,'Financial statement 1 P&amp;L'!$E$2,'Jounal entries final'!C:C,'Financial statement 1 P&amp;L'!$G$3)</f>
        <v>31818810</v>
      </c>
      <c r="H16" s="119"/>
      <c r="I16" s="119"/>
      <c r="J16" s="124">
        <f>-SUMIFS('Jounal entries final'!$H:$H,'Jounal entries final'!$E:$E,F16,'Jounal entries final'!$B:$B,'Financial statement 1 P&amp;L'!$E$2-1,'Jounal entries final'!$C:$C,'Financial statement 1 P&amp;L'!$G$3)</f>
        <v>29646200</v>
      </c>
    </row>
    <row r="17" spans="2:10" ht="19">
      <c r="B17" s="116" t="s">
        <v>173</v>
      </c>
      <c r="F17" s="114" t="s">
        <v>192</v>
      </c>
      <c r="G17" s="124">
        <f>-SUMIFS('Jounal entries final'!$H:$H,'Jounal entries final'!$E:$E,F17,'Jounal entries final'!B:B,'Financial statement 1 P&amp;L'!$E$2,'Jounal entries final'!C:C,'Financial statement 1 P&amp;L'!$G$3)</f>
        <v>10500000</v>
      </c>
      <c r="J17" s="124">
        <f>-SUMIFS('Jounal entries final'!$H:$H,'Jounal entries final'!$E:$E,F17,'Jounal entries final'!$B:$B,'Financial statement 1 P&amp;L'!$E$2-1,'Jounal entries final'!$C:$C,'Financial statement 1 P&amp;L'!$G$3)</f>
        <v>10500000</v>
      </c>
    </row>
    <row r="18" spans="2:10">
      <c r="F18" s="130" t="s">
        <v>184</v>
      </c>
      <c r="G18" s="124">
        <f>G16+G17</f>
        <v>42318810</v>
      </c>
      <c r="J18" s="124">
        <f>J16+J17</f>
        <v>40146200</v>
      </c>
    </row>
    <row r="19" spans="2:10" ht="19">
      <c r="B19" s="116" t="s">
        <v>169</v>
      </c>
      <c r="J19" s="124"/>
    </row>
    <row r="20" spans="2:10">
      <c r="F20" s="114" t="s">
        <v>156</v>
      </c>
      <c r="G20" s="124">
        <f>-SUMIFS('Jounal entries final'!$H:$H,'Jounal entries final'!$E:$E,F20,'Jounal entries final'!B:B,'Financial statement 1 P&amp;L'!$E$2,'Jounal entries final'!C:C,'Financial statement 1 P&amp;L'!$G$3)</f>
        <v>50000000</v>
      </c>
      <c r="J20" s="124">
        <f>-SUMIFS('Jounal entries final'!$H:$H,'Jounal entries final'!$E:$E,F20,'Jounal entries final'!$B:$B,'Financial statement 1 P&amp;L'!$E$2-1,'Jounal entries final'!$C:$C,'Financial statement 1 P&amp;L'!$G$3)</f>
        <v>50000000</v>
      </c>
    </row>
    <row r="21" spans="2:10" ht="19">
      <c r="B21" s="116" t="s">
        <v>170</v>
      </c>
      <c r="F21" s="114" t="s">
        <v>185</v>
      </c>
      <c r="G21" s="124">
        <f>-SUMIFS('Jounal entries final'!$H:$H,'Jounal entries final'!$E:$E,F21,'Jounal entries final'!B:B,'Financial statement 1 P&amp;L'!$E$2,'Jounal entries final'!C:C,'Financial statement 1 P&amp;L'!$G$3)</f>
        <v>0</v>
      </c>
      <c r="J21" s="124">
        <f>-SUMIFS('Jounal entries final'!$H:$H,'Jounal entries final'!$E:$E,F21,'Jounal entries final'!$B:$B,'Financial statement 1 P&amp;L'!$E$2-1,'Jounal entries final'!$C:$C,'Financial statement 1 P&amp;L'!$G$3)</f>
        <v>0</v>
      </c>
    </row>
    <row r="22" spans="2:10" ht="19">
      <c r="B22" s="117"/>
      <c r="F22" s="114" t="s">
        <v>222</v>
      </c>
      <c r="G22" s="124">
        <f>'Financial statement 1 P&amp;L'!G22</f>
        <v>-221024.23199999891</v>
      </c>
      <c r="H22" s="119"/>
      <c r="I22" s="119"/>
      <c r="J22" s="124">
        <f>'Financial statement 1 P&amp;L'!J22</f>
        <v>1212950.9219999984</v>
      </c>
    </row>
    <row r="23" spans="2:10">
      <c r="F23" s="130" t="s">
        <v>195</v>
      </c>
      <c r="G23" s="124">
        <f>SUM(G20:G22)</f>
        <v>49778975.767999999</v>
      </c>
      <c r="J23" s="124">
        <f>SUM(J20:J22)</f>
        <v>51212950.921999998</v>
      </c>
    </row>
    <row r="24" spans="2:10" ht="19">
      <c r="B24" s="116" t="s">
        <v>171</v>
      </c>
    </row>
    <row r="25" spans="2:10">
      <c r="F25" s="118" t="s">
        <v>229</v>
      </c>
      <c r="G25" s="124">
        <f>-SUMIFS('Jounal entries final'!$H:$H,'Jounal entries final'!$E:$E,F25,'Jounal entries final'!B:B,'Financial statement 1 P&amp;L'!$E$2,'Jounal entries final'!C:C,'Financial statement 1 P&amp;L'!$G$3)</f>
        <v>-30732505</v>
      </c>
      <c r="J25" s="124">
        <f>-SUMIFS('Jounal entries final'!$H:$H,'Jounal entries final'!$E:$E,F25,'Jounal entries final'!$B:$B,'Financial statement 1 P&amp;L'!$E$2-1,'Jounal entries final'!$C:$C,'Financial statement 1 P&amp;L'!$G$3)</f>
        <v>-21833695</v>
      </c>
    </row>
    <row r="26" spans="2:10" ht="19">
      <c r="B26" s="116" t="s">
        <v>172</v>
      </c>
      <c r="F26" s="118" t="s">
        <v>230</v>
      </c>
      <c r="G26" s="124">
        <f>-SUMIFS('Jounal entries final'!$H:$H,'Jounal entries final'!$E:$E,F26,'Jounal entries final'!B:B,'Financial statement 1 P&amp;L'!$E$2,'Jounal entries final'!C:C,'Financial statement 1 P&amp;L'!$G$3)</f>
        <v>27871048</v>
      </c>
      <c r="J26" s="124">
        <f>-SUMIFS('Jounal entries final'!$H:$H,'Jounal entries final'!$E:$E,F26,'Jounal entries final'!$B:$B,'Financial statement 1 P&amp;L'!$E$2-1,'Jounal entries final'!$C:$C,'Financial statement 1 P&amp;L'!$G$3)</f>
        <v>15745707</v>
      </c>
    </row>
    <row r="27" spans="2:10">
      <c r="F27" s="118" t="s">
        <v>236</v>
      </c>
      <c r="G27" s="124">
        <f>-SUMIFS('Jounal entries final'!$H:$H,'Jounal entries final'!$E:$E,F27,'Jounal entries final'!$B:$B,'Financial statement 1 P&amp;L'!$E$2,'Jounal entries final'!$C:$C,'Financial statement 1 P&amp;L'!$G$3)</f>
        <v>965431.98999999987</v>
      </c>
      <c r="J27" s="124">
        <f>-SUMIFS('Jounal entries final'!$H:$H,'Jounal entries final'!$E:$E,F27,'Jounal entries final'!$B:$B,'Financial statement 1 P&amp;L'!$E$2-1,'Jounal entries final'!$C:$C,'Financial statement 1 P&amp;L'!$G$3)</f>
        <v>1217348.9699999997</v>
      </c>
    </row>
    <row r="28" spans="2:10">
      <c r="F28" s="118" t="s">
        <v>196</v>
      </c>
      <c r="G28" s="134">
        <f>G13-G18-G23-G25-G26-G27</f>
        <v>7214915.901999997</v>
      </c>
      <c r="H28" s="134"/>
      <c r="I28" s="134"/>
      <c r="J28" s="134">
        <f>J13-J18-J23-J25-J26-J27</f>
        <v>3607883.9999999916</v>
      </c>
    </row>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C8CB1-31FD-4D70-A2C5-49EA864E72AC}">
  <sheetPr codeName="Sheet201"/>
  <dimension ref="A1:O34"/>
  <sheetViews>
    <sheetView zoomScale="80" zoomScaleNormal="80" workbookViewId="0">
      <selection activeCell="G3" sqref="G3"/>
    </sheetView>
  </sheetViews>
  <sheetFormatPr baseColWidth="10" defaultColWidth="8.83203125" defaultRowHeight="15"/>
  <cols>
    <col min="1" max="1" width="2.1640625" style="115" customWidth="1"/>
    <col min="2" max="2" width="33.1640625" style="115" customWidth="1"/>
    <col min="3" max="3" width="2.83203125" style="115" customWidth="1"/>
    <col min="4" max="4" width="2.83203125" style="114" customWidth="1"/>
    <col min="5" max="5" width="3.1640625" style="114" hidden="1" customWidth="1"/>
    <col min="6" max="6" width="44.83203125" style="118" bestFit="1" customWidth="1"/>
    <col min="7" max="7" width="19.1640625" style="114" customWidth="1"/>
    <col min="8" max="8" width="60.5" style="114" customWidth="1"/>
    <col min="9" max="9" width="19" style="114" bestFit="1" customWidth="1"/>
    <col min="10" max="10" width="16.83203125" style="114" bestFit="1" customWidth="1"/>
    <col min="11" max="11" width="16.1640625" style="114" bestFit="1" customWidth="1"/>
    <col min="12" max="12" width="8.83203125" style="114" customWidth="1"/>
    <col min="13" max="13" width="21.1640625" style="114" bestFit="1" customWidth="1"/>
    <col min="14" max="14" width="21" style="114" customWidth="1"/>
    <col min="15" max="16384" width="8.83203125" style="114"/>
  </cols>
  <sheetData>
    <row r="1" spans="2:15">
      <c r="G1" s="147" t="s">
        <v>200</v>
      </c>
      <c r="H1" s="147" t="s">
        <v>201</v>
      </c>
      <c r="I1" s="147" t="s">
        <v>202</v>
      </c>
      <c r="J1" s="147"/>
    </row>
    <row r="2" spans="2:15">
      <c r="E2" s="114">
        <f>+VLOOKUP(G2,Reference!$A$2:$B$13,2,0)</f>
        <v>3</v>
      </c>
      <c r="F2" s="130" t="s">
        <v>174</v>
      </c>
      <c r="G2" s="131" t="s">
        <v>19</v>
      </c>
    </row>
    <row r="3" spans="2:15">
      <c r="F3" s="130" t="s">
        <v>175</v>
      </c>
      <c r="G3" s="132">
        <v>2022</v>
      </c>
    </row>
    <row r="6" spans="2:15" ht="29">
      <c r="F6" s="120" t="s">
        <v>176</v>
      </c>
      <c r="G6" s="121" t="s">
        <v>177</v>
      </c>
      <c r="H6" s="121" t="s">
        <v>247</v>
      </c>
      <c r="I6" s="121" t="s">
        <v>246</v>
      </c>
      <c r="J6" s="121" t="s">
        <v>180</v>
      </c>
      <c r="K6" s="121" t="s">
        <v>179</v>
      </c>
      <c r="L6" s="121" t="s">
        <v>179</v>
      </c>
      <c r="N6" s="114" t="s">
        <v>242</v>
      </c>
    </row>
    <row r="7" spans="2:15" ht="17" customHeight="1">
      <c r="B7" s="116" t="s">
        <v>163</v>
      </c>
    </row>
    <row r="8" spans="2:15" ht="19.75" customHeight="1">
      <c r="F8" s="119" t="s">
        <v>98</v>
      </c>
      <c r="G8" s="124">
        <f>-SUMIFS('Jounal entries final'!$H:$H,'Jounal entries final'!$E:$E,'Financial statement 1 P&amp;L'!F8,'Jounal entries final'!B:B,'Financial statement 1 P&amp;L'!$E$2,'Jounal entries final'!C:C,'Financial statement 1 P&amp;L'!$G$3)</f>
        <v>10796660</v>
      </c>
      <c r="H8" s="229" t="s">
        <v>261</v>
      </c>
      <c r="J8" s="124">
        <f>-SUMIFS('Jounal entries final'!$H:$H,'Jounal entries final'!$E:$E,'Financial statement 1 P&amp;L'!F8,'Jounal entries final'!$B:$B,'Financial statement 1 P&amp;L'!$E$2-1,'Jounal entries final'!$C:$C,'Financial statement 1 P&amp;L'!$G$3)</f>
        <v>12726467</v>
      </c>
      <c r="K8" s="134">
        <f>+G8-J8</f>
        <v>-1929807</v>
      </c>
      <c r="L8" s="135">
        <f>K8/J8</f>
        <v>-0.15163729258088673</v>
      </c>
      <c r="N8" t="s">
        <v>243</v>
      </c>
    </row>
    <row r="9" spans="2:15" ht="17" customHeight="1">
      <c r="B9" s="143" t="s">
        <v>164</v>
      </c>
      <c r="F9" s="119" t="s">
        <v>143</v>
      </c>
      <c r="G9" s="124">
        <f>+SUMIFS('Jounal entries final'!$H:$H,'Jounal entries final'!$E:$E,'Financial statement 1 P&amp;L'!F9,'Jounal entries final'!B:B,'Financial statement 1 P&amp;L'!$E$2,'Jounal entries final'!C:C,'Financial statement 1 P&amp;L'!$G$3)</f>
        <v>8408548.2319999989</v>
      </c>
      <c r="H9" s="230"/>
      <c r="J9" s="124">
        <f>SUMIFS('Jounal entries final'!$H:$H,'Jounal entries final'!$E:$E,'Financial statement 1 P&amp;L'!F9,'Jounal entries final'!B:B,'Financial statement 1 P&amp;L'!$E$2-1,'Jounal entries final'!C:C,'Financial statement 1 P&amp;L'!$G$3)</f>
        <v>9023618.0780000016</v>
      </c>
      <c r="K9" s="134">
        <f>+G9-J9</f>
        <v>-615069.8460000027</v>
      </c>
      <c r="L9" s="135">
        <f>K9/J9</f>
        <v>-6.8162220595258949E-2</v>
      </c>
    </row>
    <row r="10" spans="2:15" ht="16">
      <c r="F10" s="119"/>
      <c r="G10" s="125"/>
      <c r="H10" s="231"/>
      <c r="L10" s="122"/>
      <c r="N10" s="114" t="s">
        <v>244</v>
      </c>
      <c r="O10" s="114" t="s">
        <v>245</v>
      </c>
    </row>
    <row r="11" spans="2:15" ht="19">
      <c r="B11" s="116" t="s">
        <v>166</v>
      </c>
      <c r="F11" s="126" t="s">
        <v>181</v>
      </c>
      <c r="G11" s="127">
        <f>+G8-G9</f>
        <v>2388111.7680000011</v>
      </c>
      <c r="H11" s="232"/>
      <c r="I11" s="126"/>
      <c r="J11" s="127">
        <f>+J8-J9</f>
        <v>3702848.9219999984</v>
      </c>
      <c r="K11" s="127">
        <f>+G11-J11</f>
        <v>-1314737.1539999973</v>
      </c>
      <c r="L11" s="136">
        <f>K11/J11</f>
        <v>-0.35506097647912566</v>
      </c>
    </row>
    <row r="12" spans="2:15">
      <c r="F12" s="119"/>
      <c r="G12" s="135">
        <f>G11/G8</f>
        <v>0.22118986501380994</v>
      </c>
      <c r="H12" s="233"/>
      <c r="J12" s="135">
        <f>J11/J8</f>
        <v>0.29095654921354042</v>
      </c>
      <c r="L12" s="122"/>
    </row>
    <row r="13" spans="2:15" ht="19">
      <c r="B13" s="116" t="s">
        <v>168</v>
      </c>
      <c r="F13" s="119" t="s">
        <v>157</v>
      </c>
      <c r="G13" s="124">
        <f>+SUMIFS('Jounal entries final'!$H:$H,'Jounal entries final'!$E:$E,'Financial statement 1 P&amp;L'!F13,'Jounal entries final'!B:B,'Financial statement 1 P&amp;L'!$E$2,'Jounal entries final'!C:C,'Financial statement 1 P&amp;L'!$G$3)</f>
        <v>1007206</v>
      </c>
      <c r="H13" s="234"/>
      <c r="J13" s="124">
        <f>SUMIFS('Jounal entries final'!$H:$H,'Jounal entries final'!$E:$E,'Financial statement 1 P&amp;L'!F13,'Jounal entries final'!B:B,'Financial statement 1 P&amp;L'!$E$2-1,'Jounal entries final'!C:C,'Financial statement 1 P&amp;L'!$G$3)</f>
        <v>938597</v>
      </c>
      <c r="K13" s="134">
        <f>+G13-J13</f>
        <v>68609</v>
      </c>
      <c r="L13" s="135">
        <f>K13/J13</f>
        <v>7.3097399629446932E-2</v>
      </c>
      <c r="M13" s="122"/>
      <c r="N13" s="134"/>
    </row>
    <row r="14" spans="2:15">
      <c r="F14" s="119" t="s">
        <v>154</v>
      </c>
      <c r="G14" s="124">
        <f>+SUMIFS('Jounal entries final'!$H:$H,'Jounal entries final'!$E:$E,'Financial statement 1 P&amp;L'!F14,'Jounal entries final'!B:B,'Financial statement 1 P&amp;L'!$E$2,'Jounal entries final'!C:C,'Financial statement 1 P&amp;L'!$G$3)</f>
        <v>804347</v>
      </c>
      <c r="H14" s="234"/>
      <c r="J14" s="124">
        <f>SUMIFS('Jounal entries final'!$H:$H,'Jounal entries final'!$E:$E,'Financial statement 1 P&amp;L'!F14,'Jounal entries final'!B:B,'Financial statement 1 P&amp;L'!$E$2-1,'Jounal entries final'!C:C,'Financial statement 1 P&amp;L'!$G$3)</f>
        <v>783888</v>
      </c>
      <c r="K14" s="134">
        <f>+G14-J14</f>
        <v>20459</v>
      </c>
      <c r="L14" s="135">
        <f>K14/J14</f>
        <v>2.6099391749841813E-2</v>
      </c>
      <c r="M14" s="122"/>
    </row>
    <row r="15" spans="2:15" ht="19">
      <c r="B15" s="116" t="s">
        <v>167</v>
      </c>
      <c r="F15" s="119" t="s">
        <v>155</v>
      </c>
      <c r="G15" s="124">
        <f>+SUMIFS('Jounal entries final'!$H:$H,'Jounal entries final'!$E:$E,'Financial statement 1 P&amp;L'!F15,'Jounal entries final'!B:B,'Financial statement 1 P&amp;L'!$E$2,'Jounal entries final'!C:C,'Financial statement 1 P&amp;L'!$G$3)</f>
        <v>802157</v>
      </c>
      <c r="H15" s="234"/>
      <c r="J15" s="124">
        <f>SUMIFS('Jounal entries final'!$H:$H,'Jounal entries final'!$E:$E,'Financial statement 1 P&amp;L'!F15,'Jounal entries final'!B:B,'Financial statement 1 P&amp;L'!$E$2-1,'Jounal entries final'!C:C,'Financial statement 1 P&amp;L'!$G$3)</f>
        <v>790258</v>
      </c>
      <c r="K15" s="134">
        <f>+G15-J15</f>
        <v>11899</v>
      </c>
      <c r="L15" s="135">
        <f>K15/J15</f>
        <v>1.5057107931839982E-2</v>
      </c>
      <c r="M15" s="122"/>
    </row>
    <row r="16" spans="2:15">
      <c r="F16" s="119"/>
      <c r="G16" s="124"/>
      <c r="H16" s="234"/>
    </row>
    <row r="17" spans="2:12" ht="19">
      <c r="B17" s="116" t="s">
        <v>173</v>
      </c>
      <c r="F17" s="126" t="s">
        <v>182</v>
      </c>
      <c r="G17" s="127">
        <f>+G11-SUM(G13:G15)</f>
        <v>-225598.23199999891</v>
      </c>
      <c r="H17" s="235"/>
      <c r="I17" s="126"/>
      <c r="J17" s="127">
        <f>+J11-SUM(J13:J15)</f>
        <v>1190105.9219999984</v>
      </c>
      <c r="K17" s="127">
        <f>+G17-J17</f>
        <v>-1415704.1539999973</v>
      </c>
      <c r="L17" s="136">
        <f>K17/J17</f>
        <v>-1.1895614733358155</v>
      </c>
    </row>
    <row r="18" spans="2:12">
      <c r="F18" s="119"/>
      <c r="G18" s="124"/>
      <c r="H18" s="234"/>
    </row>
    <row r="19" spans="2:12" ht="19">
      <c r="B19" s="116" t="s">
        <v>169</v>
      </c>
      <c r="F19" s="119" t="s">
        <v>158</v>
      </c>
      <c r="G19" s="124">
        <f>-SUMIFS('Jounal entries final'!$H:$H,'Jounal entries final'!$E:$E,'Financial statement 1 P&amp;L'!F19,'Jounal entries final'!B:B,'Financial statement 1 P&amp;L'!$E$2,'Jounal entries final'!C:C,'Financial statement 1 P&amp;L'!$G$3)</f>
        <v>1211408</v>
      </c>
      <c r="H19" s="234"/>
      <c r="J19" s="124">
        <f>-SUMIFS('Jounal entries final'!$H:$H,'Jounal entries final'!$E:$E,'Financial statement 1 P&amp;L'!F19,'Jounal entries final'!B:B,'Financial statement 1 P&amp;L'!$E$2-1,'Jounal entries final'!C:C,'Financial statement 1 P&amp;L'!$G$3)</f>
        <v>1229651</v>
      </c>
      <c r="K19" s="134">
        <f>+G19-J19</f>
        <v>-18243</v>
      </c>
      <c r="L19" s="135">
        <f>K19/J19</f>
        <v>-1.4835916857710033E-2</v>
      </c>
    </row>
    <row r="20" spans="2:12">
      <c r="F20" s="119" t="s">
        <v>159</v>
      </c>
      <c r="G20" s="124">
        <f>+SUMIFS('Jounal entries final'!$H:$H,'Jounal entries final'!$E:$E,'Financial statement 1 P&amp;L'!F20,'Jounal entries final'!B:B,'Financial statement 1 P&amp;L'!$E$2,'Jounal entries final'!C:C,'Financial statement 1 P&amp;L'!$G$3)</f>
        <v>1206834</v>
      </c>
      <c r="H20" s="234"/>
      <c r="J20" s="124">
        <f>SUMIFS('Jounal entries final'!$H:$H,'Jounal entries final'!$E:$E,'Financial statement 1 P&amp;L'!F20,'Jounal entries final'!B:B,'Financial statement 1 P&amp;L'!$E$2-1,'Jounal entries final'!C:C,'Financial statement 1 P&amp;L'!$G$3)</f>
        <v>1206806</v>
      </c>
      <c r="K20" s="134">
        <f>+G20-J20</f>
        <v>28</v>
      </c>
      <c r="L20" s="135">
        <f>K20/J20</f>
        <v>2.3201740793466388E-5</v>
      </c>
    </row>
    <row r="21" spans="2:12" ht="19">
      <c r="B21" s="116" t="s">
        <v>170</v>
      </c>
      <c r="F21" s="119"/>
      <c r="G21" s="124"/>
      <c r="H21" s="234"/>
    </row>
    <row r="22" spans="2:12">
      <c r="F22" s="126" t="s">
        <v>183</v>
      </c>
      <c r="G22" s="128">
        <f>+G17+G19-G20</f>
        <v>-221024.23199999891</v>
      </c>
      <c r="H22" s="235"/>
      <c r="I22" s="126"/>
      <c r="J22" s="127">
        <f>+J17+J19-J20</f>
        <v>1212950.9219999984</v>
      </c>
      <c r="K22" s="127">
        <f>+G22-J22</f>
        <v>-1433975.1539999973</v>
      </c>
      <c r="L22" s="136">
        <f>K22/J22</f>
        <v>-1.1822202596915947</v>
      </c>
    </row>
    <row r="23" spans="2:12" ht="19">
      <c r="B23" s="116" t="s">
        <v>171</v>
      </c>
    </row>
    <row r="25" spans="2:12" ht="19">
      <c r="B25" s="116" t="s">
        <v>172</v>
      </c>
    </row>
    <row r="26" spans="2:12" ht="5.5" customHeight="1"/>
    <row r="28" spans="2:12">
      <c r="F28" s="114"/>
    </row>
    <row r="29" spans="2:12">
      <c r="F29" s="114"/>
      <c r="G29" s="134">
        <f>J17</f>
        <v>1190105.9219999984</v>
      </c>
    </row>
    <row r="30" spans="2:12">
      <c r="F30" s="122" t="s">
        <v>197</v>
      </c>
      <c r="G30" s="134">
        <f>(J8-G8)*J12</f>
        <v>561489.9853681348</v>
      </c>
      <c r="H30" s="135">
        <f>G30/$G$33</f>
        <v>-2.4888935537763337</v>
      </c>
    </row>
    <row r="31" spans="2:12">
      <c r="F31" s="122" t="s">
        <v>198</v>
      </c>
      <c r="G31" s="134">
        <f>(G12-J12)*G8</f>
        <v>-753247.16863186203</v>
      </c>
      <c r="H31" s="135">
        <f>G31/$G$33</f>
        <v>3.3388877295450881</v>
      </c>
    </row>
    <row r="32" spans="2:12">
      <c r="F32" s="122" t="s">
        <v>199</v>
      </c>
      <c r="G32" s="134">
        <f>K17-SUM(G30:G31)</f>
        <v>-1223946.9707362701</v>
      </c>
      <c r="H32" s="135">
        <f>G32/$G$33</f>
        <v>5.4253393738310702</v>
      </c>
    </row>
    <row r="33" spans="6:7">
      <c r="F33" s="122"/>
      <c r="G33" s="137">
        <f>SUM(G29:G32)</f>
        <v>-225598.2319999988</v>
      </c>
    </row>
    <row r="34" spans="6:7">
      <c r="F34" s="122"/>
    </row>
  </sheetData>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0D55A-36DA-410C-923D-E6CB8B770658}">
  <sheetPr codeName="Sheet26">
    <tabColor rgb="FFFFC000"/>
  </sheetPr>
  <dimension ref="A2:N29"/>
  <sheetViews>
    <sheetView zoomScale="80" zoomScaleNormal="80" workbookViewId="0">
      <selection activeCell="G29" sqref="G29"/>
    </sheetView>
  </sheetViews>
  <sheetFormatPr baseColWidth="10" defaultColWidth="8.83203125" defaultRowHeight="15"/>
  <cols>
    <col min="1" max="1" width="2.1640625" style="115" customWidth="1"/>
    <col min="2" max="2" width="33.1640625" style="115" customWidth="1"/>
    <col min="3" max="3" width="2.83203125" style="115" customWidth="1"/>
    <col min="4" max="4" width="2.83203125" style="114" customWidth="1"/>
    <col min="5" max="5" width="3.1640625" style="114" hidden="1" customWidth="1"/>
    <col min="6" max="6" width="49.83203125" style="118" customWidth="1"/>
    <col min="7" max="7" width="18.83203125" style="114" bestFit="1" customWidth="1"/>
    <col min="8" max="8" width="13.83203125" style="114" bestFit="1" customWidth="1"/>
    <col min="9" max="9" width="11" style="114" customWidth="1"/>
    <col min="10" max="10" width="17.5" style="114" bestFit="1" customWidth="1"/>
    <col min="11" max="11" width="8.83203125" style="114"/>
    <col min="12" max="12" width="30.83203125" style="114" bestFit="1" customWidth="1"/>
    <col min="13" max="13" width="10.83203125" style="114" bestFit="1" customWidth="1"/>
    <col min="14" max="16384" width="8.83203125" style="114"/>
  </cols>
  <sheetData>
    <row r="2" spans="2:14">
      <c r="E2" s="114" t="e">
        <f>+VLOOKUP(G2,Reference!$A$2:$B$13,2,0)</f>
        <v>#N/A</v>
      </c>
      <c r="F2" s="130"/>
      <c r="G2" s="131"/>
    </row>
    <row r="3" spans="2:14">
      <c r="F3" s="130"/>
      <c r="G3" s="132"/>
    </row>
    <row r="6" spans="2:14" ht="29">
      <c r="F6" s="120" t="s">
        <v>203</v>
      </c>
      <c r="G6" s="121" t="s">
        <v>177</v>
      </c>
      <c r="H6" s="121" t="s">
        <v>178</v>
      </c>
      <c r="I6" s="121" t="s">
        <v>179</v>
      </c>
      <c r="J6" s="121" t="s">
        <v>180</v>
      </c>
      <c r="K6" s="121" t="s">
        <v>179</v>
      </c>
      <c r="L6" s="121"/>
      <c r="M6" s="121"/>
      <c r="N6" s="121"/>
    </row>
    <row r="7" spans="2:14" ht="17" customHeight="1">
      <c r="B7" s="116" t="s">
        <v>163</v>
      </c>
    </row>
    <row r="8" spans="2:14">
      <c r="F8" s="153" t="s">
        <v>182</v>
      </c>
      <c r="G8" s="154">
        <f>'Financial statement 1 P&amp;L'!G17</f>
        <v>-225598.23199999891</v>
      </c>
      <c r="H8" s="123"/>
      <c r="J8" s="124">
        <f>SUMIFS('Jounal entries final'!$H:$H,'Jounal entries final'!$E:$E,F8,'Jounal entries final'!$B:$B,'Financial statement 1 P&amp;L'!$E$2-1,'Jounal entries final'!$C:$C,'Financial statement 1 P&amp;L'!$G$3)</f>
        <v>0</v>
      </c>
    </row>
    <row r="9" spans="2:14" ht="17" customHeight="1">
      <c r="B9" s="116" t="s">
        <v>164</v>
      </c>
      <c r="F9" s="153" t="s">
        <v>204</v>
      </c>
      <c r="G9" s="154">
        <f>+'Financial statement 1 P&amp;L'!G19-'Financial statement 1 P&amp;L'!G20</f>
        <v>4574</v>
      </c>
      <c r="H9" s="122"/>
      <c r="J9" s="124"/>
    </row>
    <row r="10" spans="2:14">
      <c r="F10" s="153" t="s">
        <v>205</v>
      </c>
      <c r="G10" s="154">
        <f>G8+G9</f>
        <v>-221024.23199999891</v>
      </c>
      <c r="J10" s="124"/>
    </row>
    <row r="11" spans="2:14" ht="19">
      <c r="B11" s="116" t="s">
        <v>166</v>
      </c>
      <c r="F11" s="153" t="s">
        <v>206</v>
      </c>
      <c r="G11" s="154"/>
      <c r="H11" s="119"/>
      <c r="I11" s="119"/>
      <c r="J11" s="124"/>
    </row>
    <row r="12" spans="2:14">
      <c r="F12" s="153" t="s">
        <v>207</v>
      </c>
      <c r="G12" s="154">
        <f>G10</f>
        <v>-221024.23199999891</v>
      </c>
      <c r="J12" s="124"/>
    </row>
    <row r="13" spans="2:14" ht="19">
      <c r="B13" s="116" t="s">
        <v>168</v>
      </c>
      <c r="F13" s="153" t="s">
        <v>208</v>
      </c>
      <c r="G13" s="154">
        <f>'Financial statement 2 BS'!J10-'Financial statement 2 BS'!G10</f>
        <v>-6987894</v>
      </c>
      <c r="J13" s="124"/>
    </row>
    <row r="14" spans="2:14">
      <c r="F14" s="153" t="s">
        <v>209</v>
      </c>
      <c r="G14" s="154">
        <f>'Financial statement 2 BS'!J9-'Financial statement 2 BS'!G9</f>
        <v>-1722096.7700000014</v>
      </c>
      <c r="J14" s="124"/>
    </row>
    <row r="15" spans="2:14" ht="19">
      <c r="B15" s="116" t="s">
        <v>167</v>
      </c>
      <c r="F15" s="153" t="s">
        <v>210</v>
      </c>
      <c r="G15" s="154">
        <f>'Financial statement 2 BS'!J16-'Financial statement 2 BS'!G16</f>
        <v>-2172610</v>
      </c>
      <c r="J15" s="134"/>
    </row>
    <row r="16" spans="2:14">
      <c r="F16" s="119"/>
      <c r="G16" s="124"/>
    </row>
    <row r="17" spans="2:10" ht="19">
      <c r="B17" s="116" t="s">
        <v>173</v>
      </c>
      <c r="F17" s="151" t="s">
        <v>211</v>
      </c>
      <c r="G17" s="152">
        <f>SUM(G10:G15)</f>
        <v>-11324649.233999999</v>
      </c>
      <c r="H17" s="119"/>
      <c r="I17" s="119"/>
      <c r="J17" s="124"/>
    </row>
    <row r="18" spans="2:10">
      <c r="F18" s="156" t="s">
        <v>212</v>
      </c>
      <c r="G18" s="155">
        <f>G17/G8</f>
        <v>50.198306669353926</v>
      </c>
      <c r="J18" s="124"/>
    </row>
    <row r="19" spans="2:10" ht="19">
      <c r="B19" s="116" t="s">
        <v>169</v>
      </c>
      <c r="F19" s="119" t="s">
        <v>213</v>
      </c>
      <c r="G19" s="124">
        <v>0</v>
      </c>
      <c r="J19" s="124"/>
    </row>
    <row r="20" spans="2:10">
      <c r="F20" s="119" t="s">
        <v>214</v>
      </c>
      <c r="G20" s="124">
        <v>0</v>
      </c>
      <c r="J20" s="124"/>
    </row>
    <row r="21" spans="2:10" ht="19">
      <c r="B21" s="116" t="s">
        <v>170</v>
      </c>
      <c r="F21" s="152" t="s">
        <v>215</v>
      </c>
      <c r="G21" s="152">
        <v>0</v>
      </c>
      <c r="J21" s="124"/>
    </row>
    <row r="22" spans="2:10">
      <c r="F22" s="119"/>
      <c r="H22" s="119"/>
      <c r="I22" s="119"/>
      <c r="J22" s="124"/>
    </row>
    <row r="23" spans="2:10" ht="19">
      <c r="B23" s="116" t="s">
        <v>171</v>
      </c>
      <c r="F23" s="119" t="s">
        <v>195</v>
      </c>
      <c r="G23" s="134">
        <v>0</v>
      </c>
      <c r="J23" s="124"/>
    </row>
    <row r="24" spans="2:10">
      <c r="F24" s="119" t="s">
        <v>218</v>
      </c>
      <c r="G24" s="114">
        <v>0</v>
      </c>
    </row>
    <row r="25" spans="2:10" ht="19">
      <c r="B25" s="116" t="s">
        <v>172</v>
      </c>
      <c r="F25" s="119" t="s">
        <v>219</v>
      </c>
      <c r="G25" s="134">
        <v>0</v>
      </c>
    </row>
    <row r="26" spans="2:10">
      <c r="F26" s="152" t="s">
        <v>216</v>
      </c>
      <c r="G26" s="152">
        <v>0</v>
      </c>
    </row>
    <row r="27" spans="2:10">
      <c r="H27" s="134"/>
      <c r="I27" s="134"/>
      <c r="J27" s="134"/>
    </row>
    <row r="28" spans="2:10">
      <c r="F28" s="119" t="s">
        <v>220</v>
      </c>
    </row>
    <row r="29" spans="2:10">
      <c r="F29" s="152" t="s">
        <v>217</v>
      </c>
      <c r="G29" s="152">
        <f>SUM(G17:G28)</f>
        <v>-11324599.035693331</v>
      </c>
    </row>
  </sheetData>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A8B35-5A96-4AE2-90F5-90E3133E853E}">
  <sheetPr codeName="Sheet28"/>
  <dimension ref="A2:R248"/>
  <sheetViews>
    <sheetView topLeftCell="C217" workbookViewId="0">
      <selection activeCell="F4" sqref="F4:K243"/>
    </sheetView>
  </sheetViews>
  <sheetFormatPr baseColWidth="10" defaultColWidth="8.83203125" defaultRowHeight="15"/>
  <cols>
    <col min="2" max="2" width="12.5" bestFit="1" customWidth="1"/>
    <col min="3" max="3" width="13.33203125" bestFit="1" customWidth="1"/>
    <col min="6" max="6" width="12" style="86" bestFit="1" customWidth="1"/>
    <col min="7" max="7" width="22.1640625" style="29" customWidth="1"/>
    <col min="8" max="8" width="15.33203125" style="87" bestFit="1" customWidth="1"/>
    <col min="9" max="9" width="15.33203125" style="88" bestFit="1" customWidth="1"/>
    <col min="10" max="10" width="17.83203125" style="29" bestFit="1" customWidth="1"/>
    <col min="11" max="11" width="8" style="29" bestFit="1" customWidth="1"/>
    <col min="12" max="12" width="11.83203125" style="89" bestFit="1" customWidth="1"/>
    <col min="13" max="13" width="10.33203125" bestFit="1" customWidth="1"/>
    <col min="14" max="14" width="17.83203125" bestFit="1" customWidth="1"/>
    <col min="15" max="15" width="13.33203125" bestFit="1" customWidth="1"/>
    <col min="18" max="18" width="8" bestFit="1" customWidth="1"/>
  </cols>
  <sheetData>
    <row r="2" spans="1:18">
      <c r="A2" t="s">
        <v>100</v>
      </c>
      <c r="B2" t="s">
        <v>50</v>
      </c>
      <c r="C2" t="s">
        <v>17</v>
      </c>
    </row>
    <row r="3" spans="1:18">
      <c r="A3" t="s">
        <v>39</v>
      </c>
      <c r="B3" t="s">
        <v>14</v>
      </c>
      <c r="C3" s="44">
        <v>4248900</v>
      </c>
      <c r="F3" s="42" t="s">
        <v>105</v>
      </c>
      <c r="G3" s="41" t="s">
        <v>53</v>
      </c>
      <c r="H3" s="90" t="s">
        <v>54</v>
      </c>
      <c r="I3" s="91" t="s">
        <v>55</v>
      </c>
      <c r="J3" s="41" t="s">
        <v>0</v>
      </c>
      <c r="K3" s="41" t="s">
        <v>106</v>
      </c>
    </row>
    <row r="4" spans="1:18">
      <c r="C4" s="44"/>
      <c r="F4" s="86">
        <v>44572</v>
      </c>
      <c r="G4" s="29" t="s">
        <v>98</v>
      </c>
      <c r="I4" s="88">
        <v>1839104</v>
      </c>
      <c r="J4" s="29" t="s">
        <v>2</v>
      </c>
      <c r="K4" s="93" t="s">
        <v>34</v>
      </c>
      <c r="L4" s="92">
        <f>+I4-O4</f>
        <v>0</v>
      </c>
      <c r="M4" s="26">
        <f>+F4</f>
        <v>44572</v>
      </c>
      <c r="N4" t="s">
        <v>97</v>
      </c>
      <c r="O4" s="44">
        <f>+I4</f>
        <v>1839104</v>
      </c>
      <c r="Q4" t="str">
        <f>+J4</f>
        <v>Product A</v>
      </c>
      <c r="R4" s="49" t="str">
        <f>+K4</f>
        <v>Client 9</v>
      </c>
    </row>
    <row r="5" spans="1:18">
      <c r="A5" t="s">
        <v>31</v>
      </c>
      <c r="B5" t="s">
        <v>2</v>
      </c>
      <c r="C5" s="44">
        <v>872984</v>
      </c>
      <c r="F5" s="86">
        <v>44572</v>
      </c>
      <c r="G5" s="29" t="s">
        <v>97</v>
      </c>
      <c r="H5" s="87">
        <v>1839104</v>
      </c>
      <c r="J5" s="29" t="s">
        <v>2</v>
      </c>
      <c r="K5" s="29" t="s">
        <v>34</v>
      </c>
      <c r="L5" s="92">
        <f t="shared" ref="L5:L68" si="0">+I5-O5</f>
        <v>0</v>
      </c>
      <c r="M5" s="26">
        <f t="shared" ref="M5:M68" si="1">+F5</f>
        <v>44572</v>
      </c>
      <c r="N5" t="s">
        <v>97</v>
      </c>
      <c r="O5" s="44">
        <f t="shared" ref="O5:O68" si="2">+I5</f>
        <v>0</v>
      </c>
      <c r="Q5" t="str">
        <f t="shared" ref="Q5:Q68" si="3">+J5</f>
        <v>Product A</v>
      </c>
      <c r="R5" s="49" t="str">
        <f t="shared" ref="R5:R68" si="4">+K5</f>
        <v>Client 9</v>
      </c>
    </row>
    <row r="6" spans="1:18">
      <c r="A6" t="s">
        <v>40</v>
      </c>
      <c r="B6" t="s">
        <v>14</v>
      </c>
      <c r="C6" s="44">
        <v>601126</v>
      </c>
      <c r="F6" s="86">
        <v>44573</v>
      </c>
      <c r="G6" s="29" t="s">
        <v>98</v>
      </c>
      <c r="I6" s="88">
        <v>1756304</v>
      </c>
      <c r="J6" s="29" t="s">
        <v>2</v>
      </c>
      <c r="K6" s="93" t="s">
        <v>33</v>
      </c>
      <c r="L6" s="92">
        <f t="shared" si="0"/>
        <v>0</v>
      </c>
      <c r="M6" s="26">
        <f t="shared" si="1"/>
        <v>44573</v>
      </c>
      <c r="N6" t="s">
        <v>97</v>
      </c>
      <c r="O6" s="44">
        <f t="shared" si="2"/>
        <v>1756304</v>
      </c>
      <c r="Q6" t="str">
        <f t="shared" si="3"/>
        <v>Product A</v>
      </c>
      <c r="R6" s="49" t="str">
        <f t="shared" si="4"/>
        <v>Client 7</v>
      </c>
    </row>
    <row r="7" spans="1:18">
      <c r="A7" t="s">
        <v>36</v>
      </c>
      <c r="B7" t="s">
        <v>10</v>
      </c>
      <c r="C7" s="44">
        <v>644640</v>
      </c>
      <c r="F7" s="86">
        <v>44573</v>
      </c>
      <c r="G7" s="29" t="s">
        <v>97</v>
      </c>
      <c r="H7" s="87">
        <v>1756304</v>
      </c>
      <c r="J7" s="29" t="s">
        <v>2</v>
      </c>
      <c r="K7" s="29" t="s">
        <v>33</v>
      </c>
      <c r="L7" s="92">
        <f t="shared" si="0"/>
        <v>0</v>
      </c>
      <c r="M7" s="26">
        <f t="shared" si="1"/>
        <v>44573</v>
      </c>
      <c r="N7" t="s">
        <v>97</v>
      </c>
      <c r="O7" s="44">
        <f t="shared" si="2"/>
        <v>0</v>
      </c>
      <c r="Q7" t="str">
        <f t="shared" si="3"/>
        <v>Product A</v>
      </c>
      <c r="R7" s="49" t="str">
        <f t="shared" si="4"/>
        <v>Client 7</v>
      </c>
    </row>
    <row r="8" spans="1:18">
      <c r="A8" t="s">
        <v>32</v>
      </c>
      <c r="B8" t="s">
        <v>2</v>
      </c>
      <c r="C8" s="44">
        <v>1115827</v>
      </c>
      <c r="F8" s="86">
        <v>44578</v>
      </c>
      <c r="G8" s="29" t="s">
        <v>98</v>
      </c>
      <c r="I8" s="88">
        <v>872984</v>
      </c>
      <c r="J8" s="29" t="s">
        <v>2</v>
      </c>
      <c r="K8" s="93" t="s">
        <v>31</v>
      </c>
      <c r="L8" s="92">
        <f t="shared" si="0"/>
        <v>0</v>
      </c>
      <c r="M8" s="26">
        <f t="shared" si="1"/>
        <v>44578</v>
      </c>
      <c r="N8" t="s">
        <v>97</v>
      </c>
      <c r="O8" s="44">
        <f t="shared" si="2"/>
        <v>872984</v>
      </c>
      <c r="Q8" t="str">
        <f t="shared" si="3"/>
        <v>Product A</v>
      </c>
      <c r="R8" s="49" t="str">
        <f t="shared" si="4"/>
        <v>Client 2</v>
      </c>
    </row>
    <row r="9" spans="1:18">
      <c r="A9" t="s">
        <v>37</v>
      </c>
      <c r="B9" t="s">
        <v>10</v>
      </c>
      <c r="C9" s="44">
        <v>550988</v>
      </c>
      <c r="F9" s="86">
        <v>44578</v>
      </c>
      <c r="G9" s="29" t="s">
        <v>98</v>
      </c>
      <c r="I9" s="88">
        <v>644640</v>
      </c>
      <c r="J9" s="29" t="s">
        <v>10</v>
      </c>
      <c r="K9" s="93" t="s">
        <v>36</v>
      </c>
      <c r="L9" s="92">
        <f t="shared" si="0"/>
        <v>0</v>
      </c>
      <c r="M9" s="26">
        <f t="shared" si="1"/>
        <v>44578</v>
      </c>
      <c r="N9" t="s">
        <v>97</v>
      </c>
      <c r="O9" s="44">
        <f t="shared" si="2"/>
        <v>644640</v>
      </c>
      <c r="Q9" t="str">
        <f t="shared" si="3"/>
        <v>Product B</v>
      </c>
      <c r="R9" s="49" t="str">
        <f t="shared" si="4"/>
        <v>Client 4</v>
      </c>
    </row>
    <row r="10" spans="1:18">
      <c r="A10" t="s">
        <v>33</v>
      </c>
      <c r="B10" t="s">
        <v>2</v>
      </c>
      <c r="C10" s="44">
        <v>1756304</v>
      </c>
      <c r="F10" s="94">
        <v>44578</v>
      </c>
      <c r="G10" s="29" t="s">
        <v>97</v>
      </c>
      <c r="H10" s="87">
        <v>872984</v>
      </c>
      <c r="J10" s="29" t="s">
        <v>2</v>
      </c>
      <c r="K10" s="29" t="s">
        <v>31</v>
      </c>
      <c r="L10" s="92">
        <f t="shared" si="0"/>
        <v>0</v>
      </c>
      <c r="M10" s="26">
        <f t="shared" si="1"/>
        <v>44578</v>
      </c>
      <c r="N10" t="s">
        <v>97</v>
      </c>
      <c r="O10" s="44">
        <f t="shared" si="2"/>
        <v>0</v>
      </c>
      <c r="Q10" t="str">
        <f t="shared" si="3"/>
        <v>Product A</v>
      </c>
      <c r="R10" s="49" t="str">
        <f t="shared" si="4"/>
        <v>Client 2</v>
      </c>
    </row>
    <row r="11" spans="1:18">
      <c r="A11" t="s">
        <v>38</v>
      </c>
      <c r="B11" t="s">
        <v>10</v>
      </c>
      <c r="C11" s="44">
        <v>1005360</v>
      </c>
      <c r="F11" s="86">
        <v>44578</v>
      </c>
      <c r="G11" s="29" t="s">
        <v>97</v>
      </c>
      <c r="H11" s="87">
        <v>644640</v>
      </c>
      <c r="J11" s="29" t="s">
        <v>10</v>
      </c>
      <c r="K11" s="29" t="s">
        <v>36</v>
      </c>
      <c r="L11" s="92">
        <f t="shared" si="0"/>
        <v>0</v>
      </c>
      <c r="M11" s="26">
        <f t="shared" si="1"/>
        <v>44578</v>
      </c>
      <c r="N11" t="s">
        <v>97</v>
      </c>
      <c r="O11" s="44">
        <f t="shared" si="2"/>
        <v>0</v>
      </c>
      <c r="Q11" t="str">
        <f t="shared" si="3"/>
        <v>Product B</v>
      </c>
      <c r="R11" s="49" t="str">
        <f t="shared" si="4"/>
        <v>Client 4</v>
      </c>
    </row>
    <row r="12" spans="1:18">
      <c r="A12" t="s">
        <v>34</v>
      </c>
      <c r="B12" t="s">
        <v>2</v>
      </c>
      <c r="C12" s="44">
        <v>1839104</v>
      </c>
      <c r="F12" s="86">
        <v>44579</v>
      </c>
      <c r="G12" s="29" t="s">
        <v>98</v>
      </c>
      <c r="I12" s="88">
        <v>1115827</v>
      </c>
      <c r="J12" s="29" t="s">
        <v>2</v>
      </c>
      <c r="K12" s="93" t="s">
        <v>32</v>
      </c>
      <c r="L12" s="92">
        <f t="shared" si="0"/>
        <v>0</v>
      </c>
      <c r="M12" s="26">
        <f t="shared" si="1"/>
        <v>44579</v>
      </c>
      <c r="N12" t="s">
        <v>97</v>
      </c>
      <c r="O12" s="44">
        <f t="shared" si="2"/>
        <v>1115827</v>
      </c>
      <c r="Q12" t="str">
        <f t="shared" si="3"/>
        <v>Product A</v>
      </c>
      <c r="R12" s="49" t="str">
        <f t="shared" si="4"/>
        <v>Client 5</v>
      </c>
    </row>
    <row r="13" spans="1:18">
      <c r="A13" t="s">
        <v>35</v>
      </c>
      <c r="B13" t="s">
        <v>2</v>
      </c>
      <c r="C13" s="44">
        <v>1110474</v>
      </c>
      <c r="F13" s="86">
        <v>44579</v>
      </c>
      <c r="G13" s="29" t="s">
        <v>97</v>
      </c>
      <c r="H13" s="87">
        <v>1115827</v>
      </c>
      <c r="J13" s="29" t="s">
        <v>2</v>
      </c>
      <c r="K13" s="29" t="s">
        <v>32</v>
      </c>
      <c r="L13" s="92">
        <f t="shared" si="0"/>
        <v>0</v>
      </c>
      <c r="M13" s="26">
        <f t="shared" si="1"/>
        <v>44579</v>
      </c>
      <c r="N13" t="s">
        <v>97</v>
      </c>
      <c r="O13" s="44">
        <f t="shared" si="2"/>
        <v>0</v>
      </c>
      <c r="Q13" t="str">
        <f t="shared" si="3"/>
        <v>Product A</v>
      </c>
      <c r="R13" s="49" t="str">
        <f t="shared" si="4"/>
        <v>Client 5</v>
      </c>
    </row>
    <row r="14" spans="1:18">
      <c r="F14" s="86">
        <v>44580</v>
      </c>
      <c r="G14" s="29" t="s">
        <v>98</v>
      </c>
      <c r="I14" s="88">
        <v>1110474</v>
      </c>
      <c r="J14" s="29" t="s">
        <v>2</v>
      </c>
      <c r="K14" s="93" t="s">
        <v>35</v>
      </c>
      <c r="L14" s="92">
        <f t="shared" si="0"/>
        <v>0</v>
      </c>
      <c r="M14" s="26">
        <f t="shared" si="1"/>
        <v>44580</v>
      </c>
      <c r="N14" t="s">
        <v>97</v>
      </c>
      <c r="O14" s="44">
        <f t="shared" si="2"/>
        <v>1110474</v>
      </c>
      <c r="Q14" t="str">
        <f t="shared" si="3"/>
        <v>Product A</v>
      </c>
      <c r="R14" s="49" t="str">
        <f t="shared" si="4"/>
        <v>Client 10</v>
      </c>
    </row>
    <row r="15" spans="1:18">
      <c r="F15" s="86">
        <v>44580</v>
      </c>
      <c r="G15" s="29" t="s">
        <v>97</v>
      </c>
      <c r="H15" s="87">
        <v>1110474</v>
      </c>
      <c r="J15" s="29" t="s">
        <v>2</v>
      </c>
      <c r="K15" s="29" t="s">
        <v>35</v>
      </c>
      <c r="L15" s="92">
        <f t="shared" si="0"/>
        <v>0</v>
      </c>
      <c r="M15" s="26">
        <f t="shared" si="1"/>
        <v>44580</v>
      </c>
      <c r="N15" t="s">
        <v>97</v>
      </c>
      <c r="O15" s="44">
        <f t="shared" si="2"/>
        <v>0</v>
      </c>
      <c r="Q15" t="str">
        <f t="shared" si="3"/>
        <v>Product A</v>
      </c>
      <c r="R15" s="49" t="str">
        <f t="shared" si="4"/>
        <v>Client 10</v>
      </c>
    </row>
    <row r="16" spans="1:18">
      <c r="F16" s="86">
        <v>44581</v>
      </c>
      <c r="G16" s="29" t="s">
        <v>98</v>
      </c>
      <c r="I16" s="88">
        <v>601126</v>
      </c>
      <c r="J16" s="29" t="s">
        <v>14</v>
      </c>
      <c r="K16" s="93" t="s">
        <v>40</v>
      </c>
      <c r="L16" s="92">
        <f t="shared" si="0"/>
        <v>0</v>
      </c>
      <c r="M16" s="26">
        <f t="shared" si="1"/>
        <v>44581</v>
      </c>
      <c r="N16" t="s">
        <v>97</v>
      </c>
      <c r="O16" s="44">
        <f t="shared" si="2"/>
        <v>601126</v>
      </c>
      <c r="Q16" t="str">
        <f t="shared" si="3"/>
        <v>Product C</v>
      </c>
      <c r="R16" s="49" t="str">
        <f t="shared" si="4"/>
        <v>Client 3</v>
      </c>
    </row>
    <row r="17" spans="1:18" ht="16" thickBot="1">
      <c r="F17" s="94">
        <v>44581</v>
      </c>
      <c r="G17" s="29" t="s">
        <v>97</v>
      </c>
      <c r="H17" s="87">
        <v>601126</v>
      </c>
      <c r="J17" s="29" t="s">
        <v>14</v>
      </c>
      <c r="K17" s="29" t="s">
        <v>40</v>
      </c>
      <c r="L17" s="92">
        <f t="shared" si="0"/>
        <v>0</v>
      </c>
      <c r="M17" s="26">
        <f t="shared" si="1"/>
        <v>44581</v>
      </c>
      <c r="N17" t="s">
        <v>97</v>
      </c>
      <c r="O17" s="44">
        <f t="shared" si="2"/>
        <v>0</v>
      </c>
      <c r="Q17" t="str">
        <f t="shared" si="3"/>
        <v>Product C</v>
      </c>
      <c r="R17" s="49" t="str">
        <f t="shared" si="4"/>
        <v>Client 3</v>
      </c>
    </row>
    <row r="18" spans="1:18" ht="17" thickBot="1">
      <c r="A18" s="59" t="s">
        <v>102</v>
      </c>
      <c r="B18" s="77" t="s">
        <v>50</v>
      </c>
      <c r="C18" s="62" t="s">
        <v>17</v>
      </c>
      <c r="F18" s="86">
        <v>44582</v>
      </c>
      <c r="G18" s="29" t="s">
        <v>98</v>
      </c>
      <c r="I18" s="88">
        <v>550988</v>
      </c>
      <c r="J18" s="29" t="s">
        <v>10</v>
      </c>
      <c r="K18" s="93" t="s">
        <v>37</v>
      </c>
      <c r="L18" s="92">
        <f t="shared" si="0"/>
        <v>0</v>
      </c>
      <c r="M18" s="26">
        <f t="shared" si="1"/>
        <v>44582</v>
      </c>
      <c r="N18" t="s">
        <v>97</v>
      </c>
      <c r="O18" s="44">
        <f t="shared" si="2"/>
        <v>550988</v>
      </c>
      <c r="Q18" t="str">
        <f t="shared" si="3"/>
        <v>Product B</v>
      </c>
      <c r="R18" s="49" t="str">
        <f t="shared" si="4"/>
        <v>Client 6</v>
      </c>
    </row>
    <row r="19" spans="1:18">
      <c r="A19" s="55" t="s">
        <v>39</v>
      </c>
      <c r="B19" s="78" t="str">
        <f>VLOOKUP(A19,'Selling prices'!A:B,2,0)</f>
        <v>Product C</v>
      </c>
      <c r="C19" s="70">
        <v>44584</v>
      </c>
      <c r="F19" s="86">
        <v>44582</v>
      </c>
      <c r="G19" s="29" t="s">
        <v>97</v>
      </c>
      <c r="H19" s="87">
        <v>550988</v>
      </c>
      <c r="J19" s="29" t="s">
        <v>10</v>
      </c>
      <c r="K19" s="29" t="s">
        <v>37</v>
      </c>
      <c r="L19" s="92">
        <f t="shared" si="0"/>
        <v>0</v>
      </c>
      <c r="M19" s="26">
        <f t="shared" si="1"/>
        <v>44582</v>
      </c>
      <c r="N19" t="s">
        <v>97</v>
      </c>
      <c r="O19" s="44">
        <f t="shared" si="2"/>
        <v>0</v>
      </c>
      <c r="Q19" t="str">
        <f t="shared" si="3"/>
        <v>Product B</v>
      </c>
      <c r="R19" s="49" t="str">
        <f t="shared" si="4"/>
        <v>Client 6</v>
      </c>
    </row>
    <row r="20" spans="1:18">
      <c r="A20" s="55" t="s">
        <v>31</v>
      </c>
      <c r="B20" s="78" t="str">
        <f>VLOOKUP(A20,'Selling prices'!A:B,2,0)</f>
        <v>Product A</v>
      </c>
      <c r="C20" s="26">
        <v>44578</v>
      </c>
      <c r="F20" s="86">
        <v>44584</v>
      </c>
      <c r="G20" s="29" t="s">
        <v>98</v>
      </c>
      <c r="I20" s="88">
        <v>4248900</v>
      </c>
      <c r="J20" s="29" t="s">
        <v>14</v>
      </c>
      <c r="K20" s="29" t="s">
        <v>39</v>
      </c>
      <c r="L20" s="92">
        <f t="shared" si="0"/>
        <v>0</v>
      </c>
      <c r="M20" s="26">
        <f t="shared" si="1"/>
        <v>44584</v>
      </c>
      <c r="N20" t="s">
        <v>97</v>
      </c>
      <c r="O20" s="44">
        <f t="shared" si="2"/>
        <v>4248900</v>
      </c>
      <c r="Q20" t="str">
        <f t="shared" si="3"/>
        <v>Product C</v>
      </c>
      <c r="R20" s="49" t="str">
        <f t="shared" si="4"/>
        <v>Client 1</v>
      </c>
    </row>
    <row r="21" spans="1:18">
      <c r="A21" s="55" t="s">
        <v>40</v>
      </c>
      <c r="B21" s="78" t="str">
        <f>VLOOKUP(A21,'Selling prices'!A:B,2,0)</f>
        <v>Product C</v>
      </c>
      <c r="C21" s="26">
        <v>44581</v>
      </c>
      <c r="F21" s="94">
        <v>44584</v>
      </c>
      <c r="G21" s="29" t="s">
        <v>97</v>
      </c>
      <c r="H21" s="87">
        <v>4248900</v>
      </c>
      <c r="J21" s="29" t="s">
        <v>14</v>
      </c>
      <c r="K21" s="29" t="s">
        <v>39</v>
      </c>
      <c r="L21" s="92">
        <f t="shared" si="0"/>
        <v>0</v>
      </c>
      <c r="M21" s="26">
        <f t="shared" si="1"/>
        <v>44584</v>
      </c>
      <c r="N21" t="s">
        <v>97</v>
      </c>
      <c r="O21" s="44">
        <f t="shared" si="2"/>
        <v>0</v>
      </c>
      <c r="Q21" t="str">
        <f t="shared" si="3"/>
        <v>Product C</v>
      </c>
      <c r="R21" s="49" t="str">
        <f t="shared" si="4"/>
        <v>Client 1</v>
      </c>
    </row>
    <row r="22" spans="1:18">
      <c r="A22" s="55" t="s">
        <v>36</v>
      </c>
      <c r="B22" s="78" t="str">
        <f>VLOOKUP(A22,'Selling prices'!A:B,2,0)</f>
        <v>Product B</v>
      </c>
      <c r="C22" s="26">
        <v>44578</v>
      </c>
      <c r="F22" s="86">
        <v>44588</v>
      </c>
      <c r="G22" s="29" t="s">
        <v>98</v>
      </c>
      <c r="I22" s="88">
        <v>1005360</v>
      </c>
      <c r="J22" s="29" t="s">
        <v>10</v>
      </c>
      <c r="K22" s="93" t="s">
        <v>38</v>
      </c>
      <c r="L22" s="92">
        <f t="shared" si="0"/>
        <v>0</v>
      </c>
      <c r="M22" s="26">
        <f t="shared" si="1"/>
        <v>44588</v>
      </c>
      <c r="N22" t="s">
        <v>97</v>
      </c>
      <c r="O22" s="44">
        <f t="shared" si="2"/>
        <v>1005360</v>
      </c>
      <c r="Q22" t="str">
        <f t="shared" si="3"/>
        <v>Product B</v>
      </c>
      <c r="R22" s="49" t="str">
        <f t="shared" si="4"/>
        <v>Client 8</v>
      </c>
    </row>
    <row r="23" spans="1:18">
      <c r="A23" s="55" t="s">
        <v>32</v>
      </c>
      <c r="B23" s="78" t="str">
        <f>VLOOKUP(A23,'Selling prices'!A:B,2,0)</f>
        <v>Product A</v>
      </c>
      <c r="C23" s="26">
        <v>44579</v>
      </c>
      <c r="F23" s="86">
        <v>44588</v>
      </c>
      <c r="G23" s="29" t="s">
        <v>97</v>
      </c>
      <c r="H23" s="87">
        <v>1005360</v>
      </c>
      <c r="J23" s="29" t="s">
        <v>10</v>
      </c>
      <c r="K23" s="29" t="s">
        <v>38</v>
      </c>
      <c r="L23" s="92">
        <f t="shared" si="0"/>
        <v>0</v>
      </c>
      <c r="M23" s="26">
        <f t="shared" si="1"/>
        <v>44588</v>
      </c>
      <c r="N23" t="s">
        <v>97</v>
      </c>
      <c r="O23" s="44">
        <f t="shared" si="2"/>
        <v>0</v>
      </c>
      <c r="Q23" t="str">
        <f t="shared" si="3"/>
        <v>Product B</v>
      </c>
      <c r="R23" s="49" t="str">
        <f t="shared" si="4"/>
        <v>Client 8</v>
      </c>
    </row>
    <row r="24" spans="1:18">
      <c r="A24" s="55" t="s">
        <v>37</v>
      </c>
      <c r="B24" s="78" t="str">
        <f>VLOOKUP(A24,'Selling prices'!A:B,2,0)</f>
        <v>Product B</v>
      </c>
      <c r="C24" s="26">
        <v>44582</v>
      </c>
      <c r="F24" s="94">
        <v>44604</v>
      </c>
      <c r="G24" s="29" t="s">
        <v>98</v>
      </c>
      <c r="H24" s="88"/>
      <c r="I24" s="88">
        <v>543344</v>
      </c>
      <c r="J24" s="29" t="s">
        <v>10</v>
      </c>
      <c r="K24" s="93" t="s">
        <v>38</v>
      </c>
      <c r="L24" s="92">
        <f t="shared" si="0"/>
        <v>0</v>
      </c>
      <c r="M24" s="26">
        <f t="shared" si="1"/>
        <v>44604</v>
      </c>
      <c r="N24" t="s">
        <v>97</v>
      </c>
      <c r="O24" s="44">
        <f t="shared" si="2"/>
        <v>543344</v>
      </c>
      <c r="Q24" t="str">
        <f t="shared" si="3"/>
        <v>Product B</v>
      </c>
      <c r="R24" s="49" t="str">
        <f t="shared" si="4"/>
        <v>Client 8</v>
      </c>
    </row>
    <row r="25" spans="1:18">
      <c r="A25" s="55" t="s">
        <v>33</v>
      </c>
      <c r="B25" s="78" t="str">
        <f>VLOOKUP(A25,'Selling prices'!A:B,2,0)</f>
        <v>Product A</v>
      </c>
      <c r="C25" s="26">
        <v>44573</v>
      </c>
      <c r="F25" s="86">
        <v>44604</v>
      </c>
      <c r="G25" s="29" t="s">
        <v>97</v>
      </c>
      <c r="H25" s="87">
        <v>543344</v>
      </c>
      <c r="J25" s="29" t="s">
        <v>10</v>
      </c>
      <c r="K25" s="29" t="s">
        <v>38</v>
      </c>
      <c r="L25" s="92">
        <f t="shared" si="0"/>
        <v>0</v>
      </c>
      <c r="M25" s="26">
        <f t="shared" si="1"/>
        <v>44604</v>
      </c>
      <c r="N25" t="s">
        <v>97</v>
      </c>
      <c r="O25" s="44">
        <f t="shared" si="2"/>
        <v>0</v>
      </c>
      <c r="Q25" t="str">
        <f t="shared" si="3"/>
        <v>Product B</v>
      </c>
      <c r="R25" s="49" t="str">
        <f t="shared" si="4"/>
        <v>Client 8</v>
      </c>
    </row>
    <row r="26" spans="1:18">
      <c r="A26" s="55" t="s">
        <v>38</v>
      </c>
      <c r="B26" s="78" t="str">
        <f>VLOOKUP(A26,'Selling prices'!A:B,2,0)</f>
        <v>Product B</v>
      </c>
      <c r="C26" s="26">
        <v>44588</v>
      </c>
      <c r="F26" s="94">
        <v>44606</v>
      </c>
      <c r="G26" s="29" t="s">
        <v>98</v>
      </c>
      <c r="H26" s="88"/>
      <c r="I26" s="88">
        <v>273400</v>
      </c>
      <c r="J26" s="29" t="s">
        <v>14</v>
      </c>
      <c r="K26" s="93" t="s">
        <v>40</v>
      </c>
      <c r="L26" s="92">
        <f t="shared" si="0"/>
        <v>0</v>
      </c>
      <c r="M26" s="26">
        <f t="shared" si="1"/>
        <v>44606</v>
      </c>
      <c r="N26" t="s">
        <v>97</v>
      </c>
      <c r="O26" s="44">
        <f t="shared" si="2"/>
        <v>273400</v>
      </c>
      <c r="Q26" t="str">
        <f t="shared" si="3"/>
        <v>Product C</v>
      </c>
      <c r="R26" s="49" t="str">
        <f t="shared" si="4"/>
        <v>Client 3</v>
      </c>
    </row>
    <row r="27" spans="1:18">
      <c r="A27" s="55" t="s">
        <v>34</v>
      </c>
      <c r="B27" s="78" t="str">
        <f>VLOOKUP(A27,'Selling prices'!A:B,2,0)</f>
        <v>Product A</v>
      </c>
      <c r="C27" s="26">
        <v>44572</v>
      </c>
      <c r="F27" s="86">
        <v>44606</v>
      </c>
      <c r="G27" s="29" t="s">
        <v>97</v>
      </c>
      <c r="H27" s="87">
        <v>273400</v>
      </c>
      <c r="J27" s="29" t="s">
        <v>14</v>
      </c>
      <c r="K27" s="29" t="s">
        <v>40</v>
      </c>
      <c r="L27" s="92">
        <f t="shared" si="0"/>
        <v>0</v>
      </c>
      <c r="M27" s="26">
        <f t="shared" si="1"/>
        <v>44606</v>
      </c>
      <c r="N27" t="s">
        <v>97</v>
      </c>
      <c r="O27" s="44">
        <f t="shared" si="2"/>
        <v>0</v>
      </c>
      <c r="Q27" t="str">
        <f t="shared" si="3"/>
        <v>Product C</v>
      </c>
      <c r="R27" s="49" t="str">
        <f t="shared" si="4"/>
        <v>Client 3</v>
      </c>
    </row>
    <row r="28" spans="1:18" ht="16" thickBot="1">
      <c r="A28" s="57" t="s">
        <v>35</v>
      </c>
      <c r="B28" s="79" t="str">
        <f>VLOOKUP(A28,'Selling prices'!A:B,2,0)</f>
        <v>Product A</v>
      </c>
      <c r="C28" s="68">
        <v>44580</v>
      </c>
      <c r="F28" s="94">
        <v>44607</v>
      </c>
      <c r="G28" s="29" t="s">
        <v>98</v>
      </c>
      <c r="H28" s="88"/>
      <c r="I28" s="88">
        <v>483771</v>
      </c>
      <c r="J28" s="29" t="s">
        <v>10</v>
      </c>
      <c r="K28" s="93" t="s">
        <v>37</v>
      </c>
      <c r="L28" s="92">
        <f t="shared" si="0"/>
        <v>0</v>
      </c>
      <c r="M28" s="26">
        <f t="shared" si="1"/>
        <v>44607</v>
      </c>
      <c r="N28" t="s">
        <v>97</v>
      </c>
      <c r="O28" s="44">
        <f t="shared" si="2"/>
        <v>483771</v>
      </c>
      <c r="Q28" t="str">
        <f t="shared" si="3"/>
        <v>Product B</v>
      </c>
      <c r="R28" s="49" t="str">
        <f t="shared" si="4"/>
        <v>Client 6</v>
      </c>
    </row>
    <row r="29" spans="1:18">
      <c r="F29" s="86">
        <v>44607</v>
      </c>
      <c r="G29" s="29" t="s">
        <v>97</v>
      </c>
      <c r="H29" s="87">
        <v>483771</v>
      </c>
      <c r="J29" s="29" t="s">
        <v>10</v>
      </c>
      <c r="K29" s="29" t="s">
        <v>37</v>
      </c>
      <c r="L29" s="92">
        <f t="shared" si="0"/>
        <v>0</v>
      </c>
      <c r="M29" s="26">
        <f t="shared" si="1"/>
        <v>44607</v>
      </c>
      <c r="N29" t="s">
        <v>97</v>
      </c>
      <c r="O29" s="44">
        <f t="shared" si="2"/>
        <v>0</v>
      </c>
      <c r="Q29" t="str">
        <f t="shared" si="3"/>
        <v>Product B</v>
      </c>
      <c r="R29" s="49" t="str">
        <f t="shared" si="4"/>
        <v>Client 6</v>
      </c>
    </row>
    <row r="30" spans="1:18">
      <c r="F30" s="94">
        <v>44609</v>
      </c>
      <c r="G30" s="29" t="s">
        <v>98</v>
      </c>
      <c r="I30" s="88">
        <v>2424273</v>
      </c>
      <c r="J30" s="29" t="s">
        <v>14</v>
      </c>
      <c r="K30" s="29" t="s">
        <v>39</v>
      </c>
      <c r="L30" s="92">
        <f t="shared" si="0"/>
        <v>0</v>
      </c>
      <c r="M30" s="26">
        <f t="shared" si="1"/>
        <v>44609</v>
      </c>
      <c r="N30" t="s">
        <v>97</v>
      </c>
      <c r="O30" s="44">
        <f t="shared" si="2"/>
        <v>2424273</v>
      </c>
      <c r="Q30" t="str">
        <f t="shared" si="3"/>
        <v>Product C</v>
      </c>
      <c r="R30" s="49" t="str">
        <f t="shared" si="4"/>
        <v>Client 1</v>
      </c>
    </row>
    <row r="31" spans="1:18">
      <c r="F31" s="86">
        <v>44609</v>
      </c>
      <c r="G31" s="29" t="s">
        <v>97</v>
      </c>
      <c r="H31" s="87">
        <v>2424273</v>
      </c>
      <c r="J31" s="29" t="s">
        <v>14</v>
      </c>
      <c r="K31" s="29" t="s">
        <v>39</v>
      </c>
      <c r="L31" s="92">
        <f t="shared" si="0"/>
        <v>0</v>
      </c>
      <c r="M31" s="26">
        <f t="shared" si="1"/>
        <v>44609</v>
      </c>
      <c r="N31" t="s">
        <v>97</v>
      </c>
      <c r="O31" s="44">
        <f t="shared" si="2"/>
        <v>0</v>
      </c>
      <c r="Q31" t="str">
        <f t="shared" si="3"/>
        <v>Product C</v>
      </c>
      <c r="R31" s="49" t="str">
        <f t="shared" si="4"/>
        <v>Client 1</v>
      </c>
    </row>
    <row r="32" spans="1:18">
      <c r="F32" s="94">
        <v>44610</v>
      </c>
      <c r="G32" s="29" t="s">
        <v>98</v>
      </c>
      <c r="H32" s="88"/>
      <c r="I32" s="88">
        <v>1348382</v>
      </c>
      <c r="J32" s="29" t="s">
        <v>10</v>
      </c>
      <c r="K32" s="93" t="s">
        <v>36</v>
      </c>
      <c r="L32" s="92">
        <f t="shared" si="0"/>
        <v>0</v>
      </c>
      <c r="M32" s="26">
        <f t="shared" si="1"/>
        <v>44610</v>
      </c>
      <c r="N32" t="s">
        <v>97</v>
      </c>
      <c r="O32" s="44">
        <f t="shared" si="2"/>
        <v>1348382</v>
      </c>
      <c r="Q32" t="str">
        <f t="shared" si="3"/>
        <v>Product B</v>
      </c>
      <c r="R32" s="49" t="str">
        <f t="shared" si="4"/>
        <v>Client 4</v>
      </c>
    </row>
    <row r="33" spans="6:18">
      <c r="F33" s="94">
        <v>44610</v>
      </c>
      <c r="G33" s="29" t="s">
        <v>98</v>
      </c>
      <c r="H33" s="88"/>
      <c r="I33" s="88">
        <v>1282260</v>
      </c>
      <c r="J33" s="29" t="s">
        <v>2</v>
      </c>
      <c r="K33" s="93" t="s">
        <v>33</v>
      </c>
      <c r="L33" s="92">
        <f t="shared" si="0"/>
        <v>0</v>
      </c>
      <c r="M33" s="26">
        <f t="shared" si="1"/>
        <v>44610</v>
      </c>
      <c r="N33" t="s">
        <v>97</v>
      </c>
      <c r="O33" s="44">
        <f t="shared" si="2"/>
        <v>1282260</v>
      </c>
      <c r="Q33" t="str">
        <f t="shared" si="3"/>
        <v>Product A</v>
      </c>
      <c r="R33" s="49" t="str">
        <f t="shared" si="4"/>
        <v>Client 7</v>
      </c>
    </row>
    <row r="34" spans="6:18">
      <c r="F34" s="86">
        <v>44610</v>
      </c>
      <c r="G34" s="29" t="s">
        <v>97</v>
      </c>
      <c r="H34" s="87">
        <v>1348382</v>
      </c>
      <c r="J34" s="29" t="s">
        <v>10</v>
      </c>
      <c r="K34" s="29" t="s">
        <v>36</v>
      </c>
      <c r="L34" s="92">
        <f t="shared" si="0"/>
        <v>0</v>
      </c>
      <c r="M34" s="26">
        <f t="shared" si="1"/>
        <v>44610</v>
      </c>
      <c r="N34" t="s">
        <v>97</v>
      </c>
      <c r="O34" s="44">
        <f t="shared" si="2"/>
        <v>0</v>
      </c>
      <c r="Q34" t="str">
        <f t="shared" si="3"/>
        <v>Product B</v>
      </c>
      <c r="R34" s="49" t="str">
        <f t="shared" si="4"/>
        <v>Client 4</v>
      </c>
    </row>
    <row r="35" spans="6:18">
      <c r="F35" s="86">
        <v>44610</v>
      </c>
      <c r="G35" s="29" t="s">
        <v>97</v>
      </c>
      <c r="H35" s="87">
        <v>1282260</v>
      </c>
      <c r="J35" s="29" t="s">
        <v>2</v>
      </c>
      <c r="K35" s="29" t="s">
        <v>33</v>
      </c>
      <c r="L35" s="92">
        <f t="shared" si="0"/>
        <v>0</v>
      </c>
      <c r="M35" s="26">
        <f t="shared" si="1"/>
        <v>44610</v>
      </c>
      <c r="N35" t="s">
        <v>97</v>
      </c>
      <c r="O35" s="44">
        <f t="shared" si="2"/>
        <v>0</v>
      </c>
      <c r="Q35" t="str">
        <f t="shared" si="3"/>
        <v>Product A</v>
      </c>
      <c r="R35" s="49" t="str">
        <f t="shared" si="4"/>
        <v>Client 7</v>
      </c>
    </row>
    <row r="36" spans="6:18">
      <c r="F36" s="94">
        <v>44611</v>
      </c>
      <c r="G36" s="29" t="s">
        <v>98</v>
      </c>
      <c r="H36" s="88"/>
      <c r="I36" s="88">
        <v>2014920</v>
      </c>
      <c r="J36" s="29" t="s">
        <v>2</v>
      </c>
      <c r="K36" s="93" t="s">
        <v>35</v>
      </c>
      <c r="L36" s="92">
        <f t="shared" si="0"/>
        <v>0</v>
      </c>
      <c r="M36" s="26">
        <f t="shared" si="1"/>
        <v>44611</v>
      </c>
      <c r="N36" t="s">
        <v>97</v>
      </c>
      <c r="O36" s="44">
        <f t="shared" si="2"/>
        <v>2014920</v>
      </c>
      <c r="Q36" t="str">
        <f t="shared" si="3"/>
        <v>Product A</v>
      </c>
      <c r="R36" s="49" t="str">
        <f t="shared" si="4"/>
        <v>Client 10</v>
      </c>
    </row>
    <row r="37" spans="6:18">
      <c r="F37" s="86">
        <v>44611</v>
      </c>
      <c r="G37" s="29" t="s">
        <v>97</v>
      </c>
      <c r="H37" s="87">
        <v>2014920</v>
      </c>
      <c r="J37" s="29" t="s">
        <v>2</v>
      </c>
      <c r="K37" s="29" t="s">
        <v>35</v>
      </c>
      <c r="L37" s="92">
        <f t="shared" si="0"/>
        <v>0</v>
      </c>
      <c r="M37" s="26">
        <f t="shared" si="1"/>
        <v>44611</v>
      </c>
      <c r="N37" t="s">
        <v>97</v>
      </c>
      <c r="O37" s="44">
        <f t="shared" si="2"/>
        <v>0</v>
      </c>
      <c r="Q37" t="str">
        <f t="shared" si="3"/>
        <v>Product A</v>
      </c>
      <c r="R37" s="49" t="str">
        <f t="shared" si="4"/>
        <v>Client 10</v>
      </c>
    </row>
    <row r="38" spans="6:18">
      <c r="F38" s="94">
        <v>44613</v>
      </c>
      <c r="G38" s="29" t="s">
        <v>98</v>
      </c>
      <c r="H38" s="88"/>
      <c r="I38" s="88">
        <v>1025715</v>
      </c>
      <c r="J38" s="29" t="s">
        <v>2</v>
      </c>
      <c r="K38" s="93" t="s">
        <v>31</v>
      </c>
      <c r="L38" s="92">
        <f t="shared" si="0"/>
        <v>0</v>
      </c>
      <c r="M38" s="26">
        <f t="shared" si="1"/>
        <v>44613</v>
      </c>
      <c r="N38" t="s">
        <v>97</v>
      </c>
      <c r="O38" s="44">
        <f t="shared" si="2"/>
        <v>1025715</v>
      </c>
      <c r="Q38" t="str">
        <f t="shared" si="3"/>
        <v>Product A</v>
      </c>
      <c r="R38" s="49" t="str">
        <f t="shared" si="4"/>
        <v>Client 2</v>
      </c>
    </row>
    <row r="39" spans="6:18">
      <c r="F39" s="94">
        <v>44613</v>
      </c>
      <c r="G39" s="29" t="s">
        <v>98</v>
      </c>
      <c r="H39" s="88"/>
      <c r="I39" s="88">
        <v>1502664</v>
      </c>
      <c r="J39" s="29" t="s">
        <v>2</v>
      </c>
      <c r="K39" s="93" t="s">
        <v>34</v>
      </c>
      <c r="L39" s="92">
        <f t="shared" si="0"/>
        <v>0</v>
      </c>
      <c r="M39" s="26">
        <f t="shared" si="1"/>
        <v>44613</v>
      </c>
      <c r="N39" t="s">
        <v>97</v>
      </c>
      <c r="O39" s="44">
        <f t="shared" si="2"/>
        <v>1502664</v>
      </c>
      <c r="Q39" t="str">
        <f t="shared" si="3"/>
        <v>Product A</v>
      </c>
      <c r="R39" s="49" t="str">
        <f t="shared" si="4"/>
        <v>Client 9</v>
      </c>
    </row>
    <row r="40" spans="6:18">
      <c r="F40" s="86">
        <v>44613</v>
      </c>
      <c r="G40" s="29" t="s">
        <v>97</v>
      </c>
      <c r="H40" s="87">
        <v>1025715</v>
      </c>
      <c r="J40" s="29" t="s">
        <v>2</v>
      </c>
      <c r="K40" s="29" t="s">
        <v>31</v>
      </c>
      <c r="L40" s="92">
        <f t="shared" si="0"/>
        <v>0</v>
      </c>
      <c r="M40" s="26">
        <f t="shared" si="1"/>
        <v>44613</v>
      </c>
      <c r="N40" t="s">
        <v>97</v>
      </c>
      <c r="O40" s="44">
        <f t="shared" si="2"/>
        <v>0</v>
      </c>
      <c r="Q40" t="str">
        <f t="shared" si="3"/>
        <v>Product A</v>
      </c>
      <c r="R40" s="49" t="str">
        <f t="shared" si="4"/>
        <v>Client 2</v>
      </c>
    </row>
    <row r="41" spans="6:18">
      <c r="F41" s="86">
        <v>44613</v>
      </c>
      <c r="G41" s="29" t="s">
        <v>97</v>
      </c>
      <c r="H41" s="87">
        <v>1502664</v>
      </c>
      <c r="J41" s="29" t="s">
        <v>2</v>
      </c>
      <c r="K41" s="29" t="s">
        <v>34</v>
      </c>
      <c r="L41" s="92">
        <f t="shared" si="0"/>
        <v>0</v>
      </c>
      <c r="M41" s="26">
        <f t="shared" si="1"/>
        <v>44613</v>
      </c>
      <c r="N41" t="s">
        <v>97</v>
      </c>
      <c r="O41" s="44">
        <f t="shared" si="2"/>
        <v>0</v>
      </c>
      <c r="Q41" t="str">
        <f t="shared" si="3"/>
        <v>Product A</v>
      </c>
      <c r="R41" s="49" t="str">
        <f t="shared" si="4"/>
        <v>Client 9</v>
      </c>
    </row>
    <row r="42" spans="6:18">
      <c r="F42" s="94">
        <v>44618</v>
      </c>
      <c r="G42" s="29" t="s">
        <v>98</v>
      </c>
      <c r="H42" s="88"/>
      <c r="I42" s="88">
        <v>1827738</v>
      </c>
      <c r="J42" s="29" t="s">
        <v>2</v>
      </c>
      <c r="K42" s="93" t="s">
        <v>32</v>
      </c>
      <c r="L42" s="92">
        <f t="shared" si="0"/>
        <v>0</v>
      </c>
      <c r="M42" s="26">
        <f t="shared" si="1"/>
        <v>44618</v>
      </c>
      <c r="N42" t="s">
        <v>97</v>
      </c>
      <c r="O42" s="44">
        <f t="shared" si="2"/>
        <v>1827738</v>
      </c>
      <c r="Q42" t="str">
        <f t="shared" si="3"/>
        <v>Product A</v>
      </c>
      <c r="R42" s="49" t="str">
        <f t="shared" si="4"/>
        <v>Client 5</v>
      </c>
    </row>
    <row r="43" spans="6:18">
      <c r="F43" s="86">
        <v>44618</v>
      </c>
      <c r="G43" s="29" t="s">
        <v>97</v>
      </c>
      <c r="H43" s="87">
        <v>1827738</v>
      </c>
      <c r="J43" s="29" t="s">
        <v>2</v>
      </c>
      <c r="K43" s="29" t="s">
        <v>32</v>
      </c>
      <c r="L43" s="92">
        <f t="shared" si="0"/>
        <v>0</v>
      </c>
      <c r="M43" s="26">
        <f t="shared" si="1"/>
        <v>44618</v>
      </c>
      <c r="N43" t="s">
        <v>97</v>
      </c>
      <c r="O43" s="44">
        <f t="shared" si="2"/>
        <v>0</v>
      </c>
      <c r="Q43" t="str">
        <f t="shared" si="3"/>
        <v>Product A</v>
      </c>
      <c r="R43" s="49" t="str">
        <f t="shared" si="4"/>
        <v>Client 5</v>
      </c>
    </row>
    <row r="44" spans="6:18">
      <c r="F44" s="94">
        <v>44634</v>
      </c>
      <c r="G44" s="29" t="s">
        <v>98</v>
      </c>
      <c r="I44" s="88">
        <v>664416</v>
      </c>
      <c r="J44" s="29" t="s">
        <v>2</v>
      </c>
      <c r="K44" s="93" t="s">
        <v>34</v>
      </c>
      <c r="L44" s="92">
        <f t="shared" si="0"/>
        <v>0</v>
      </c>
      <c r="M44" s="26">
        <f t="shared" si="1"/>
        <v>44634</v>
      </c>
      <c r="N44" t="s">
        <v>97</v>
      </c>
      <c r="O44" s="44">
        <f t="shared" si="2"/>
        <v>664416</v>
      </c>
      <c r="Q44" t="str">
        <f t="shared" si="3"/>
        <v>Product A</v>
      </c>
      <c r="R44" s="49" t="str">
        <f t="shared" si="4"/>
        <v>Client 9</v>
      </c>
    </row>
    <row r="45" spans="6:18">
      <c r="F45" s="86">
        <v>44634</v>
      </c>
      <c r="G45" s="29" t="s">
        <v>97</v>
      </c>
      <c r="H45" s="87">
        <v>664416</v>
      </c>
      <c r="J45" s="29" t="s">
        <v>2</v>
      </c>
      <c r="K45" s="29" t="s">
        <v>34</v>
      </c>
      <c r="L45" s="92">
        <f t="shared" si="0"/>
        <v>0</v>
      </c>
      <c r="M45" s="26">
        <f t="shared" si="1"/>
        <v>44634</v>
      </c>
      <c r="N45" t="s">
        <v>97</v>
      </c>
      <c r="O45" s="44">
        <f t="shared" si="2"/>
        <v>0</v>
      </c>
      <c r="Q45" t="str">
        <f t="shared" si="3"/>
        <v>Product A</v>
      </c>
      <c r="R45" s="49" t="str">
        <f t="shared" si="4"/>
        <v>Client 9</v>
      </c>
    </row>
    <row r="46" spans="6:18">
      <c r="F46" s="94">
        <v>44635</v>
      </c>
      <c r="G46" s="29" t="s">
        <v>98</v>
      </c>
      <c r="I46" s="88">
        <v>585872</v>
      </c>
      <c r="J46" s="29" t="s">
        <v>10</v>
      </c>
      <c r="K46" s="93" t="s">
        <v>37</v>
      </c>
      <c r="L46" s="92">
        <f t="shared" si="0"/>
        <v>0</v>
      </c>
      <c r="M46" s="26">
        <f t="shared" si="1"/>
        <v>44635</v>
      </c>
      <c r="N46" t="s">
        <v>97</v>
      </c>
      <c r="O46" s="44">
        <f t="shared" si="2"/>
        <v>585872</v>
      </c>
      <c r="Q46" t="str">
        <f t="shared" si="3"/>
        <v>Product B</v>
      </c>
      <c r="R46" s="49" t="str">
        <f t="shared" si="4"/>
        <v>Client 6</v>
      </c>
    </row>
    <row r="47" spans="6:18">
      <c r="F47" s="86">
        <v>44635</v>
      </c>
      <c r="G47" s="29" t="s">
        <v>97</v>
      </c>
      <c r="H47" s="87">
        <v>585872</v>
      </c>
      <c r="J47" s="29" t="s">
        <v>10</v>
      </c>
      <c r="K47" s="29" t="s">
        <v>37</v>
      </c>
      <c r="L47" s="92">
        <f t="shared" si="0"/>
        <v>0</v>
      </c>
      <c r="M47" s="26">
        <f t="shared" si="1"/>
        <v>44635</v>
      </c>
      <c r="N47" t="s">
        <v>97</v>
      </c>
      <c r="O47" s="44">
        <f t="shared" si="2"/>
        <v>0</v>
      </c>
      <c r="Q47" t="str">
        <f t="shared" si="3"/>
        <v>Product B</v>
      </c>
      <c r="R47" s="49" t="str">
        <f t="shared" si="4"/>
        <v>Client 6</v>
      </c>
    </row>
    <row r="48" spans="6:18">
      <c r="F48" s="94">
        <v>44636</v>
      </c>
      <c r="G48" s="29" t="s">
        <v>98</v>
      </c>
      <c r="I48" s="88">
        <v>1217721</v>
      </c>
      <c r="J48" s="29" t="s">
        <v>14</v>
      </c>
      <c r="K48" s="93" t="s">
        <v>40</v>
      </c>
      <c r="L48" s="92">
        <f t="shared" si="0"/>
        <v>0</v>
      </c>
      <c r="M48" s="26">
        <f t="shared" si="1"/>
        <v>44636</v>
      </c>
      <c r="N48" t="s">
        <v>97</v>
      </c>
      <c r="O48" s="44">
        <f t="shared" si="2"/>
        <v>1217721</v>
      </c>
      <c r="Q48" t="str">
        <f t="shared" si="3"/>
        <v>Product C</v>
      </c>
      <c r="R48" s="49" t="str">
        <f t="shared" si="4"/>
        <v>Client 3</v>
      </c>
    </row>
    <row r="49" spans="6:18">
      <c r="F49" s="86">
        <v>44636</v>
      </c>
      <c r="G49" s="29" t="s">
        <v>97</v>
      </c>
      <c r="H49" s="87">
        <v>1217721</v>
      </c>
      <c r="J49" s="29" t="s">
        <v>14</v>
      </c>
      <c r="K49" s="29" t="s">
        <v>40</v>
      </c>
      <c r="L49" s="92">
        <f t="shared" si="0"/>
        <v>0</v>
      </c>
      <c r="M49" s="26">
        <f t="shared" si="1"/>
        <v>44636</v>
      </c>
      <c r="N49" t="s">
        <v>97</v>
      </c>
      <c r="O49" s="44">
        <f t="shared" si="2"/>
        <v>0</v>
      </c>
      <c r="Q49" t="str">
        <f t="shared" si="3"/>
        <v>Product C</v>
      </c>
      <c r="R49" s="49" t="str">
        <f t="shared" si="4"/>
        <v>Client 3</v>
      </c>
    </row>
    <row r="50" spans="6:18">
      <c r="F50" s="94">
        <v>44637</v>
      </c>
      <c r="G50" s="29" t="s">
        <v>98</v>
      </c>
      <c r="I50" s="88">
        <v>3772578</v>
      </c>
      <c r="J50" s="29" t="s">
        <v>14</v>
      </c>
      <c r="K50" s="29" t="s">
        <v>39</v>
      </c>
      <c r="L50" s="92">
        <f t="shared" si="0"/>
        <v>0</v>
      </c>
      <c r="M50" s="26">
        <f t="shared" si="1"/>
        <v>44637</v>
      </c>
      <c r="N50" t="s">
        <v>97</v>
      </c>
      <c r="O50" s="44">
        <f t="shared" si="2"/>
        <v>3772578</v>
      </c>
      <c r="Q50" t="str">
        <f t="shared" si="3"/>
        <v>Product C</v>
      </c>
      <c r="R50" s="49" t="str">
        <f t="shared" si="4"/>
        <v>Client 1</v>
      </c>
    </row>
    <row r="51" spans="6:18">
      <c r="F51" s="94">
        <v>44637</v>
      </c>
      <c r="G51" s="29" t="s">
        <v>98</v>
      </c>
      <c r="I51" s="88">
        <v>446978</v>
      </c>
      <c r="J51" s="29" t="s">
        <v>2</v>
      </c>
      <c r="K51" s="93" t="s">
        <v>33</v>
      </c>
      <c r="L51" s="92">
        <f t="shared" si="0"/>
        <v>0</v>
      </c>
      <c r="M51" s="26">
        <f t="shared" si="1"/>
        <v>44637</v>
      </c>
      <c r="N51" t="s">
        <v>97</v>
      </c>
      <c r="O51" s="44">
        <f t="shared" si="2"/>
        <v>446978</v>
      </c>
      <c r="Q51" t="str">
        <f t="shared" si="3"/>
        <v>Product A</v>
      </c>
      <c r="R51" s="49" t="str">
        <f t="shared" si="4"/>
        <v>Client 7</v>
      </c>
    </row>
    <row r="52" spans="6:18">
      <c r="F52" s="94">
        <v>44637</v>
      </c>
      <c r="G52" s="29" t="s">
        <v>98</v>
      </c>
      <c r="I52" s="88">
        <v>372166</v>
      </c>
      <c r="J52" s="29" t="s">
        <v>2</v>
      </c>
      <c r="K52" s="93" t="s">
        <v>35</v>
      </c>
      <c r="L52" s="92">
        <f t="shared" si="0"/>
        <v>0</v>
      </c>
      <c r="M52" s="26">
        <f t="shared" si="1"/>
        <v>44637</v>
      </c>
      <c r="N52" t="s">
        <v>97</v>
      </c>
      <c r="O52" s="44">
        <f t="shared" si="2"/>
        <v>372166</v>
      </c>
      <c r="Q52" t="str">
        <f t="shared" si="3"/>
        <v>Product A</v>
      </c>
      <c r="R52" s="49" t="str">
        <f t="shared" si="4"/>
        <v>Client 10</v>
      </c>
    </row>
    <row r="53" spans="6:18">
      <c r="F53" s="86">
        <v>44637</v>
      </c>
      <c r="G53" s="29" t="s">
        <v>97</v>
      </c>
      <c r="H53" s="87">
        <v>3772578</v>
      </c>
      <c r="J53" s="29" t="s">
        <v>14</v>
      </c>
      <c r="K53" s="29" t="s">
        <v>39</v>
      </c>
      <c r="L53" s="92">
        <f t="shared" si="0"/>
        <v>0</v>
      </c>
      <c r="M53" s="26">
        <f t="shared" si="1"/>
        <v>44637</v>
      </c>
      <c r="N53" t="s">
        <v>97</v>
      </c>
      <c r="O53" s="44">
        <f t="shared" si="2"/>
        <v>0</v>
      </c>
      <c r="Q53" t="str">
        <f t="shared" si="3"/>
        <v>Product C</v>
      </c>
      <c r="R53" s="49" t="str">
        <f t="shared" si="4"/>
        <v>Client 1</v>
      </c>
    </row>
    <row r="54" spans="6:18">
      <c r="F54" s="86">
        <v>44637</v>
      </c>
      <c r="G54" s="29" t="s">
        <v>97</v>
      </c>
      <c r="H54" s="87">
        <v>446978</v>
      </c>
      <c r="J54" s="29" t="s">
        <v>2</v>
      </c>
      <c r="K54" s="29" t="s">
        <v>33</v>
      </c>
      <c r="L54" s="92">
        <f t="shared" si="0"/>
        <v>0</v>
      </c>
      <c r="M54" s="26">
        <f t="shared" si="1"/>
        <v>44637</v>
      </c>
      <c r="N54" t="s">
        <v>97</v>
      </c>
      <c r="O54" s="44">
        <f t="shared" si="2"/>
        <v>0</v>
      </c>
      <c r="Q54" t="str">
        <f t="shared" si="3"/>
        <v>Product A</v>
      </c>
      <c r="R54" s="49" t="str">
        <f t="shared" si="4"/>
        <v>Client 7</v>
      </c>
    </row>
    <row r="55" spans="6:18">
      <c r="F55" s="86">
        <v>44637</v>
      </c>
      <c r="G55" s="29" t="s">
        <v>97</v>
      </c>
      <c r="H55" s="87">
        <v>372166</v>
      </c>
      <c r="J55" s="29" t="s">
        <v>2</v>
      </c>
      <c r="K55" s="29" t="s">
        <v>35</v>
      </c>
      <c r="L55" s="92">
        <f t="shared" si="0"/>
        <v>0</v>
      </c>
      <c r="M55" s="26">
        <f t="shared" si="1"/>
        <v>44637</v>
      </c>
      <c r="N55" t="s">
        <v>97</v>
      </c>
      <c r="O55" s="44">
        <f t="shared" si="2"/>
        <v>0</v>
      </c>
      <c r="Q55" t="str">
        <f t="shared" si="3"/>
        <v>Product A</v>
      </c>
      <c r="R55" s="49" t="str">
        <f t="shared" si="4"/>
        <v>Client 10</v>
      </c>
    </row>
    <row r="56" spans="6:18">
      <c r="F56" s="94">
        <v>44638</v>
      </c>
      <c r="G56" s="29" t="s">
        <v>98</v>
      </c>
      <c r="I56" s="88">
        <v>421857</v>
      </c>
      <c r="J56" s="29" t="s">
        <v>2</v>
      </c>
      <c r="K56" s="93" t="s">
        <v>32</v>
      </c>
      <c r="L56" s="92">
        <f t="shared" si="0"/>
        <v>0</v>
      </c>
      <c r="M56" s="26">
        <f t="shared" si="1"/>
        <v>44638</v>
      </c>
      <c r="N56" t="s">
        <v>97</v>
      </c>
      <c r="O56" s="44">
        <f t="shared" si="2"/>
        <v>421857</v>
      </c>
      <c r="Q56" t="str">
        <f t="shared" si="3"/>
        <v>Product A</v>
      </c>
      <c r="R56" s="49" t="str">
        <f t="shared" si="4"/>
        <v>Client 5</v>
      </c>
    </row>
    <row r="57" spans="6:18">
      <c r="F57" s="86">
        <v>44638</v>
      </c>
      <c r="G57" s="29" t="s">
        <v>97</v>
      </c>
      <c r="H57" s="87">
        <v>421857</v>
      </c>
      <c r="J57" s="29" t="s">
        <v>2</v>
      </c>
      <c r="K57" s="29" t="s">
        <v>32</v>
      </c>
      <c r="L57" s="92">
        <f t="shared" si="0"/>
        <v>0</v>
      </c>
      <c r="M57" s="26">
        <f t="shared" si="1"/>
        <v>44638</v>
      </c>
      <c r="N57" t="s">
        <v>97</v>
      </c>
      <c r="O57" s="44">
        <f t="shared" si="2"/>
        <v>0</v>
      </c>
      <c r="Q57" t="str">
        <f t="shared" si="3"/>
        <v>Product A</v>
      </c>
      <c r="R57" s="49" t="str">
        <f t="shared" si="4"/>
        <v>Client 5</v>
      </c>
    </row>
    <row r="58" spans="6:18">
      <c r="F58" s="94">
        <v>44639</v>
      </c>
      <c r="G58" s="29" t="s">
        <v>98</v>
      </c>
      <c r="I58" s="88">
        <v>861150</v>
      </c>
      <c r="J58" s="29" t="s">
        <v>10</v>
      </c>
      <c r="K58" s="93" t="s">
        <v>36</v>
      </c>
      <c r="L58" s="92">
        <f t="shared" si="0"/>
        <v>0</v>
      </c>
      <c r="M58" s="26">
        <f t="shared" si="1"/>
        <v>44639</v>
      </c>
      <c r="N58" t="s">
        <v>97</v>
      </c>
      <c r="O58" s="44">
        <f t="shared" si="2"/>
        <v>861150</v>
      </c>
      <c r="Q58" t="str">
        <f t="shared" si="3"/>
        <v>Product B</v>
      </c>
      <c r="R58" s="49" t="str">
        <f t="shared" si="4"/>
        <v>Client 4</v>
      </c>
    </row>
    <row r="59" spans="6:18">
      <c r="F59" s="86">
        <v>44639</v>
      </c>
      <c r="G59" s="29" t="s">
        <v>97</v>
      </c>
      <c r="H59" s="87">
        <v>861150</v>
      </c>
      <c r="J59" s="29" t="s">
        <v>10</v>
      </c>
      <c r="K59" s="29" t="s">
        <v>36</v>
      </c>
      <c r="L59" s="92">
        <f t="shared" si="0"/>
        <v>0</v>
      </c>
      <c r="M59" s="26">
        <f t="shared" si="1"/>
        <v>44639</v>
      </c>
      <c r="N59" t="s">
        <v>97</v>
      </c>
      <c r="O59" s="44">
        <f t="shared" si="2"/>
        <v>0</v>
      </c>
      <c r="Q59" t="str">
        <f t="shared" si="3"/>
        <v>Product B</v>
      </c>
      <c r="R59" s="49" t="str">
        <f t="shared" si="4"/>
        <v>Client 4</v>
      </c>
    </row>
    <row r="60" spans="6:18">
      <c r="F60" s="94">
        <v>44644</v>
      </c>
      <c r="G60" s="29" t="s">
        <v>98</v>
      </c>
      <c r="I60" s="88">
        <v>1402960</v>
      </c>
      <c r="J60" s="29" t="s">
        <v>10</v>
      </c>
      <c r="K60" s="93" t="s">
        <v>38</v>
      </c>
      <c r="L60" s="92">
        <f t="shared" si="0"/>
        <v>0</v>
      </c>
      <c r="M60" s="26">
        <f t="shared" si="1"/>
        <v>44644</v>
      </c>
      <c r="N60" t="s">
        <v>97</v>
      </c>
      <c r="O60" s="44">
        <f t="shared" si="2"/>
        <v>1402960</v>
      </c>
      <c r="Q60" t="str">
        <f t="shared" si="3"/>
        <v>Product B</v>
      </c>
      <c r="R60" s="49" t="str">
        <f t="shared" si="4"/>
        <v>Client 8</v>
      </c>
    </row>
    <row r="61" spans="6:18">
      <c r="F61" s="86">
        <v>44644</v>
      </c>
      <c r="G61" s="29" t="s">
        <v>97</v>
      </c>
      <c r="H61" s="87">
        <v>1402960</v>
      </c>
      <c r="J61" s="29" t="s">
        <v>10</v>
      </c>
      <c r="K61" s="29" t="s">
        <v>38</v>
      </c>
      <c r="L61" s="92">
        <f t="shared" si="0"/>
        <v>0</v>
      </c>
      <c r="M61" s="26">
        <f t="shared" si="1"/>
        <v>44644</v>
      </c>
      <c r="N61" t="s">
        <v>97</v>
      </c>
      <c r="O61" s="44">
        <f t="shared" si="2"/>
        <v>0</v>
      </c>
      <c r="Q61" t="str">
        <f t="shared" si="3"/>
        <v>Product B</v>
      </c>
      <c r="R61" s="49" t="str">
        <f t="shared" si="4"/>
        <v>Client 8</v>
      </c>
    </row>
    <row r="62" spans="6:18">
      <c r="F62" s="94">
        <v>44648</v>
      </c>
      <c r="G62" s="29" t="s">
        <v>98</v>
      </c>
      <c r="I62" s="88">
        <v>1050962</v>
      </c>
      <c r="J62" s="29" t="s">
        <v>2</v>
      </c>
      <c r="K62" s="93" t="s">
        <v>31</v>
      </c>
      <c r="L62" s="92">
        <f t="shared" si="0"/>
        <v>0</v>
      </c>
      <c r="M62" s="26">
        <f t="shared" si="1"/>
        <v>44648</v>
      </c>
      <c r="N62" t="s">
        <v>97</v>
      </c>
      <c r="O62" s="44">
        <f t="shared" si="2"/>
        <v>1050962</v>
      </c>
      <c r="Q62" t="str">
        <f t="shared" si="3"/>
        <v>Product A</v>
      </c>
      <c r="R62" s="49" t="str">
        <f t="shared" si="4"/>
        <v>Client 2</v>
      </c>
    </row>
    <row r="63" spans="6:18">
      <c r="F63" s="86">
        <v>44648</v>
      </c>
      <c r="G63" s="29" t="s">
        <v>97</v>
      </c>
      <c r="H63" s="87">
        <v>1050962</v>
      </c>
      <c r="J63" s="29" t="s">
        <v>2</v>
      </c>
      <c r="K63" s="29" t="s">
        <v>31</v>
      </c>
      <c r="L63" s="92">
        <f t="shared" si="0"/>
        <v>0</v>
      </c>
      <c r="M63" s="26">
        <f t="shared" si="1"/>
        <v>44648</v>
      </c>
      <c r="N63" t="s">
        <v>97</v>
      </c>
      <c r="O63" s="44">
        <f t="shared" si="2"/>
        <v>0</v>
      </c>
      <c r="Q63" t="str">
        <f t="shared" si="3"/>
        <v>Product A</v>
      </c>
      <c r="R63" s="49" t="str">
        <f t="shared" si="4"/>
        <v>Client 2</v>
      </c>
    </row>
    <row r="64" spans="6:18">
      <c r="F64" s="94">
        <v>44667</v>
      </c>
      <c r="G64" s="29" t="s">
        <v>98</v>
      </c>
      <c r="I64" s="88">
        <v>1466607</v>
      </c>
      <c r="J64" s="29" t="s">
        <v>14</v>
      </c>
      <c r="K64" s="93" t="s">
        <v>40</v>
      </c>
      <c r="L64" s="92">
        <f t="shared" si="0"/>
        <v>0</v>
      </c>
      <c r="M64" s="26">
        <f t="shared" si="1"/>
        <v>44667</v>
      </c>
      <c r="N64" t="s">
        <v>97</v>
      </c>
      <c r="O64" s="44">
        <f t="shared" si="2"/>
        <v>1466607</v>
      </c>
      <c r="Q64" t="str">
        <f t="shared" si="3"/>
        <v>Product C</v>
      </c>
      <c r="R64" s="49" t="str">
        <f t="shared" si="4"/>
        <v>Client 3</v>
      </c>
    </row>
    <row r="65" spans="6:18">
      <c r="F65" s="94">
        <v>44667</v>
      </c>
      <c r="G65" s="29" t="s">
        <v>98</v>
      </c>
      <c r="I65" s="88">
        <v>1658016</v>
      </c>
      <c r="J65" s="29" t="s">
        <v>2</v>
      </c>
      <c r="K65" s="93" t="s">
        <v>34</v>
      </c>
      <c r="L65" s="92">
        <f t="shared" si="0"/>
        <v>0</v>
      </c>
      <c r="M65" s="26">
        <f t="shared" si="1"/>
        <v>44667</v>
      </c>
      <c r="N65" t="s">
        <v>97</v>
      </c>
      <c r="O65" s="44">
        <f t="shared" si="2"/>
        <v>1658016</v>
      </c>
      <c r="Q65" t="str">
        <f t="shared" si="3"/>
        <v>Product A</v>
      </c>
      <c r="R65" s="49" t="str">
        <f t="shared" si="4"/>
        <v>Client 9</v>
      </c>
    </row>
    <row r="66" spans="6:18">
      <c r="F66" s="86">
        <v>44667</v>
      </c>
      <c r="G66" s="29" t="s">
        <v>97</v>
      </c>
      <c r="H66" s="87">
        <v>1466607</v>
      </c>
      <c r="J66" s="29" t="s">
        <v>14</v>
      </c>
      <c r="K66" s="29" t="s">
        <v>40</v>
      </c>
      <c r="L66" s="92">
        <f t="shared" si="0"/>
        <v>0</v>
      </c>
      <c r="M66" s="26">
        <f t="shared" si="1"/>
        <v>44667</v>
      </c>
      <c r="N66" t="s">
        <v>97</v>
      </c>
      <c r="O66" s="44">
        <f t="shared" si="2"/>
        <v>0</v>
      </c>
      <c r="Q66" t="str">
        <f t="shared" si="3"/>
        <v>Product C</v>
      </c>
      <c r="R66" s="49" t="str">
        <f t="shared" si="4"/>
        <v>Client 3</v>
      </c>
    </row>
    <row r="67" spans="6:18">
      <c r="F67" s="86">
        <v>44667</v>
      </c>
      <c r="G67" s="29" t="s">
        <v>97</v>
      </c>
      <c r="H67" s="87">
        <v>1658016</v>
      </c>
      <c r="J67" s="29" t="s">
        <v>2</v>
      </c>
      <c r="K67" s="29" t="s">
        <v>34</v>
      </c>
      <c r="L67" s="92">
        <f t="shared" si="0"/>
        <v>0</v>
      </c>
      <c r="M67" s="26">
        <f t="shared" si="1"/>
        <v>44667</v>
      </c>
      <c r="N67" t="s">
        <v>97</v>
      </c>
      <c r="O67" s="44">
        <f t="shared" si="2"/>
        <v>0</v>
      </c>
      <c r="Q67" t="str">
        <f t="shared" si="3"/>
        <v>Product A</v>
      </c>
      <c r="R67" s="49" t="str">
        <f t="shared" si="4"/>
        <v>Client 9</v>
      </c>
    </row>
    <row r="68" spans="6:18">
      <c r="F68" s="94">
        <v>44668</v>
      </c>
      <c r="G68" s="29" t="s">
        <v>98</v>
      </c>
      <c r="I68" s="88">
        <v>1073682</v>
      </c>
      <c r="J68" s="29" t="s">
        <v>10</v>
      </c>
      <c r="K68" s="93" t="s">
        <v>36</v>
      </c>
      <c r="L68" s="92">
        <f t="shared" si="0"/>
        <v>0</v>
      </c>
      <c r="M68" s="26">
        <f t="shared" si="1"/>
        <v>44668</v>
      </c>
      <c r="N68" t="s">
        <v>97</v>
      </c>
      <c r="O68" s="44">
        <f t="shared" si="2"/>
        <v>1073682</v>
      </c>
      <c r="Q68" t="str">
        <f t="shared" si="3"/>
        <v>Product B</v>
      </c>
      <c r="R68" s="49" t="str">
        <f t="shared" si="4"/>
        <v>Client 4</v>
      </c>
    </row>
    <row r="69" spans="6:18">
      <c r="F69" s="86">
        <v>44668</v>
      </c>
      <c r="G69" s="29" t="s">
        <v>97</v>
      </c>
      <c r="H69" s="87">
        <v>1073682</v>
      </c>
      <c r="J69" s="29" t="s">
        <v>10</v>
      </c>
      <c r="K69" s="29" t="s">
        <v>36</v>
      </c>
      <c r="L69" s="92">
        <f t="shared" ref="L69:L123" si="5">+I69-O69</f>
        <v>0</v>
      </c>
      <c r="M69" s="26">
        <f t="shared" ref="M69:M123" si="6">+F69</f>
        <v>44668</v>
      </c>
      <c r="N69" t="s">
        <v>97</v>
      </c>
      <c r="O69" s="44">
        <f t="shared" ref="O69:O123" si="7">+I69</f>
        <v>0</v>
      </c>
      <c r="Q69" t="str">
        <f t="shared" ref="Q69:Q123" si="8">+J69</f>
        <v>Product B</v>
      </c>
      <c r="R69" s="49" t="str">
        <f t="shared" ref="R69:R123" si="9">+K69</f>
        <v>Client 4</v>
      </c>
    </row>
    <row r="70" spans="6:18">
      <c r="F70" s="94">
        <v>44669</v>
      </c>
      <c r="G70" s="29" t="s">
        <v>98</v>
      </c>
      <c r="I70" s="88">
        <v>558195</v>
      </c>
      <c r="J70" s="29" t="s">
        <v>10</v>
      </c>
      <c r="K70" s="93" t="s">
        <v>37</v>
      </c>
      <c r="L70" s="92">
        <f t="shared" si="5"/>
        <v>0</v>
      </c>
      <c r="M70" s="26">
        <f t="shared" si="6"/>
        <v>44669</v>
      </c>
      <c r="N70" t="s">
        <v>97</v>
      </c>
      <c r="O70" s="44">
        <f t="shared" si="7"/>
        <v>558195</v>
      </c>
      <c r="Q70" t="str">
        <f t="shared" si="8"/>
        <v>Product B</v>
      </c>
      <c r="R70" s="49" t="str">
        <f t="shared" si="9"/>
        <v>Client 6</v>
      </c>
    </row>
    <row r="71" spans="6:18">
      <c r="F71" s="86">
        <v>44669</v>
      </c>
      <c r="G71" s="29" t="s">
        <v>97</v>
      </c>
      <c r="H71" s="87">
        <v>558195</v>
      </c>
      <c r="J71" s="29" t="s">
        <v>10</v>
      </c>
      <c r="K71" s="29" t="s">
        <v>37</v>
      </c>
      <c r="L71" s="92">
        <f t="shared" si="5"/>
        <v>0</v>
      </c>
      <c r="M71" s="26">
        <f t="shared" si="6"/>
        <v>44669</v>
      </c>
      <c r="N71" t="s">
        <v>97</v>
      </c>
      <c r="O71" s="44">
        <f t="shared" si="7"/>
        <v>0</v>
      </c>
      <c r="Q71" t="str">
        <f t="shared" si="8"/>
        <v>Product B</v>
      </c>
      <c r="R71" s="49" t="str">
        <f t="shared" si="9"/>
        <v>Client 6</v>
      </c>
    </row>
    <row r="72" spans="6:18">
      <c r="F72" s="94">
        <v>44670</v>
      </c>
      <c r="G72" s="29" t="s">
        <v>98</v>
      </c>
      <c r="I72" s="88">
        <v>440505</v>
      </c>
      <c r="J72" s="29" t="s">
        <v>2</v>
      </c>
      <c r="K72" s="93" t="s">
        <v>33</v>
      </c>
      <c r="L72" s="92">
        <f t="shared" si="5"/>
        <v>0</v>
      </c>
      <c r="M72" s="26">
        <f t="shared" si="6"/>
        <v>44670</v>
      </c>
      <c r="N72" t="s">
        <v>97</v>
      </c>
      <c r="O72" s="44">
        <f t="shared" si="7"/>
        <v>440505</v>
      </c>
      <c r="Q72" t="str">
        <f t="shared" si="8"/>
        <v>Product A</v>
      </c>
      <c r="R72" s="49" t="str">
        <f t="shared" si="9"/>
        <v>Client 7</v>
      </c>
    </row>
    <row r="73" spans="6:18">
      <c r="F73" s="86">
        <v>44670</v>
      </c>
      <c r="G73" s="29" t="s">
        <v>97</v>
      </c>
      <c r="H73" s="87">
        <v>440505</v>
      </c>
      <c r="J73" s="29" t="s">
        <v>2</v>
      </c>
      <c r="K73" s="29" t="s">
        <v>33</v>
      </c>
      <c r="L73" s="92">
        <f t="shared" si="5"/>
        <v>0</v>
      </c>
      <c r="M73" s="26">
        <f t="shared" si="6"/>
        <v>44670</v>
      </c>
      <c r="N73" t="s">
        <v>97</v>
      </c>
      <c r="O73" s="44">
        <f t="shared" si="7"/>
        <v>0</v>
      </c>
      <c r="Q73" t="str">
        <f t="shared" si="8"/>
        <v>Product A</v>
      </c>
      <c r="R73" s="49" t="str">
        <f t="shared" si="9"/>
        <v>Client 7</v>
      </c>
    </row>
    <row r="74" spans="6:18">
      <c r="F74" s="94">
        <v>44673</v>
      </c>
      <c r="G74" s="29" t="s">
        <v>98</v>
      </c>
      <c r="I74" s="88">
        <v>671880</v>
      </c>
      <c r="J74" s="29" t="s">
        <v>10</v>
      </c>
      <c r="K74" s="93" t="s">
        <v>38</v>
      </c>
      <c r="L74" s="92">
        <f t="shared" si="5"/>
        <v>0</v>
      </c>
      <c r="M74" s="26">
        <f t="shared" si="6"/>
        <v>44673</v>
      </c>
      <c r="N74" t="s">
        <v>97</v>
      </c>
      <c r="O74" s="44">
        <f t="shared" si="7"/>
        <v>671880</v>
      </c>
      <c r="Q74" t="str">
        <f t="shared" si="8"/>
        <v>Product B</v>
      </c>
      <c r="R74" s="49" t="str">
        <f t="shared" si="9"/>
        <v>Client 8</v>
      </c>
    </row>
    <row r="75" spans="6:18">
      <c r="F75" s="86">
        <v>44673</v>
      </c>
      <c r="G75" s="29" t="s">
        <v>97</v>
      </c>
      <c r="H75" s="87">
        <v>671880</v>
      </c>
      <c r="J75" s="29" t="s">
        <v>10</v>
      </c>
      <c r="K75" s="29" t="s">
        <v>38</v>
      </c>
      <c r="L75" s="92">
        <f t="shared" si="5"/>
        <v>0</v>
      </c>
      <c r="M75" s="26">
        <f t="shared" si="6"/>
        <v>44673</v>
      </c>
      <c r="N75" t="s">
        <v>97</v>
      </c>
      <c r="O75" s="44">
        <f t="shared" si="7"/>
        <v>0</v>
      </c>
      <c r="Q75" t="str">
        <f t="shared" si="8"/>
        <v>Product B</v>
      </c>
      <c r="R75" s="49" t="str">
        <f t="shared" si="9"/>
        <v>Client 8</v>
      </c>
    </row>
    <row r="76" spans="6:18">
      <c r="F76" s="94">
        <v>44674</v>
      </c>
      <c r="G76" s="29" t="s">
        <v>98</v>
      </c>
      <c r="I76" s="88">
        <v>1250755</v>
      </c>
      <c r="J76" s="29" t="s">
        <v>2</v>
      </c>
      <c r="K76" s="93" t="s">
        <v>32</v>
      </c>
      <c r="L76" s="92">
        <f t="shared" si="5"/>
        <v>0</v>
      </c>
      <c r="M76" s="26">
        <f t="shared" si="6"/>
        <v>44674</v>
      </c>
      <c r="N76" t="s">
        <v>97</v>
      </c>
      <c r="O76" s="44">
        <f t="shared" si="7"/>
        <v>1250755</v>
      </c>
      <c r="Q76" t="str">
        <f t="shared" si="8"/>
        <v>Product A</v>
      </c>
      <c r="R76" s="49" t="str">
        <f t="shared" si="9"/>
        <v>Client 5</v>
      </c>
    </row>
    <row r="77" spans="6:18">
      <c r="F77" s="86">
        <v>44674</v>
      </c>
      <c r="G77" s="29" t="s">
        <v>97</v>
      </c>
      <c r="H77" s="87">
        <v>1250755</v>
      </c>
      <c r="J77" s="29" t="s">
        <v>2</v>
      </c>
      <c r="K77" s="29" t="s">
        <v>32</v>
      </c>
      <c r="L77" s="92">
        <f t="shared" si="5"/>
        <v>0</v>
      </c>
      <c r="M77" s="26">
        <f t="shared" si="6"/>
        <v>44674</v>
      </c>
      <c r="N77" t="s">
        <v>97</v>
      </c>
      <c r="O77" s="44">
        <f t="shared" si="7"/>
        <v>0</v>
      </c>
      <c r="Q77" t="str">
        <f t="shared" si="8"/>
        <v>Product A</v>
      </c>
      <c r="R77" s="49" t="str">
        <f t="shared" si="9"/>
        <v>Client 5</v>
      </c>
    </row>
    <row r="78" spans="6:18">
      <c r="F78" s="94">
        <v>44679</v>
      </c>
      <c r="G78" s="29" t="s">
        <v>98</v>
      </c>
      <c r="I78" s="88">
        <v>2832624</v>
      </c>
      <c r="J78" s="29" t="s">
        <v>14</v>
      </c>
      <c r="K78" s="29" t="s">
        <v>39</v>
      </c>
      <c r="L78" s="92">
        <f t="shared" si="5"/>
        <v>0</v>
      </c>
      <c r="M78" s="26">
        <f t="shared" si="6"/>
        <v>44679</v>
      </c>
      <c r="N78" t="s">
        <v>97</v>
      </c>
      <c r="O78" s="44">
        <f t="shared" si="7"/>
        <v>2832624</v>
      </c>
      <c r="Q78" t="str">
        <f t="shared" si="8"/>
        <v>Product C</v>
      </c>
      <c r="R78" s="49" t="str">
        <f t="shared" si="9"/>
        <v>Client 1</v>
      </c>
    </row>
    <row r="79" spans="6:18">
      <c r="F79" s="86">
        <v>44679</v>
      </c>
      <c r="G79" s="29" t="s">
        <v>97</v>
      </c>
      <c r="H79" s="87">
        <v>2832624</v>
      </c>
      <c r="J79" s="29" t="s">
        <v>14</v>
      </c>
      <c r="K79" s="29" t="s">
        <v>39</v>
      </c>
      <c r="L79" s="92">
        <f t="shared" si="5"/>
        <v>0</v>
      </c>
      <c r="M79" s="26">
        <f t="shared" si="6"/>
        <v>44679</v>
      </c>
      <c r="N79" t="s">
        <v>97</v>
      </c>
      <c r="O79" s="44">
        <f t="shared" si="7"/>
        <v>0</v>
      </c>
      <c r="Q79" t="str">
        <f t="shared" si="8"/>
        <v>Product C</v>
      </c>
      <c r="R79" s="49" t="str">
        <f t="shared" si="9"/>
        <v>Client 1</v>
      </c>
    </row>
    <row r="80" spans="6:18">
      <c r="F80" s="94">
        <v>44680</v>
      </c>
      <c r="G80" s="29" t="s">
        <v>98</v>
      </c>
      <c r="I80" s="88">
        <v>1429818</v>
      </c>
      <c r="J80" s="29" t="s">
        <v>2</v>
      </c>
      <c r="K80" s="93" t="s">
        <v>31</v>
      </c>
      <c r="L80" s="92">
        <f t="shared" si="5"/>
        <v>0</v>
      </c>
      <c r="M80" s="26">
        <f t="shared" si="6"/>
        <v>44680</v>
      </c>
      <c r="N80" t="s">
        <v>97</v>
      </c>
      <c r="O80" s="44">
        <f t="shared" si="7"/>
        <v>1429818</v>
      </c>
      <c r="Q80" t="str">
        <f t="shared" si="8"/>
        <v>Product A</v>
      </c>
      <c r="R80" s="49" t="str">
        <f t="shared" si="9"/>
        <v>Client 2</v>
      </c>
    </row>
    <row r="81" spans="6:18">
      <c r="F81" s="94">
        <v>44680</v>
      </c>
      <c r="G81" s="29" t="s">
        <v>98</v>
      </c>
      <c r="I81" s="88">
        <v>1096316</v>
      </c>
      <c r="J81" s="29" t="s">
        <v>2</v>
      </c>
      <c r="K81" s="93" t="s">
        <v>35</v>
      </c>
      <c r="L81" s="92">
        <f t="shared" si="5"/>
        <v>0</v>
      </c>
      <c r="M81" s="26">
        <f t="shared" si="6"/>
        <v>44680</v>
      </c>
      <c r="N81" t="s">
        <v>97</v>
      </c>
      <c r="O81" s="44">
        <f t="shared" si="7"/>
        <v>1096316</v>
      </c>
      <c r="Q81" t="str">
        <f t="shared" si="8"/>
        <v>Product A</v>
      </c>
      <c r="R81" s="49" t="str">
        <f t="shared" si="9"/>
        <v>Client 10</v>
      </c>
    </row>
    <row r="82" spans="6:18">
      <c r="F82" s="86">
        <v>44680</v>
      </c>
      <c r="G82" s="29" t="s">
        <v>97</v>
      </c>
      <c r="H82" s="87">
        <v>1429818</v>
      </c>
      <c r="J82" s="29" t="s">
        <v>2</v>
      </c>
      <c r="K82" s="29" t="s">
        <v>31</v>
      </c>
      <c r="L82" s="92">
        <f t="shared" si="5"/>
        <v>0</v>
      </c>
      <c r="M82" s="26">
        <f t="shared" si="6"/>
        <v>44680</v>
      </c>
      <c r="N82" t="s">
        <v>97</v>
      </c>
      <c r="O82" s="44">
        <f t="shared" si="7"/>
        <v>0</v>
      </c>
      <c r="Q82" t="str">
        <f t="shared" si="8"/>
        <v>Product A</v>
      </c>
      <c r="R82" s="49" t="str">
        <f t="shared" si="9"/>
        <v>Client 2</v>
      </c>
    </row>
    <row r="83" spans="6:18">
      <c r="F83" s="86">
        <v>44680</v>
      </c>
      <c r="G83" s="29" t="s">
        <v>97</v>
      </c>
      <c r="H83" s="87">
        <v>1096316</v>
      </c>
      <c r="J83" s="29" t="s">
        <v>2</v>
      </c>
      <c r="K83" s="29" t="s">
        <v>35</v>
      </c>
      <c r="L83" s="92">
        <f t="shared" si="5"/>
        <v>0</v>
      </c>
      <c r="M83" s="26">
        <f t="shared" si="6"/>
        <v>44680</v>
      </c>
      <c r="N83" t="s">
        <v>97</v>
      </c>
      <c r="O83" s="44">
        <f t="shared" si="7"/>
        <v>0</v>
      </c>
      <c r="Q83" t="str">
        <f t="shared" si="8"/>
        <v>Product A</v>
      </c>
      <c r="R83" s="49" t="str">
        <f t="shared" si="9"/>
        <v>Client 10</v>
      </c>
    </row>
    <row r="84" spans="6:18">
      <c r="F84" s="94">
        <v>44690</v>
      </c>
      <c r="G84" s="29" t="s">
        <v>98</v>
      </c>
      <c r="I84" s="88">
        <v>3776886</v>
      </c>
      <c r="J84" s="29" t="s">
        <v>14</v>
      </c>
      <c r="K84" s="29" t="s">
        <v>39</v>
      </c>
      <c r="L84" s="92">
        <f t="shared" si="5"/>
        <v>0</v>
      </c>
      <c r="M84" s="26">
        <f t="shared" si="6"/>
        <v>44690</v>
      </c>
      <c r="N84" t="s">
        <v>97</v>
      </c>
      <c r="O84" s="44">
        <f t="shared" si="7"/>
        <v>3776886</v>
      </c>
      <c r="Q84" t="str">
        <f t="shared" si="8"/>
        <v>Product C</v>
      </c>
      <c r="R84" s="49" t="str">
        <f t="shared" si="9"/>
        <v>Client 1</v>
      </c>
    </row>
    <row r="85" spans="6:18">
      <c r="F85" s="86">
        <v>44690</v>
      </c>
      <c r="G85" s="29" t="s">
        <v>97</v>
      </c>
      <c r="H85" s="87">
        <v>3776886</v>
      </c>
      <c r="J85" s="29" t="s">
        <v>14</v>
      </c>
      <c r="K85" s="29" t="s">
        <v>39</v>
      </c>
      <c r="L85" s="92">
        <f t="shared" si="5"/>
        <v>0</v>
      </c>
      <c r="M85" s="26">
        <f t="shared" si="6"/>
        <v>44690</v>
      </c>
      <c r="N85" t="s">
        <v>97</v>
      </c>
      <c r="O85" s="44">
        <f t="shared" si="7"/>
        <v>0</v>
      </c>
      <c r="Q85" t="str">
        <f t="shared" si="8"/>
        <v>Product C</v>
      </c>
      <c r="R85" s="49" t="str">
        <f t="shared" si="9"/>
        <v>Client 1</v>
      </c>
    </row>
    <row r="86" spans="6:18">
      <c r="F86" s="94">
        <v>44691</v>
      </c>
      <c r="G86" s="29" t="s">
        <v>98</v>
      </c>
      <c r="I86" s="88">
        <v>567120</v>
      </c>
      <c r="J86" s="29" t="s">
        <v>2</v>
      </c>
      <c r="K86" s="93" t="s">
        <v>32</v>
      </c>
      <c r="L86" s="92">
        <f t="shared" si="5"/>
        <v>0</v>
      </c>
      <c r="M86" s="26">
        <f t="shared" si="6"/>
        <v>44691</v>
      </c>
      <c r="N86" t="s">
        <v>97</v>
      </c>
      <c r="O86" s="44">
        <f t="shared" si="7"/>
        <v>567120</v>
      </c>
      <c r="Q86" t="str">
        <f t="shared" si="8"/>
        <v>Product A</v>
      </c>
      <c r="R86" s="49" t="str">
        <f t="shared" si="9"/>
        <v>Client 5</v>
      </c>
    </row>
    <row r="87" spans="6:18">
      <c r="F87" s="94">
        <v>44691</v>
      </c>
      <c r="G87" s="29" t="s">
        <v>98</v>
      </c>
      <c r="I87" s="88">
        <v>1392341</v>
      </c>
      <c r="J87" s="29" t="s">
        <v>10</v>
      </c>
      <c r="K87" s="93" t="s">
        <v>38</v>
      </c>
      <c r="L87" s="92">
        <f t="shared" si="5"/>
        <v>0</v>
      </c>
      <c r="M87" s="26">
        <f t="shared" si="6"/>
        <v>44691</v>
      </c>
      <c r="N87" t="s">
        <v>97</v>
      </c>
      <c r="O87" s="44">
        <f t="shared" si="7"/>
        <v>1392341</v>
      </c>
      <c r="Q87" t="str">
        <f t="shared" si="8"/>
        <v>Product B</v>
      </c>
      <c r="R87" s="49" t="str">
        <f t="shared" si="9"/>
        <v>Client 8</v>
      </c>
    </row>
    <row r="88" spans="6:18">
      <c r="F88" s="86">
        <v>44691</v>
      </c>
      <c r="G88" s="29" t="s">
        <v>97</v>
      </c>
      <c r="H88" s="87">
        <v>567120</v>
      </c>
      <c r="J88" s="29" t="s">
        <v>2</v>
      </c>
      <c r="K88" s="29" t="s">
        <v>32</v>
      </c>
      <c r="L88" s="92">
        <f t="shared" si="5"/>
        <v>0</v>
      </c>
      <c r="M88" s="26">
        <f t="shared" si="6"/>
        <v>44691</v>
      </c>
      <c r="N88" t="s">
        <v>97</v>
      </c>
      <c r="O88" s="44">
        <f t="shared" si="7"/>
        <v>0</v>
      </c>
      <c r="Q88" t="str">
        <f t="shared" si="8"/>
        <v>Product A</v>
      </c>
      <c r="R88" s="49" t="str">
        <f t="shared" si="9"/>
        <v>Client 5</v>
      </c>
    </row>
    <row r="89" spans="6:18">
      <c r="F89" s="86">
        <v>44691</v>
      </c>
      <c r="G89" s="29" t="s">
        <v>97</v>
      </c>
      <c r="H89" s="87">
        <v>1392341</v>
      </c>
      <c r="J89" s="29" t="s">
        <v>10</v>
      </c>
      <c r="K89" s="29" t="s">
        <v>38</v>
      </c>
      <c r="L89" s="92">
        <f t="shared" si="5"/>
        <v>0</v>
      </c>
      <c r="M89" s="26">
        <f t="shared" si="6"/>
        <v>44691</v>
      </c>
      <c r="N89" t="s">
        <v>97</v>
      </c>
      <c r="O89" s="44">
        <f t="shared" si="7"/>
        <v>0</v>
      </c>
      <c r="Q89" t="str">
        <f t="shared" si="8"/>
        <v>Product B</v>
      </c>
      <c r="R89" s="49" t="str">
        <f t="shared" si="9"/>
        <v>Client 8</v>
      </c>
    </row>
    <row r="90" spans="6:18">
      <c r="F90" s="94">
        <v>44692</v>
      </c>
      <c r="G90" s="29" t="s">
        <v>98</v>
      </c>
      <c r="I90" s="88">
        <v>846009</v>
      </c>
      <c r="J90" s="29" t="s">
        <v>10</v>
      </c>
      <c r="K90" s="93" t="s">
        <v>36</v>
      </c>
      <c r="L90" s="92">
        <f t="shared" si="5"/>
        <v>0</v>
      </c>
      <c r="M90" s="26">
        <f t="shared" si="6"/>
        <v>44692</v>
      </c>
      <c r="N90" t="s">
        <v>97</v>
      </c>
      <c r="O90" s="44">
        <f t="shared" si="7"/>
        <v>846009</v>
      </c>
      <c r="Q90" t="str">
        <f t="shared" si="8"/>
        <v>Product B</v>
      </c>
      <c r="R90" s="49" t="str">
        <f t="shared" si="9"/>
        <v>Client 4</v>
      </c>
    </row>
    <row r="91" spans="6:18">
      <c r="F91" s="86">
        <v>44692</v>
      </c>
      <c r="G91" s="29" t="s">
        <v>97</v>
      </c>
      <c r="H91" s="87">
        <v>846009</v>
      </c>
      <c r="J91" s="29" t="s">
        <v>10</v>
      </c>
      <c r="K91" s="29" t="s">
        <v>36</v>
      </c>
      <c r="L91" s="92">
        <f t="shared" si="5"/>
        <v>0</v>
      </c>
      <c r="M91" s="26">
        <f t="shared" si="6"/>
        <v>44692</v>
      </c>
      <c r="N91" t="s">
        <v>97</v>
      </c>
      <c r="O91" s="44">
        <f t="shared" si="7"/>
        <v>0</v>
      </c>
      <c r="Q91" t="str">
        <f t="shared" si="8"/>
        <v>Product B</v>
      </c>
      <c r="R91" s="49" t="str">
        <f t="shared" si="9"/>
        <v>Client 4</v>
      </c>
    </row>
    <row r="92" spans="6:18">
      <c r="F92" s="94">
        <v>44693</v>
      </c>
      <c r="G92" s="29" t="s">
        <v>98</v>
      </c>
      <c r="I92" s="88">
        <v>902070</v>
      </c>
      <c r="J92" s="29" t="s">
        <v>2</v>
      </c>
      <c r="K92" s="93" t="s">
        <v>31</v>
      </c>
      <c r="L92" s="92">
        <f t="shared" si="5"/>
        <v>0</v>
      </c>
      <c r="M92" s="26">
        <f t="shared" si="6"/>
        <v>44693</v>
      </c>
      <c r="N92" t="s">
        <v>97</v>
      </c>
      <c r="O92" s="44">
        <f t="shared" si="7"/>
        <v>902070</v>
      </c>
      <c r="Q92" t="str">
        <f t="shared" si="8"/>
        <v>Product A</v>
      </c>
      <c r="R92" s="49" t="str">
        <f t="shared" si="9"/>
        <v>Client 2</v>
      </c>
    </row>
    <row r="93" spans="6:18">
      <c r="F93" s="86">
        <v>44693</v>
      </c>
      <c r="G93" s="29" t="s">
        <v>97</v>
      </c>
      <c r="H93" s="87">
        <v>902070</v>
      </c>
      <c r="J93" s="29" t="s">
        <v>2</v>
      </c>
      <c r="K93" s="29" t="s">
        <v>31</v>
      </c>
      <c r="L93" s="92">
        <f t="shared" si="5"/>
        <v>0</v>
      </c>
      <c r="M93" s="26">
        <f t="shared" si="6"/>
        <v>44693</v>
      </c>
      <c r="N93" t="s">
        <v>97</v>
      </c>
      <c r="O93" s="44">
        <f t="shared" si="7"/>
        <v>0</v>
      </c>
      <c r="Q93" t="str">
        <f t="shared" si="8"/>
        <v>Product A</v>
      </c>
      <c r="R93" s="49" t="str">
        <f t="shared" si="9"/>
        <v>Client 2</v>
      </c>
    </row>
    <row r="94" spans="6:18">
      <c r="F94" s="94">
        <v>44699</v>
      </c>
      <c r="G94" s="29" t="s">
        <v>98</v>
      </c>
      <c r="I94" s="88">
        <v>173788</v>
      </c>
      <c r="J94" s="29" t="s">
        <v>14</v>
      </c>
      <c r="K94" s="93" t="s">
        <v>40</v>
      </c>
      <c r="L94" s="92">
        <f t="shared" si="5"/>
        <v>0</v>
      </c>
      <c r="M94" s="26">
        <f t="shared" si="6"/>
        <v>44699</v>
      </c>
      <c r="N94" t="s">
        <v>97</v>
      </c>
      <c r="O94" s="44">
        <f t="shared" si="7"/>
        <v>173788</v>
      </c>
      <c r="Q94" t="str">
        <f t="shared" si="8"/>
        <v>Product C</v>
      </c>
      <c r="R94" s="49" t="str">
        <f t="shared" si="9"/>
        <v>Client 3</v>
      </c>
    </row>
    <row r="95" spans="6:18">
      <c r="F95" s="94">
        <v>44699</v>
      </c>
      <c r="G95" s="29" t="s">
        <v>98</v>
      </c>
      <c r="I95" s="88">
        <v>713388</v>
      </c>
      <c r="J95" s="29" t="s">
        <v>10</v>
      </c>
      <c r="K95" s="93" t="s">
        <v>37</v>
      </c>
      <c r="L95" s="92">
        <f t="shared" si="5"/>
        <v>0</v>
      </c>
      <c r="M95" s="26">
        <f t="shared" si="6"/>
        <v>44699</v>
      </c>
      <c r="N95" t="s">
        <v>97</v>
      </c>
      <c r="O95" s="44">
        <f t="shared" si="7"/>
        <v>713388</v>
      </c>
      <c r="Q95" t="str">
        <f t="shared" si="8"/>
        <v>Product B</v>
      </c>
      <c r="R95" s="49" t="str">
        <f t="shared" si="9"/>
        <v>Client 6</v>
      </c>
    </row>
    <row r="96" spans="6:18">
      <c r="F96" s="86">
        <v>44699</v>
      </c>
      <c r="G96" s="29" t="s">
        <v>97</v>
      </c>
      <c r="H96" s="87">
        <v>173788</v>
      </c>
      <c r="J96" s="29" t="s">
        <v>14</v>
      </c>
      <c r="K96" s="29" t="s">
        <v>40</v>
      </c>
      <c r="L96" s="92">
        <f t="shared" si="5"/>
        <v>0</v>
      </c>
      <c r="M96" s="26">
        <f t="shared" si="6"/>
        <v>44699</v>
      </c>
      <c r="N96" t="s">
        <v>97</v>
      </c>
      <c r="O96" s="44">
        <f t="shared" si="7"/>
        <v>0</v>
      </c>
      <c r="Q96" t="str">
        <f t="shared" si="8"/>
        <v>Product C</v>
      </c>
      <c r="R96" s="49" t="str">
        <f t="shared" si="9"/>
        <v>Client 3</v>
      </c>
    </row>
    <row r="97" spans="6:18">
      <c r="F97" s="86">
        <v>44699</v>
      </c>
      <c r="G97" s="29" t="s">
        <v>97</v>
      </c>
      <c r="H97" s="87">
        <v>713388</v>
      </c>
      <c r="J97" s="29" t="s">
        <v>10</v>
      </c>
      <c r="K97" s="29" t="s">
        <v>37</v>
      </c>
      <c r="L97" s="92">
        <f t="shared" si="5"/>
        <v>0</v>
      </c>
      <c r="M97" s="26">
        <f t="shared" si="6"/>
        <v>44699</v>
      </c>
      <c r="N97" t="s">
        <v>97</v>
      </c>
      <c r="O97" s="44">
        <f t="shared" si="7"/>
        <v>0</v>
      </c>
      <c r="Q97" t="str">
        <f t="shared" si="8"/>
        <v>Product B</v>
      </c>
      <c r="R97" s="49" t="str">
        <f t="shared" si="9"/>
        <v>Client 6</v>
      </c>
    </row>
    <row r="98" spans="6:18">
      <c r="F98" s="94">
        <v>44706</v>
      </c>
      <c r="G98" s="29" t="s">
        <v>98</v>
      </c>
      <c r="I98" s="88">
        <v>933504</v>
      </c>
      <c r="J98" s="29" t="s">
        <v>2</v>
      </c>
      <c r="K98" s="93" t="s">
        <v>33</v>
      </c>
      <c r="L98" s="92">
        <f t="shared" si="5"/>
        <v>0</v>
      </c>
      <c r="M98" s="26">
        <f t="shared" si="6"/>
        <v>44706</v>
      </c>
      <c r="N98" t="s">
        <v>97</v>
      </c>
      <c r="O98" s="44">
        <f t="shared" si="7"/>
        <v>933504</v>
      </c>
      <c r="Q98" t="str">
        <f t="shared" si="8"/>
        <v>Product A</v>
      </c>
      <c r="R98" s="49" t="str">
        <f t="shared" si="9"/>
        <v>Client 7</v>
      </c>
    </row>
    <row r="99" spans="6:18">
      <c r="F99" s="94">
        <v>44706</v>
      </c>
      <c r="G99" s="29" t="s">
        <v>98</v>
      </c>
      <c r="I99" s="88">
        <v>1233648</v>
      </c>
      <c r="J99" s="29" t="s">
        <v>2</v>
      </c>
      <c r="K99" s="93" t="s">
        <v>34</v>
      </c>
      <c r="L99" s="92">
        <f t="shared" si="5"/>
        <v>0</v>
      </c>
      <c r="M99" s="26">
        <f t="shared" si="6"/>
        <v>44706</v>
      </c>
      <c r="N99" t="s">
        <v>97</v>
      </c>
      <c r="O99" s="44">
        <f t="shared" si="7"/>
        <v>1233648</v>
      </c>
      <c r="Q99" t="str">
        <f t="shared" si="8"/>
        <v>Product A</v>
      </c>
      <c r="R99" s="49" t="str">
        <f t="shared" si="9"/>
        <v>Client 9</v>
      </c>
    </row>
    <row r="100" spans="6:18">
      <c r="F100" s="94">
        <v>44706</v>
      </c>
      <c r="G100" s="29" t="s">
        <v>98</v>
      </c>
      <c r="I100" s="88">
        <v>1338336</v>
      </c>
      <c r="J100" s="29" t="s">
        <v>2</v>
      </c>
      <c r="K100" s="93" t="s">
        <v>35</v>
      </c>
      <c r="L100" s="92">
        <f t="shared" si="5"/>
        <v>0</v>
      </c>
      <c r="M100" s="26">
        <f t="shared" si="6"/>
        <v>44706</v>
      </c>
      <c r="N100" t="s">
        <v>97</v>
      </c>
      <c r="O100" s="44">
        <f t="shared" si="7"/>
        <v>1338336</v>
      </c>
      <c r="Q100" t="str">
        <f t="shared" si="8"/>
        <v>Product A</v>
      </c>
      <c r="R100" s="49" t="str">
        <f t="shared" si="9"/>
        <v>Client 10</v>
      </c>
    </row>
    <row r="101" spans="6:18">
      <c r="F101" s="86">
        <v>44706</v>
      </c>
      <c r="G101" s="29" t="s">
        <v>97</v>
      </c>
      <c r="H101" s="87">
        <v>933504</v>
      </c>
      <c r="J101" s="29" t="s">
        <v>2</v>
      </c>
      <c r="K101" s="29" t="s">
        <v>33</v>
      </c>
      <c r="L101" s="92">
        <f t="shared" si="5"/>
        <v>0</v>
      </c>
      <c r="M101" s="26">
        <f t="shared" si="6"/>
        <v>44706</v>
      </c>
      <c r="N101" t="s">
        <v>97</v>
      </c>
      <c r="O101" s="44">
        <f t="shared" si="7"/>
        <v>0</v>
      </c>
      <c r="Q101" t="str">
        <f t="shared" si="8"/>
        <v>Product A</v>
      </c>
      <c r="R101" s="49" t="str">
        <f t="shared" si="9"/>
        <v>Client 7</v>
      </c>
    </row>
    <row r="102" spans="6:18">
      <c r="F102" s="86">
        <v>44706</v>
      </c>
      <c r="G102" s="29" t="s">
        <v>97</v>
      </c>
      <c r="H102" s="87">
        <v>1233648</v>
      </c>
      <c r="J102" s="29" t="s">
        <v>2</v>
      </c>
      <c r="K102" s="29" t="s">
        <v>34</v>
      </c>
      <c r="L102" s="92">
        <f t="shared" si="5"/>
        <v>0</v>
      </c>
      <c r="M102" s="26">
        <f t="shared" si="6"/>
        <v>44706</v>
      </c>
      <c r="N102" t="s">
        <v>97</v>
      </c>
      <c r="O102" s="44">
        <f t="shared" si="7"/>
        <v>0</v>
      </c>
      <c r="Q102" t="str">
        <f t="shared" si="8"/>
        <v>Product A</v>
      </c>
      <c r="R102" s="49" t="str">
        <f t="shared" si="9"/>
        <v>Client 9</v>
      </c>
    </row>
    <row r="103" spans="6:18">
      <c r="F103" s="86">
        <v>44706</v>
      </c>
      <c r="G103" s="29" t="s">
        <v>97</v>
      </c>
      <c r="H103" s="87">
        <v>1338336</v>
      </c>
      <c r="J103" s="29" t="s">
        <v>2</v>
      </c>
      <c r="K103" s="29" t="s">
        <v>35</v>
      </c>
      <c r="L103" s="92">
        <f t="shared" si="5"/>
        <v>0</v>
      </c>
      <c r="M103" s="26">
        <f t="shared" si="6"/>
        <v>44706</v>
      </c>
      <c r="N103" t="s">
        <v>97</v>
      </c>
      <c r="O103" s="44">
        <f t="shared" si="7"/>
        <v>0</v>
      </c>
      <c r="Q103" t="str">
        <f t="shared" si="8"/>
        <v>Product A</v>
      </c>
      <c r="R103" s="49" t="str">
        <f t="shared" si="9"/>
        <v>Client 10</v>
      </c>
    </row>
    <row r="104" spans="6:18">
      <c r="F104" s="94">
        <v>44725</v>
      </c>
      <c r="G104" s="29" t="s">
        <v>98</v>
      </c>
      <c r="I104" s="88">
        <v>675328</v>
      </c>
      <c r="J104" s="29" t="s">
        <v>10</v>
      </c>
      <c r="K104" s="93" t="s">
        <v>37</v>
      </c>
      <c r="L104" s="92">
        <f t="shared" si="5"/>
        <v>0</v>
      </c>
      <c r="M104" s="26">
        <f t="shared" si="6"/>
        <v>44725</v>
      </c>
      <c r="N104" t="s">
        <v>97</v>
      </c>
      <c r="O104" s="44">
        <f t="shared" si="7"/>
        <v>675328</v>
      </c>
      <c r="Q104" t="str">
        <f t="shared" si="8"/>
        <v>Product B</v>
      </c>
      <c r="R104" s="49" t="str">
        <f t="shared" si="9"/>
        <v>Client 6</v>
      </c>
    </row>
    <row r="105" spans="6:18">
      <c r="F105" s="86">
        <v>44725</v>
      </c>
      <c r="G105" s="29" t="s">
        <v>97</v>
      </c>
      <c r="H105" s="87">
        <v>675328</v>
      </c>
      <c r="J105" s="29" t="s">
        <v>10</v>
      </c>
      <c r="K105" s="29" t="s">
        <v>37</v>
      </c>
      <c r="L105" s="92">
        <f t="shared" si="5"/>
        <v>0</v>
      </c>
      <c r="M105" s="26">
        <f t="shared" si="6"/>
        <v>44725</v>
      </c>
      <c r="N105" t="s">
        <v>97</v>
      </c>
      <c r="O105" s="44">
        <f t="shared" si="7"/>
        <v>0</v>
      </c>
      <c r="Q105" t="str">
        <f t="shared" si="8"/>
        <v>Product B</v>
      </c>
      <c r="R105" s="49" t="str">
        <f t="shared" si="9"/>
        <v>Client 6</v>
      </c>
    </row>
    <row r="106" spans="6:18">
      <c r="F106" s="94">
        <v>44726</v>
      </c>
      <c r="G106" s="29" t="s">
        <v>98</v>
      </c>
      <c r="I106" s="88">
        <v>1641031</v>
      </c>
      <c r="J106" s="29" t="s">
        <v>2</v>
      </c>
      <c r="K106" s="93" t="s">
        <v>34</v>
      </c>
      <c r="L106" s="92">
        <f t="shared" si="5"/>
        <v>0</v>
      </c>
      <c r="M106" s="26">
        <f t="shared" si="6"/>
        <v>44726</v>
      </c>
      <c r="N106" t="s">
        <v>97</v>
      </c>
      <c r="O106" s="44">
        <f t="shared" si="7"/>
        <v>1641031</v>
      </c>
      <c r="Q106" t="str">
        <f t="shared" si="8"/>
        <v>Product A</v>
      </c>
      <c r="R106" s="49" t="str">
        <f t="shared" si="9"/>
        <v>Client 9</v>
      </c>
    </row>
    <row r="107" spans="6:18">
      <c r="F107" s="86">
        <v>44726</v>
      </c>
      <c r="G107" s="29" t="s">
        <v>97</v>
      </c>
      <c r="H107" s="87">
        <v>1641031</v>
      </c>
      <c r="J107" s="29" t="s">
        <v>2</v>
      </c>
      <c r="K107" s="29" t="s">
        <v>34</v>
      </c>
      <c r="L107" s="92">
        <f t="shared" si="5"/>
        <v>0</v>
      </c>
      <c r="M107" s="26">
        <f t="shared" si="6"/>
        <v>44726</v>
      </c>
      <c r="N107" t="s">
        <v>97</v>
      </c>
      <c r="O107" s="44">
        <f t="shared" si="7"/>
        <v>0</v>
      </c>
      <c r="Q107" t="str">
        <f t="shared" si="8"/>
        <v>Product A</v>
      </c>
      <c r="R107" s="49" t="str">
        <f t="shared" si="9"/>
        <v>Client 9</v>
      </c>
    </row>
    <row r="108" spans="6:18">
      <c r="F108" s="94">
        <v>44728</v>
      </c>
      <c r="G108" s="29" t="s">
        <v>98</v>
      </c>
      <c r="I108" s="88">
        <v>3504204</v>
      </c>
      <c r="J108" s="29" t="s">
        <v>14</v>
      </c>
      <c r="K108" s="29" t="s">
        <v>39</v>
      </c>
      <c r="L108" s="92">
        <f t="shared" si="5"/>
        <v>0</v>
      </c>
      <c r="M108" s="26">
        <f t="shared" si="6"/>
        <v>44728</v>
      </c>
      <c r="N108" t="s">
        <v>97</v>
      </c>
      <c r="O108" s="44">
        <f t="shared" si="7"/>
        <v>3504204</v>
      </c>
      <c r="Q108" t="str">
        <f t="shared" si="8"/>
        <v>Product C</v>
      </c>
      <c r="R108" s="49" t="str">
        <f t="shared" si="9"/>
        <v>Client 1</v>
      </c>
    </row>
    <row r="109" spans="6:18">
      <c r="F109" s="94">
        <v>44728</v>
      </c>
      <c r="G109" s="29" t="s">
        <v>98</v>
      </c>
      <c r="I109" s="88">
        <v>804344</v>
      </c>
      <c r="J109" s="29" t="s">
        <v>2</v>
      </c>
      <c r="K109" s="93" t="s">
        <v>32</v>
      </c>
      <c r="L109" s="92">
        <f t="shared" si="5"/>
        <v>0</v>
      </c>
      <c r="M109" s="26">
        <f t="shared" si="6"/>
        <v>44728</v>
      </c>
      <c r="N109" t="s">
        <v>97</v>
      </c>
      <c r="O109" s="44">
        <f t="shared" si="7"/>
        <v>804344</v>
      </c>
      <c r="Q109" t="str">
        <f t="shared" si="8"/>
        <v>Product A</v>
      </c>
      <c r="R109" s="49" t="str">
        <f t="shared" si="9"/>
        <v>Client 5</v>
      </c>
    </row>
    <row r="110" spans="6:18">
      <c r="F110" s="86">
        <v>44728</v>
      </c>
      <c r="G110" s="29" t="s">
        <v>97</v>
      </c>
      <c r="H110" s="87">
        <v>3504204</v>
      </c>
      <c r="J110" s="29" t="s">
        <v>14</v>
      </c>
      <c r="K110" s="29" t="s">
        <v>39</v>
      </c>
      <c r="L110" s="92">
        <f t="shared" si="5"/>
        <v>0</v>
      </c>
      <c r="M110" s="26">
        <f t="shared" si="6"/>
        <v>44728</v>
      </c>
      <c r="N110" t="s">
        <v>97</v>
      </c>
      <c r="O110" s="44">
        <f t="shared" si="7"/>
        <v>0</v>
      </c>
      <c r="Q110" t="str">
        <f t="shared" si="8"/>
        <v>Product C</v>
      </c>
      <c r="R110" s="49" t="str">
        <f t="shared" si="9"/>
        <v>Client 1</v>
      </c>
    </row>
    <row r="111" spans="6:18">
      <c r="F111" s="86">
        <v>44728</v>
      </c>
      <c r="G111" s="29" t="s">
        <v>97</v>
      </c>
      <c r="H111" s="87">
        <v>804344</v>
      </c>
      <c r="J111" s="29" t="s">
        <v>2</v>
      </c>
      <c r="K111" s="29" t="s">
        <v>32</v>
      </c>
      <c r="L111" s="92">
        <f t="shared" si="5"/>
        <v>0</v>
      </c>
      <c r="M111" s="26">
        <f t="shared" si="6"/>
        <v>44728</v>
      </c>
      <c r="N111" t="s">
        <v>97</v>
      </c>
      <c r="O111" s="44">
        <f t="shared" si="7"/>
        <v>0</v>
      </c>
      <c r="Q111" t="str">
        <f t="shared" si="8"/>
        <v>Product A</v>
      </c>
      <c r="R111" s="49" t="str">
        <f t="shared" si="9"/>
        <v>Client 5</v>
      </c>
    </row>
    <row r="112" spans="6:18">
      <c r="F112" s="94">
        <v>44729</v>
      </c>
      <c r="G112" s="29" t="s">
        <v>98</v>
      </c>
      <c r="I112" s="88">
        <v>600600</v>
      </c>
      <c r="J112" s="29" t="s">
        <v>2</v>
      </c>
      <c r="K112" s="93" t="s">
        <v>35</v>
      </c>
      <c r="L112" s="92">
        <f t="shared" si="5"/>
        <v>0</v>
      </c>
      <c r="M112" s="26">
        <f t="shared" si="6"/>
        <v>44729</v>
      </c>
      <c r="N112" t="s">
        <v>97</v>
      </c>
      <c r="O112" s="44">
        <f t="shared" si="7"/>
        <v>600600</v>
      </c>
      <c r="Q112" t="str">
        <f t="shared" si="8"/>
        <v>Product A</v>
      </c>
      <c r="R112" s="49" t="str">
        <f t="shared" si="9"/>
        <v>Client 10</v>
      </c>
    </row>
    <row r="113" spans="6:18">
      <c r="F113" s="86">
        <v>44729</v>
      </c>
      <c r="G113" s="29" t="s">
        <v>97</v>
      </c>
      <c r="H113" s="87">
        <v>600600</v>
      </c>
      <c r="J113" s="29" t="s">
        <v>2</v>
      </c>
      <c r="K113" s="29" t="s">
        <v>35</v>
      </c>
      <c r="L113" s="92">
        <f t="shared" si="5"/>
        <v>0</v>
      </c>
      <c r="M113" s="26">
        <f t="shared" si="6"/>
        <v>44729</v>
      </c>
      <c r="N113" t="s">
        <v>97</v>
      </c>
      <c r="O113" s="44">
        <f t="shared" si="7"/>
        <v>0</v>
      </c>
      <c r="Q113" t="str">
        <f t="shared" si="8"/>
        <v>Product A</v>
      </c>
      <c r="R113" s="49" t="str">
        <f t="shared" si="9"/>
        <v>Client 10</v>
      </c>
    </row>
    <row r="114" spans="6:18">
      <c r="F114" s="94">
        <v>44730</v>
      </c>
      <c r="G114" s="29" t="s">
        <v>98</v>
      </c>
      <c r="I114" s="88">
        <v>1159740</v>
      </c>
      <c r="J114" s="29" t="s">
        <v>2</v>
      </c>
      <c r="K114" s="93" t="s">
        <v>33</v>
      </c>
      <c r="L114" s="92">
        <f t="shared" si="5"/>
        <v>0</v>
      </c>
      <c r="M114" s="26">
        <f t="shared" si="6"/>
        <v>44730</v>
      </c>
      <c r="N114" t="s">
        <v>97</v>
      </c>
      <c r="O114" s="44">
        <f t="shared" si="7"/>
        <v>1159740</v>
      </c>
      <c r="Q114" t="str">
        <f t="shared" si="8"/>
        <v>Product A</v>
      </c>
      <c r="R114" s="49" t="str">
        <f t="shared" si="9"/>
        <v>Client 7</v>
      </c>
    </row>
    <row r="115" spans="6:18">
      <c r="F115" s="86">
        <v>44730</v>
      </c>
      <c r="G115" s="29" t="s">
        <v>97</v>
      </c>
      <c r="H115" s="87">
        <v>1159740</v>
      </c>
      <c r="J115" s="29" t="s">
        <v>2</v>
      </c>
      <c r="K115" s="29" t="s">
        <v>33</v>
      </c>
      <c r="L115" s="92">
        <f t="shared" si="5"/>
        <v>0</v>
      </c>
      <c r="M115" s="26">
        <f t="shared" si="6"/>
        <v>44730</v>
      </c>
      <c r="N115" t="s">
        <v>97</v>
      </c>
      <c r="O115" s="44">
        <f t="shared" si="7"/>
        <v>0</v>
      </c>
      <c r="Q115" t="str">
        <f t="shared" si="8"/>
        <v>Product A</v>
      </c>
      <c r="R115" s="49" t="str">
        <f t="shared" si="9"/>
        <v>Client 7</v>
      </c>
    </row>
    <row r="116" spans="6:18">
      <c r="F116" s="94">
        <v>44734</v>
      </c>
      <c r="G116" s="29" t="s">
        <v>98</v>
      </c>
      <c r="I116" s="88">
        <v>915151</v>
      </c>
      <c r="J116" s="29" t="s">
        <v>10</v>
      </c>
      <c r="K116" s="93" t="s">
        <v>36</v>
      </c>
      <c r="L116" s="92">
        <f t="shared" si="5"/>
        <v>0</v>
      </c>
      <c r="M116" s="26">
        <f t="shared" si="6"/>
        <v>44734</v>
      </c>
      <c r="N116" t="s">
        <v>97</v>
      </c>
      <c r="O116" s="44">
        <f t="shared" si="7"/>
        <v>915151</v>
      </c>
      <c r="Q116" t="str">
        <f t="shared" si="8"/>
        <v>Product B</v>
      </c>
      <c r="R116" s="49" t="str">
        <f t="shared" si="9"/>
        <v>Client 4</v>
      </c>
    </row>
    <row r="117" spans="6:18">
      <c r="F117" s="94">
        <v>44734</v>
      </c>
      <c r="G117" s="29" t="s">
        <v>98</v>
      </c>
      <c r="I117" s="88">
        <v>1177393</v>
      </c>
      <c r="J117" s="29" t="s">
        <v>10</v>
      </c>
      <c r="K117" s="93" t="s">
        <v>38</v>
      </c>
      <c r="L117" s="92">
        <f t="shared" si="5"/>
        <v>0</v>
      </c>
      <c r="M117" s="26">
        <f t="shared" si="6"/>
        <v>44734</v>
      </c>
      <c r="N117" t="s">
        <v>97</v>
      </c>
      <c r="O117" s="44">
        <f t="shared" si="7"/>
        <v>1177393</v>
      </c>
      <c r="Q117" t="str">
        <f t="shared" si="8"/>
        <v>Product B</v>
      </c>
      <c r="R117" s="49" t="str">
        <f t="shared" si="9"/>
        <v>Client 8</v>
      </c>
    </row>
    <row r="118" spans="6:18">
      <c r="F118" s="86">
        <v>44734</v>
      </c>
      <c r="G118" s="29" t="s">
        <v>97</v>
      </c>
      <c r="H118" s="87">
        <v>915151</v>
      </c>
      <c r="J118" s="29" t="s">
        <v>10</v>
      </c>
      <c r="K118" s="29" t="s">
        <v>36</v>
      </c>
      <c r="L118" s="92">
        <f t="shared" si="5"/>
        <v>0</v>
      </c>
      <c r="M118" s="26">
        <f t="shared" si="6"/>
        <v>44734</v>
      </c>
      <c r="N118" t="s">
        <v>97</v>
      </c>
      <c r="O118" s="44">
        <f t="shared" si="7"/>
        <v>0</v>
      </c>
      <c r="Q118" t="str">
        <f t="shared" si="8"/>
        <v>Product B</v>
      </c>
      <c r="R118" s="49" t="str">
        <f t="shared" si="9"/>
        <v>Client 4</v>
      </c>
    </row>
    <row r="119" spans="6:18">
      <c r="F119" s="86">
        <v>44734</v>
      </c>
      <c r="G119" s="29" t="s">
        <v>97</v>
      </c>
      <c r="H119" s="87">
        <v>1177393</v>
      </c>
      <c r="J119" s="29" t="s">
        <v>10</v>
      </c>
      <c r="K119" s="29" t="s">
        <v>38</v>
      </c>
      <c r="L119" s="92">
        <f t="shared" si="5"/>
        <v>0</v>
      </c>
      <c r="M119" s="26">
        <f t="shared" si="6"/>
        <v>44734</v>
      </c>
      <c r="N119" t="s">
        <v>97</v>
      </c>
      <c r="O119" s="44">
        <f t="shared" si="7"/>
        <v>0</v>
      </c>
      <c r="Q119" t="str">
        <f t="shared" si="8"/>
        <v>Product B</v>
      </c>
      <c r="R119" s="49" t="str">
        <f t="shared" si="9"/>
        <v>Client 8</v>
      </c>
    </row>
    <row r="120" spans="6:18">
      <c r="F120" s="94">
        <v>44737</v>
      </c>
      <c r="G120" s="29" t="s">
        <v>98</v>
      </c>
      <c r="I120" s="88">
        <v>515645</v>
      </c>
      <c r="J120" s="29" t="s">
        <v>2</v>
      </c>
      <c r="K120" s="93" t="s">
        <v>31</v>
      </c>
      <c r="L120" s="92">
        <f t="shared" si="5"/>
        <v>0</v>
      </c>
      <c r="M120" s="26">
        <f t="shared" si="6"/>
        <v>44737</v>
      </c>
      <c r="N120" t="s">
        <v>97</v>
      </c>
      <c r="O120" s="44">
        <f t="shared" si="7"/>
        <v>515645</v>
      </c>
      <c r="Q120" t="str">
        <f t="shared" si="8"/>
        <v>Product A</v>
      </c>
      <c r="R120" s="49" t="str">
        <f t="shared" si="9"/>
        <v>Client 2</v>
      </c>
    </row>
    <row r="121" spans="6:18">
      <c r="F121" s="86">
        <v>44737</v>
      </c>
      <c r="G121" s="29" t="s">
        <v>97</v>
      </c>
      <c r="H121" s="87">
        <v>515645</v>
      </c>
      <c r="J121" s="29" t="s">
        <v>2</v>
      </c>
      <c r="K121" s="29" t="s">
        <v>31</v>
      </c>
      <c r="L121" s="92">
        <f t="shared" si="5"/>
        <v>0</v>
      </c>
      <c r="M121" s="26">
        <f t="shared" si="6"/>
        <v>44737</v>
      </c>
      <c r="N121" t="s">
        <v>97</v>
      </c>
      <c r="O121" s="44">
        <f t="shared" si="7"/>
        <v>0</v>
      </c>
      <c r="Q121" t="str">
        <f t="shared" si="8"/>
        <v>Product A</v>
      </c>
      <c r="R121" s="49" t="str">
        <f t="shared" si="9"/>
        <v>Client 2</v>
      </c>
    </row>
    <row r="122" spans="6:18">
      <c r="F122" s="94">
        <v>44741</v>
      </c>
      <c r="G122" s="29" t="s">
        <v>98</v>
      </c>
      <c r="I122" s="88">
        <v>1584380</v>
      </c>
      <c r="J122" s="29" t="s">
        <v>14</v>
      </c>
      <c r="K122" s="93" t="s">
        <v>40</v>
      </c>
      <c r="L122" s="92">
        <f t="shared" si="5"/>
        <v>0</v>
      </c>
      <c r="M122" s="26">
        <f t="shared" si="6"/>
        <v>44741</v>
      </c>
      <c r="N122" t="s">
        <v>97</v>
      </c>
      <c r="O122" s="44">
        <f t="shared" si="7"/>
        <v>1584380</v>
      </c>
      <c r="Q122" t="str">
        <f t="shared" si="8"/>
        <v>Product C</v>
      </c>
      <c r="R122" s="49" t="str">
        <f t="shared" si="9"/>
        <v>Client 3</v>
      </c>
    </row>
    <row r="123" spans="6:18">
      <c r="F123" s="86">
        <v>44741</v>
      </c>
      <c r="G123" s="29" t="s">
        <v>97</v>
      </c>
      <c r="H123" s="87">
        <v>1584380</v>
      </c>
      <c r="J123" s="29" t="s">
        <v>14</v>
      </c>
      <c r="K123" s="29" t="s">
        <v>40</v>
      </c>
      <c r="L123" s="92">
        <f t="shared" si="5"/>
        <v>0</v>
      </c>
      <c r="M123" s="26">
        <f t="shared" si="6"/>
        <v>44741</v>
      </c>
      <c r="N123" t="s">
        <v>97</v>
      </c>
      <c r="O123" s="44">
        <f t="shared" si="7"/>
        <v>0</v>
      </c>
      <c r="Q123" t="str">
        <f t="shared" si="8"/>
        <v>Product C</v>
      </c>
      <c r="R123" s="49" t="str">
        <f t="shared" si="9"/>
        <v>Client 3</v>
      </c>
    </row>
    <row r="124" spans="6:18">
      <c r="F124" s="94">
        <v>44758</v>
      </c>
      <c r="G124" s="29" t="s">
        <v>98</v>
      </c>
      <c r="I124" s="88">
        <v>522000</v>
      </c>
      <c r="J124" s="29" t="s">
        <v>10</v>
      </c>
      <c r="K124" s="93" t="s">
        <v>38</v>
      </c>
    </row>
    <row r="125" spans="6:18">
      <c r="F125" s="94">
        <v>44758</v>
      </c>
      <c r="G125" s="29" t="s">
        <v>98</v>
      </c>
      <c r="I125" s="88">
        <v>907731</v>
      </c>
      <c r="J125" s="29" t="s">
        <v>2</v>
      </c>
      <c r="K125" s="93" t="s">
        <v>34</v>
      </c>
    </row>
    <row r="126" spans="6:18">
      <c r="F126" s="86">
        <v>44758</v>
      </c>
      <c r="G126" s="29" t="s">
        <v>97</v>
      </c>
      <c r="H126" s="87">
        <v>522000</v>
      </c>
      <c r="J126" s="29" t="s">
        <v>10</v>
      </c>
      <c r="K126" s="29" t="s">
        <v>38</v>
      </c>
    </row>
    <row r="127" spans="6:18">
      <c r="F127" s="86">
        <v>44758</v>
      </c>
      <c r="G127" s="29" t="s">
        <v>97</v>
      </c>
      <c r="H127" s="87">
        <v>907731</v>
      </c>
      <c r="J127" s="29" t="s">
        <v>2</v>
      </c>
      <c r="K127" s="29" t="s">
        <v>34</v>
      </c>
    </row>
    <row r="128" spans="6:18">
      <c r="F128" s="94">
        <v>44760</v>
      </c>
      <c r="G128" s="29" t="s">
        <v>98</v>
      </c>
      <c r="I128" s="88">
        <v>577216</v>
      </c>
      <c r="J128" s="29" t="s">
        <v>2</v>
      </c>
      <c r="K128" s="93" t="s">
        <v>35</v>
      </c>
    </row>
    <row r="129" spans="6:11">
      <c r="F129" s="86">
        <v>44760</v>
      </c>
      <c r="G129" s="29" t="s">
        <v>97</v>
      </c>
      <c r="H129" s="87">
        <v>577216</v>
      </c>
      <c r="J129" s="29" t="s">
        <v>2</v>
      </c>
      <c r="K129" s="29" t="s">
        <v>35</v>
      </c>
    </row>
    <row r="130" spans="6:11">
      <c r="F130" s="94">
        <v>44764</v>
      </c>
      <c r="G130" s="29" t="s">
        <v>98</v>
      </c>
      <c r="I130" s="88">
        <v>1750932</v>
      </c>
      <c r="J130" s="29" t="s">
        <v>14</v>
      </c>
      <c r="K130" s="93" t="s">
        <v>40</v>
      </c>
    </row>
    <row r="131" spans="6:11">
      <c r="F131" s="94">
        <v>44764</v>
      </c>
      <c r="G131" s="29" t="s">
        <v>98</v>
      </c>
      <c r="I131" s="88">
        <v>754700</v>
      </c>
      <c r="J131" s="29" t="s">
        <v>2</v>
      </c>
      <c r="K131" s="93" t="s">
        <v>32</v>
      </c>
    </row>
    <row r="132" spans="6:11">
      <c r="F132" s="86">
        <v>44764</v>
      </c>
      <c r="G132" s="29" t="s">
        <v>97</v>
      </c>
      <c r="H132" s="87">
        <v>1750932</v>
      </c>
      <c r="J132" s="29" t="s">
        <v>14</v>
      </c>
      <c r="K132" s="29" t="s">
        <v>40</v>
      </c>
    </row>
    <row r="133" spans="6:11">
      <c r="F133" s="86">
        <v>44764</v>
      </c>
      <c r="G133" s="29" t="s">
        <v>97</v>
      </c>
      <c r="H133" s="87">
        <v>754700</v>
      </c>
      <c r="J133" s="29" t="s">
        <v>2</v>
      </c>
      <c r="K133" s="29" t="s">
        <v>32</v>
      </c>
    </row>
    <row r="134" spans="6:11">
      <c r="F134" s="94">
        <v>44768</v>
      </c>
      <c r="G134" s="29" t="s">
        <v>98</v>
      </c>
      <c r="I134" s="88">
        <v>3161070</v>
      </c>
      <c r="J134" s="29" t="s">
        <v>14</v>
      </c>
      <c r="K134" s="29" t="s">
        <v>39</v>
      </c>
    </row>
    <row r="135" spans="6:11">
      <c r="F135" s="94">
        <v>44768</v>
      </c>
      <c r="G135" s="29" t="s">
        <v>98</v>
      </c>
      <c r="I135" s="88">
        <v>1990443</v>
      </c>
      <c r="J135" s="29" t="s">
        <v>10</v>
      </c>
      <c r="K135" s="93" t="s">
        <v>36</v>
      </c>
    </row>
    <row r="136" spans="6:11">
      <c r="F136" s="86">
        <v>44768</v>
      </c>
      <c r="G136" s="29" t="s">
        <v>97</v>
      </c>
      <c r="H136" s="87">
        <v>3161070</v>
      </c>
      <c r="J136" s="29" t="s">
        <v>14</v>
      </c>
      <c r="K136" s="29" t="s">
        <v>39</v>
      </c>
    </row>
    <row r="137" spans="6:11">
      <c r="F137" s="86">
        <v>44768</v>
      </c>
      <c r="G137" s="29" t="s">
        <v>97</v>
      </c>
      <c r="H137" s="87">
        <v>1990443</v>
      </c>
      <c r="J137" s="29" t="s">
        <v>10</v>
      </c>
      <c r="K137" s="29" t="s">
        <v>36</v>
      </c>
    </row>
    <row r="138" spans="6:11">
      <c r="F138" s="94">
        <v>44771</v>
      </c>
      <c r="G138" s="29" t="s">
        <v>98</v>
      </c>
      <c r="I138" s="88">
        <v>1764378</v>
      </c>
      <c r="J138" s="29" t="s">
        <v>2</v>
      </c>
      <c r="K138" s="93" t="s">
        <v>33</v>
      </c>
    </row>
    <row r="139" spans="6:11">
      <c r="F139" s="86">
        <v>44771</v>
      </c>
      <c r="G139" s="29" t="s">
        <v>97</v>
      </c>
      <c r="H139" s="87">
        <v>1764378</v>
      </c>
      <c r="J139" s="29" t="s">
        <v>2</v>
      </c>
      <c r="K139" s="29" t="s">
        <v>33</v>
      </c>
    </row>
    <row r="140" spans="6:11">
      <c r="F140" s="94">
        <v>44772</v>
      </c>
      <c r="G140" s="29" t="s">
        <v>98</v>
      </c>
      <c r="I140" s="88">
        <v>1019031</v>
      </c>
      <c r="J140" s="29" t="s">
        <v>2</v>
      </c>
      <c r="K140" s="93" t="s">
        <v>31</v>
      </c>
    </row>
    <row r="141" spans="6:11">
      <c r="F141" s="94">
        <v>44772</v>
      </c>
      <c r="G141" s="29" t="s">
        <v>98</v>
      </c>
      <c r="I141" s="88">
        <v>670390</v>
      </c>
      <c r="J141" s="29" t="s">
        <v>10</v>
      </c>
      <c r="K141" s="93" t="s">
        <v>37</v>
      </c>
    </row>
    <row r="142" spans="6:11">
      <c r="F142" s="86">
        <v>44772</v>
      </c>
      <c r="G142" s="29" t="s">
        <v>97</v>
      </c>
      <c r="H142" s="87">
        <v>1019031</v>
      </c>
      <c r="J142" s="29" t="s">
        <v>2</v>
      </c>
      <c r="K142" s="29" t="s">
        <v>31</v>
      </c>
    </row>
    <row r="143" spans="6:11">
      <c r="F143" s="86">
        <v>44772</v>
      </c>
      <c r="G143" s="29" t="s">
        <v>97</v>
      </c>
      <c r="H143" s="87">
        <v>670390</v>
      </c>
      <c r="J143" s="29" t="s">
        <v>10</v>
      </c>
      <c r="K143" s="29" t="s">
        <v>37</v>
      </c>
    </row>
    <row r="144" spans="6:11">
      <c r="F144" s="94">
        <v>44782</v>
      </c>
      <c r="G144" s="29" t="s">
        <v>98</v>
      </c>
      <c r="I144" s="88">
        <v>1654350</v>
      </c>
      <c r="J144" s="29" t="s">
        <v>14</v>
      </c>
      <c r="K144" s="29" t="s">
        <v>39</v>
      </c>
    </row>
    <row r="145" spans="6:11">
      <c r="F145" s="86">
        <v>44782</v>
      </c>
      <c r="G145" s="29" t="s">
        <v>97</v>
      </c>
      <c r="H145" s="87">
        <v>1654350</v>
      </c>
      <c r="J145" s="29" t="s">
        <v>14</v>
      </c>
      <c r="K145" s="29" t="s">
        <v>39</v>
      </c>
    </row>
    <row r="146" spans="6:11">
      <c r="F146" s="94">
        <v>44784</v>
      </c>
      <c r="G146" s="29" t="s">
        <v>98</v>
      </c>
      <c r="I146" s="88">
        <v>1299942</v>
      </c>
      <c r="J146" s="29" t="s">
        <v>2</v>
      </c>
      <c r="K146" s="93" t="s">
        <v>34</v>
      </c>
    </row>
    <row r="147" spans="6:11">
      <c r="F147" s="86">
        <v>44784</v>
      </c>
      <c r="G147" s="29" t="s">
        <v>97</v>
      </c>
      <c r="H147" s="87">
        <v>1299942</v>
      </c>
      <c r="J147" s="29" t="s">
        <v>2</v>
      </c>
      <c r="K147" s="29" t="s">
        <v>34</v>
      </c>
    </row>
    <row r="148" spans="6:11">
      <c r="F148" s="94">
        <v>44787</v>
      </c>
      <c r="G148" s="29" t="s">
        <v>98</v>
      </c>
      <c r="I148" s="88">
        <v>444024</v>
      </c>
      <c r="J148" s="29" t="s">
        <v>14</v>
      </c>
      <c r="K148" s="93" t="s">
        <v>40</v>
      </c>
    </row>
    <row r="149" spans="6:11">
      <c r="F149" s="94">
        <v>44787</v>
      </c>
      <c r="G149" s="29" t="s">
        <v>98</v>
      </c>
      <c r="I149" s="88">
        <v>708324</v>
      </c>
      <c r="J149" s="29" t="s">
        <v>10</v>
      </c>
      <c r="K149" s="93" t="s">
        <v>37</v>
      </c>
    </row>
    <row r="150" spans="6:11">
      <c r="F150" s="94">
        <v>44787</v>
      </c>
      <c r="G150" s="29" t="s">
        <v>98</v>
      </c>
      <c r="I150" s="88">
        <v>1618086</v>
      </c>
      <c r="J150" s="29" t="s">
        <v>10</v>
      </c>
      <c r="K150" s="93" t="s">
        <v>38</v>
      </c>
    </row>
    <row r="151" spans="6:11">
      <c r="F151" s="86">
        <v>44787</v>
      </c>
      <c r="G151" s="29" t="s">
        <v>97</v>
      </c>
      <c r="H151" s="87">
        <v>444024</v>
      </c>
      <c r="J151" s="29" t="s">
        <v>14</v>
      </c>
      <c r="K151" s="29" t="s">
        <v>40</v>
      </c>
    </row>
    <row r="152" spans="6:11">
      <c r="F152" s="86">
        <v>44787</v>
      </c>
      <c r="G152" s="29" t="s">
        <v>97</v>
      </c>
      <c r="H152" s="87">
        <v>708324</v>
      </c>
      <c r="J152" s="29" t="s">
        <v>10</v>
      </c>
      <c r="K152" s="29" t="s">
        <v>37</v>
      </c>
    </row>
    <row r="153" spans="6:11">
      <c r="F153" s="86">
        <v>44787</v>
      </c>
      <c r="G153" s="29" t="s">
        <v>97</v>
      </c>
      <c r="H153" s="87">
        <v>1618086</v>
      </c>
      <c r="J153" s="29" t="s">
        <v>10</v>
      </c>
      <c r="K153" s="29" t="s">
        <v>38</v>
      </c>
    </row>
    <row r="154" spans="6:11">
      <c r="F154" s="94">
        <v>44788</v>
      </c>
      <c r="G154" s="29" t="s">
        <v>98</v>
      </c>
      <c r="I154" s="88">
        <v>1462450</v>
      </c>
      <c r="J154" s="29" t="s">
        <v>10</v>
      </c>
      <c r="K154" s="93" t="s">
        <v>36</v>
      </c>
    </row>
    <row r="155" spans="6:11">
      <c r="F155" s="94">
        <v>44788</v>
      </c>
      <c r="G155" s="29" t="s">
        <v>98</v>
      </c>
      <c r="I155" s="88">
        <v>756884</v>
      </c>
      <c r="J155" s="29" t="s">
        <v>2</v>
      </c>
      <c r="K155" s="93" t="s">
        <v>32</v>
      </c>
    </row>
    <row r="156" spans="6:11">
      <c r="F156" s="86">
        <v>44788</v>
      </c>
      <c r="G156" s="29" t="s">
        <v>97</v>
      </c>
      <c r="H156" s="87">
        <v>1462450</v>
      </c>
      <c r="J156" s="29" t="s">
        <v>10</v>
      </c>
      <c r="K156" s="29" t="s">
        <v>36</v>
      </c>
    </row>
    <row r="157" spans="6:11">
      <c r="F157" s="86">
        <v>44788</v>
      </c>
      <c r="G157" s="29" t="s">
        <v>97</v>
      </c>
      <c r="H157" s="87">
        <v>756884</v>
      </c>
      <c r="J157" s="29" t="s">
        <v>2</v>
      </c>
      <c r="K157" s="29" t="s">
        <v>32</v>
      </c>
    </row>
    <row r="158" spans="6:11">
      <c r="F158" s="94">
        <v>44790</v>
      </c>
      <c r="G158" s="29" t="s">
        <v>98</v>
      </c>
      <c r="I158" s="88">
        <v>605178</v>
      </c>
      <c r="J158" s="29" t="s">
        <v>2</v>
      </c>
      <c r="K158" s="93" t="s">
        <v>35</v>
      </c>
    </row>
    <row r="159" spans="6:11">
      <c r="F159" s="86">
        <v>44790</v>
      </c>
      <c r="G159" s="29" t="s">
        <v>97</v>
      </c>
      <c r="H159" s="87">
        <v>605178</v>
      </c>
      <c r="J159" s="29" t="s">
        <v>2</v>
      </c>
      <c r="K159" s="29" t="s">
        <v>35</v>
      </c>
    </row>
    <row r="160" spans="6:11">
      <c r="F160" s="94">
        <v>44798</v>
      </c>
      <c r="G160" s="29" t="s">
        <v>98</v>
      </c>
      <c r="I160" s="88">
        <v>1355424</v>
      </c>
      <c r="J160" s="29" t="s">
        <v>2</v>
      </c>
      <c r="K160" s="93" t="s">
        <v>31</v>
      </c>
    </row>
    <row r="161" spans="6:11">
      <c r="F161" s="86">
        <v>44798</v>
      </c>
      <c r="G161" s="29" t="s">
        <v>97</v>
      </c>
      <c r="H161" s="87">
        <v>1355424</v>
      </c>
      <c r="J161" s="29" t="s">
        <v>2</v>
      </c>
      <c r="K161" s="29" t="s">
        <v>31</v>
      </c>
    </row>
    <row r="162" spans="6:11">
      <c r="F162" s="94">
        <v>44800</v>
      </c>
      <c r="G162" s="29" t="s">
        <v>98</v>
      </c>
      <c r="I162" s="88">
        <v>1162070</v>
      </c>
      <c r="J162" s="29" t="s">
        <v>2</v>
      </c>
      <c r="K162" s="93" t="s">
        <v>33</v>
      </c>
    </row>
    <row r="163" spans="6:11">
      <c r="F163" s="86">
        <v>44800</v>
      </c>
      <c r="G163" s="29" t="s">
        <v>97</v>
      </c>
      <c r="H163" s="87">
        <v>1162070</v>
      </c>
      <c r="J163" s="29" t="s">
        <v>2</v>
      </c>
      <c r="K163" s="29" t="s">
        <v>33</v>
      </c>
    </row>
    <row r="164" spans="6:11">
      <c r="F164" s="94">
        <v>44820</v>
      </c>
      <c r="G164" s="29" t="s">
        <v>98</v>
      </c>
      <c r="I164" s="88">
        <v>1976853</v>
      </c>
      <c r="J164" s="29" t="s">
        <v>2</v>
      </c>
      <c r="K164" s="93" t="s">
        <v>32</v>
      </c>
    </row>
    <row r="165" spans="6:11">
      <c r="F165" s="86">
        <v>44820</v>
      </c>
      <c r="G165" s="29" t="s">
        <v>97</v>
      </c>
      <c r="H165" s="87">
        <v>1976853</v>
      </c>
      <c r="J165" s="29" t="s">
        <v>2</v>
      </c>
      <c r="K165" s="29" t="s">
        <v>32</v>
      </c>
    </row>
    <row r="166" spans="6:11">
      <c r="F166" s="94">
        <v>44825</v>
      </c>
      <c r="G166" s="29" t="s">
        <v>98</v>
      </c>
      <c r="I166" s="88">
        <v>554164</v>
      </c>
      <c r="J166" s="29" t="s">
        <v>2</v>
      </c>
      <c r="K166" s="93" t="s">
        <v>35</v>
      </c>
    </row>
    <row r="167" spans="6:11">
      <c r="F167" s="86">
        <v>44825</v>
      </c>
      <c r="G167" s="29" t="s">
        <v>97</v>
      </c>
      <c r="H167" s="87">
        <v>554164</v>
      </c>
      <c r="J167" s="29" t="s">
        <v>2</v>
      </c>
      <c r="K167" s="29" t="s">
        <v>35</v>
      </c>
    </row>
    <row r="168" spans="6:11">
      <c r="F168" s="94">
        <v>44826</v>
      </c>
      <c r="G168" s="29" t="s">
        <v>98</v>
      </c>
      <c r="I168" s="88">
        <v>1400236</v>
      </c>
      <c r="J168" s="29" t="s">
        <v>10</v>
      </c>
      <c r="K168" s="93" t="s">
        <v>36</v>
      </c>
    </row>
    <row r="169" spans="6:11">
      <c r="F169" s="86">
        <v>44826</v>
      </c>
      <c r="G169" s="29" t="s">
        <v>97</v>
      </c>
      <c r="H169" s="87">
        <v>1400236</v>
      </c>
      <c r="J169" s="29" t="s">
        <v>10</v>
      </c>
      <c r="K169" s="29" t="s">
        <v>36</v>
      </c>
    </row>
    <row r="170" spans="6:11">
      <c r="F170" s="94">
        <v>44827</v>
      </c>
      <c r="G170" s="29" t="s">
        <v>98</v>
      </c>
      <c r="I170" s="88">
        <v>383184</v>
      </c>
      <c r="J170" s="29" t="s">
        <v>14</v>
      </c>
      <c r="K170" s="93" t="s">
        <v>40</v>
      </c>
    </row>
    <row r="171" spans="6:11">
      <c r="F171" s="86">
        <v>44827</v>
      </c>
      <c r="G171" s="29" t="s">
        <v>97</v>
      </c>
      <c r="H171" s="87">
        <v>383184</v>
      </c>
      <c r="J171" s="29" t="s">
        <v>14</v>
      </c>
      <c r="K171" s="29" t="s">
        <v>40</v>
      </c>
    </row>
    <row r="172" spans="6:11">
      <c r="F172" s="94">
        <v>44830</v>
      </c>
      <c r="G172" s="29" t="s">
        <v>98</v>
      </c>
      <c r="I172" s="88">
        <v>1397760</v>
      </c>
      <c r="J172" s="29" t="s">
        <v>2</v>
      </c>
      <c r="K172" s="93" t="s">
        <v>31</v>
      </c>
    </row>
    <row r="173" spans="6:11">
      <c r="F173" s="86">
        <v>44830</v>
      </c>
      <c r="G173" s="29" t="s">
        <v>97</v>
      </c>
      <c r="H173" s="87">
        <v>1397760</v>
      </c>
      <c r="J173" s="29" t="s">
        <v>2</v>
      </c>
      <c r="K173" s="29" t="s">
        <v>31</v>
      </c>
    </row>
    <row r="174" spans="6:11">
      <c r="F174" s="94">
        <v>44831</v>
      </c>
      <c r="G174" s="29" t="s">
        <v>98</v>
      </c>
      <c r="I174" s="88">
        <v>489124</v>
      </c>
      <c r="J174" s="29" t="s">
        <v>2</v>
      </c>
      <c r="K174" s="93" t="s">
        <v>33</v>
      </c>
    </row>
    <row r="175" spans="6:11">
      <c r="F175" s="94">
        <v>44831</v>
      </c>
      <c r="G175" s="29" t="s">
        <v>98</v>
      </c>
      <c r="I175" s="88">
        <v>1051848</v>
      </c>
      <c r="J175" s="29" t="s">
        <v>10</v>
      </c>
      <c r="K175" s="93" t="s">
        <v>38</v>
      </c>
    </row>
    <row r="176" spans="6:11">
      <c r="F176" s="86">
        <v>44831</v>
      </c>
      <c r="G176" s="29" t="s">
        <v>97</v>
      </c>
      <c r="H176" s="87">
        <v>489124</v>
      </c>
      <c r="J176" s="29" t="s">
        <v>2</v>
      </c>
      <c r="K176" s="29" t="s">
        <v>33</v>
      </c>
    </row>
    <row r="177" spans="6:11">
      <c r="F177" s="86">
        <v>44831</v>
      </c>
      <c r="G177" s="29" t="s">
        <v>97</v>
      </c>
      <c r="H177" s="87">
        <v>1051848</v>
      </c>
      <c r="J177" s="29" t="s">
        <v>10</v>
      </c>
      <c r="K177" s="29" t="s">
        <v>38</v>
      </c>
    </row>
    <row r="178" spans="6:11">
      <c r="F178" s="94">
        <v>44832</v>
      </c>
      <c r="G178" s="29" t="s">
        <v>98</v>
      </c>
      <c r="I178" s="88">
        <v>682770</v>
      </c>
      <c r="J178" s="29" t="s">
        <v>10</v>
      </c>
      <c r="K178" s="93" t="s">
        <v>37</v>
      </c>
    </row>
    <row r="179" spans="6:11">
      <c r="F179" s="86">
        <v>44832</v>
      </c>
      <c r="G179" s="29" t="s">
        <v>97</v>
      </c>
      <c r="H179" s="87">
        <v>682770</v>
      </c>
      <c r="J179" s="29" t="s">
        <v>10</v>
      </c>
      <c r="K179" s="29" t="s">
        <v>37</v>
      </c>
    </row>
    <row r="180" spans="6:11">
      <c r="F180" s="94">
        <v>44833</v>
      </c>
      <c r="G180" s="29" t="s">
        <v>98</v>
      </c>
      <c r="I180" s="88">
        <v>2098719</v>
      </c>
      <c r="J180" s="29" t="s">
        <v>14</v>
      </c>
      <c r="K180" s="29" t="s">
        <v>39</v>
      </c>
    </row>
    <row r="181" spans="6:11">
      <c r="F181" s="86">
        <v>44833</v>
      </c>
      <c r="G181" s="29" t="s">
        <v>97</v>
      </c>
      <c r="H181" s="87">
        <v>2098719</v>
      </c>
      <c r="J181" s="29" t="s">
        <v>14</v>
      </c>
      <c r="K181" s="29" t="s">
        <v>39</v>
      </c>
    </row>
    <row r="182" spans="6:11">
      <c r="F182" s="94">
        <v>44834</v>
      </c>
      <c r="G182" s="29" t="s">
        <v>98</v>
      </c>
      <c r="I182" s="88">
        <v>1452928</v>
      </c>
      <c r="J182" s="29" t="s">
        <v>2</v>
      </c>
      <c r="K182" s="93" t="s">
        <v>34</v>
      </c>
    </row>
    <row r="183" spans="6:11">
      <c r="F183" s="86">
        <v>44834</v>
      </c>
      <c r="G183" s="29" t="s">
        <v>97</v>
      </c>
      <c r="H183" s="87">
        <v>1452928</v>
      </c>
      <c r="J183" s="29" t="s">
        <v>2</v>
      </c>
      <c r="K183" s="29" t="s">
        <v>34</v>
      </c>
    </row>
    <row r="184" spans="6:11">
      <c r="F184" s="94">
        <v>44847</v>
      </c>
      <c r="G184" s="29" t="s">
        <v>98</v>
      </c>
      <c r="I184" s="88">
        <v>2665260</v>
      </c>
      <c r="J184" s="29" t="s">
        <v>14</v>
      </c>
      <c r="K184" s="29" t="s">
        <v>39</v>
      </c>
    </row>
    <row r="185" spans="6:11">
      <c r="F185" s="86">
        <v>44847</v>
      </c>
      <c r="G185" s="29" t="s">
        <v>97</v>
      </c>
      <c r="H185" s="87">
        <v>2665260</v>
      </c>
      <c r="J185" s="29" t="s">
        <v>14</v>
      </c>
      <c r="K185" s="29" t="s">
        <v>39</v>
      </c>
    </row>
    <row r="186" spans="6:11">
      <c r="F186" s="94">
        <v>44850</v>
      </c>
      <c r="G186" s="29" t="s">
        <v>98</v>
      </c>
      <c r="I186" s="88">
        <v>487665</v>
      </c>
      <c r="J186" s="29" t="s">
        <v>10</v>
      </c>
      <c r="K186" s="93" t="s">
        <v>37</v>
      </c>
    </row>
    <row r="187" spans="6:11">
      <c r="F187" s="86">
        <v>44850</v>
      </c>
      <c r="G187" s="29" t="s">
        <v>97</v>
      </c>
      <c r="H187" s="87">
        <v>487665</v>
      </c>
      <c r="J187" s="29" t="s">
        <v>10</v>
      </c>
      <c r="K187" s="29" t="s">
        <v>37</v>
      </c>
    </row>
    <row r="188" spans="6:11">
      <c r="F188" s="94">
        <v>44851</v>
      </c>
      <c r="G188" s="29" t="s">
        <v>98</v>
      </c>
      <c r="I188" s="88">
        <v>947030</v>
      </c>
      <c r="J188" s="29" t="s">
        <v>10</v>
      </c>
      <c r="K188" s="93" t="s">
        <v>36</v>
      </c>
    </row>
    <row r="189" spans="6:11">
      <c r="F189" s="86">
        <v>44851</v>
      </c>
      <c r="G189" s="29" t="s">
        <v>97</v>
      </c>
      <c r="H189" s="87">
        <v>947030</v>
      </c>
      <c r="J189" s="29" t="s">
        <v>10</v>
      </c>
      <c r="K189" s="29" t="s">
        <v>36</v>
      </c>
    </row>
    <row r="190" spans="6:11">
      <c r="F190" s="94">
        <v>44852</v>
      </c>
      <c r="G190" s="29" t="s">
        <v>98</v>
      </c>
      <c r="I190" s="88">
        <v>425961</v>
      </c>
      <c r="J190" s="29" t="s">
        <v>2</v>
      </c>
      <c r="K190" s="93" t="s">
        <v>31</v>
      </c>
    </row>
    <row r="191" spans="6:11">
      <c r="F191" s="86">
        <v>44852</v>
      </c>
      <c r="G191" s="29" t="s">
        <v>97</v>
      </c>
      <c r="H191" s="87">
        <v>425961</v>
      </c>
      <c r="J191" s="29" t="s">
        <v>2</v>
      </c>
      <c r="K191" s="29" t="s">
        <v>31</v>
      </c>
    </row>
    <row r="192" spans="6:11">
      <c r="F192" s="94">
        <v>44854</v>
      </c>
      <c r="G192" s="29" t="s">
        <v>98</v>
      </c>
      <c r="I192" s="88">
        <v>1125402</v>
      </c>
      <c r="J192" s="29" t="s">
        <v>2</v>
      </c>
      <c r="K192" s="93" t="s">
        <v>34</v>
      </c>
    </row>
    <row r="193" spans="6:11">
      <c r="F193" s="86">
        <v>44854</v>
      </c>
      <c r="G193" s="29" t="s">
        <v>97</v>
      </c>
      <c r="H193" s="87">
        <v>1125402</v>
      </c>
      <c r="J193" s="29" t="s">
        <v>2</v>
      </c>
      <c r="K193" s="29" t="s">
        <v>34</v>
      </c>
    </row>
    <row r="194" spans="6:11">
      <c r="F194" s="94">
        <v>44855</v>
      </c>
      <c r="G194" s="29" t="s">
        <v>98</v>
      </c>
      <c r="I194" s="88">
        <v>1398420</v>
      </c>
      <c r="J194" s="29" t="s">
        <v>2</v>
      </c>
      <c r="K194" s="93" t="s">
        <v>32</v>
      </c>
    </row>
    <row r="195" spans="6:11">
      <c r="F195" s="86">
        <v>44855</v>
      </c>
      <c r="G195" s="29" t="s">
        <v>97</v>
      </c>
      <c r="H195" s="87">
        <v>1398420</v>
      </c>
      <c r="J195" s="29" t="s">
        <v>2</v>
      </c>
      <c r="K195" s="29" t="s">
        <v>32</v>
      </c>
    </row>
    <row r="196" spans="6:11">
      <c r="F196" s="94">
        <v>44857</v>
      </c>
      <c r="G196" s="29" t="s">
        <v>98</v>
      </c>
      <c r="I196" s="88">
        <v>1149234</v>
      </c>
      <c r="J196" s="29" t="s">
        <v>2</v>
      </c>
      <c r="K196" s="93" t="s">
        <v>33</v>
      </c>
    </row>
    <row r="197" spans="6:11">
      <c r="F197" s="86">
        <v>44857</v>
      </c>
      <c r="G197" s="29" t="s">
        <v>97</v>
      </c>
      <c r="H197" s="87">
        <v>1149234</v>
      </c>
      <c r="J197" s="29" t="s">
        <v>2</v>
      </c>
      <c r="K197" s="29" t="s">
        <v>33</v>
      </c>
    </row>
    <row r="198" spans="6:11">
      <c r="F198" s="94">
        <v>44858</v>
      </c>
      <c r="G198" s="29" t="s">
        <v>98</v>
      </c>
      <c r="I198" s="88">
        <v>1391220</v>
      </c>
      <c r="J198" s="29" t="s">
        <v>10</v>
      </c>
      <c r="K198" s="93" t="s">
        <v>38</v>
      </c>
    </row>
    <row r="199" spans="6:11">
      <c r="F199" s="86">
        <v>44858</v>
      </c>
      <c r="G199" s="29" t="s">
        <v>97</v>
      </c>
      <c r="H199" s="87">
        <v>1391220</v>
      </c>
      <c r="J199" s="29" t="s">
        <v>10</v>
      </c>
      <c r="K199" s="29" t="s">
        <v>38</v>
      </c>
    </row>
    <row r="200" spans="6:11">
      <c r="F200" s="94">
        <v>44859</v>
      </c>
      <c r="G200" s="29" t="s">
        <v>98</v>
      </c>
      <c r="I200" s="88">
        <v>1589335</v>
      </c>
      <c r="J200" s="29" t="s">
        <v>2</v>
      </c>
      <c r="K200" s="93" t="s">
        <v>35</v>
      </c>
    </row>
    <row r="201" spans="6:11">
      <c r="F201" s="86">
        <v>44859</v>
      </c>
      <c r="G201" s="29" t="s">
        <v>97</v>
      </c>
      <c r="H201" s="87">
        <v>1589335</v>
      </c>
      <c r="J201" s="29" t="s">
        <v>2</v>
      </c>
      <c r="K201" s="29" t="s">
        <v>35</v>
      </c>
    </row>
    <row r="202" spans="6:11">
      <c r="F202" s="94">
        <v>44861</v>
      </c>
      <c r="G202" s="29" t="s">
        <v>98</v>
      </c>
      <c r="I202" s="88">
        <v>173664</v>
      </c>
      <c r="J202" s="29" t="s">
        <v>14</v>
      </c>
      <c r="K202" s="93" t="s">
        <v>40</v>
      </c>
    </row>
    <row r="203" spans="6:11">
      <c r="F203" s="86">
        <v>44861</v>
      </c>
      <c r="G203" s="29" t="s">
        <v>97</v>
      </c>
      <c r="H203" s="87">
        <v>173664</v>
      </c>
      <c r="J203" s="29" t="s">
        <v>14</v>
      </c>
      <c r="K203" s="29" t="s">
        <v>40</v>
      </c>
    </row>
    <row r="204" spans="6:11">
      <c r="F204" s="94">
        <v>44874</v>
      </c>
      <c r="G204" s="29" t="s">
        <v>98</v>
      </c>
      <c r="I204" s="88">
        <v>718977</v>
      </c>
      <c r="J204" s="29" t="s">
        <v>10</v>
      </c>
      <c r="K204" s="93" t="s">
        <v>37</v>
      </c>
    </row>
    <row r="205" spans="6:11">
      <c r="F205" s="86">
        <v>44874</v>
      </c>
      <c r="G205" s="29" t="s">
        <v>97</v>
      </c>
      <c r="H205" s="87">
        <v>718977</v>
      </c>
      <c r="J205" s="29" t="s">
        <v>10</v>
      </c>
      <c r="K205" s="29" t="s">
        <v>37</v>
      </c>
    </row>
    <row r="206" spans="6:11">
      <c r="F206" s="94">
        <v>44879</v>
      </c>
      <c r="G206" s="29" t="s">
        <v>98</v>
      </c>
      <c r="I206" s="88">
        <v>415476</v>
      </c>
      <c r="J206" s="29" t="s">
        <v>10</v>
      </c>
      <c r="K206" s="93" t="s">
        <v>38</v>
      </c>
    </row>
    <row r="207" spans="6:11">
      <c r="F207" s="94">
        <v>44879</v>
      </c>
      <c r="G207" s="29" t="s">
        <v>98</v>
      </c>
      <c r="I207" s="88">
        <v>1233232</v>
      </c>
      <c r="J207" s="29" t="s">
        <v>2</v>
      </c>
      <c r="K207" s="93" t="s">
        <v>34</v>
      </c>
    </row>
    <row r="208" spans="6:11">
      <c r="F208" s="86">
        <v>44879</v>
      </c>
      <c r="G208" s="29" t="s">
        <v>97</v>
      </c>
      <c r="H208" s="87">
        <v>415476</v>
      </c>
      <c r="J208" s="29" t="s">
        <v>10</v>
      </c>
      <c r="K208" s="29" t="s">
        <v>38</v>
      </c>
    </row>
    <row r="209" spans="6:11">
      <c r="F209" s="86">
        <v>44879</v>
      </c>
      <c r="G209" s="29" t="s">
        <v>97</v>
      </c>
      <c r="H209" s="87">
        <v>1233232</v>
      </c>
      <c r="J209" s="29" t="s">
        <v>2</v>
      </c>
      <c r="K209" s="29" t="s">
        <v>34</v>
      </c>
    </row>
    <row r="210" spans="6:11">
      <c r="F210" s="94">
        <v>44880</v>
      </c>
      <c r="G210" s="29" t="s">
        <v>98</v>
      </c>
      <c r="I210" s="88">
        <v>756560</v>
      </c>
      <c r="J210" s="29" t="s">
        <v>2</v>
      </c>
      <c r="K210" s="93" t="s">
        <v>33</v>
      </c>
    </row>
    <row r="211" spans="6:11">
      <c r="F211" s="86">
        <v>44880</v>
      </c>
      <c r="G211" s="29" t="s">
        <v>97</v>
      </c>
      <c r="H211" s="87">
        <v>756560</v>
      </c>
      <c r="J211" s="29" t="s">
        <v>2</v>
      </c>
      <c r="K211" s="29" t="s">
        <v>33</v>
      </c>
    </row>
    <row r="212" spans="6:11">
      <c r="F212" s="94">
        <v>44882</v>
      </c>
      <c r="G212" s="29" t="s">
        <v>98</v>
      </c>
      <c r="I212" s="88">
        <v>1111460</v>
      </c>
      <c r="J212" s="29" t="s">
        <v>2</v>
      </c>
      <c r="K212" s="93" t="s">
        <v>35</v>
      </c>
    </row>
    <row r="213" spans="6:11">
      <c r="F213" s="86">
        <v>44882</v>
      </c>
      <c r="G213" s="29" t="s">
        <v>97</v>
      </c>
      <c r="H213" s="87">
        <v>1111460</v>
      </c>
      <c r="J213" s="29" t="s">
        <v>2</v>
      </c>
      <c r="K213" s="29" t="s">
        <v>35</v>
      </c>
    </row>
    <row r="214" spans="6:11">
      <c r="F214" s="94">
        <v>44883</v>
      </c>
      <c r="G214" s="29" t="s">
        <v>98</v>
      </c>
      <c r="I214" s="88">
        <v>846141</v>
      </c>
      <c r="J214" s="29" t="s">
        <v>14</v>
      </c>
      <c r="K214" s="93" t="s">
        <v>40</v>
      </c>
    </row>
    <row r="215" spans="6:11">
      <c r="F215" s="86">
        <v>44883</v>
      </c>
      <c r="G215" s="29" t="s">
        <v>97</v>
      </c>
      <c r="H215" s="87">
        <v>846141</v>
      </c>
      <c r="J215" s="29" t="s">
        <v>14</v>
      </c>
      <c r="K215" s="29" t="s">
        <v>40</v>
      </c>
    </row>
    <row r="216" spans="6:11">
      <c r="F216" s="94">
        <v>44884</v>
      </c>
      <c r="G216" s="29" t="s">
        <v>98</v>
      </c>
      <c r="I216" s="88">
        <v>761550</v>
      </c>
      <c r="J216" s="29" t="s">
        <v>2</v>
      </c>
      <c r="K216" s="93" t="s">
        <v>31</v>
      </c>
    </row>
    <row r="217" spans="6:11">
      <c r="F217" s="86">
        <v>44884</v>
      </c>
      <c r="G217" s="29" t="s">
        <v>97</v>
      </c>
      <c r="H217" s="87">
        <v>761550</v>
      </c>
      <c r="J217" s="29" t="s">
        <v>2</v>
      </c>
      <c r="K217" s="29" t="s">
        <v>31</v>
      </c>
    </row>
    <row r="218" spans="6:11">
      <c r="F218" s="94">
        <v>44891</v>
      </c>
      <c r="G218" s="29" t="s">
        <v>98</v>
      </c>
      <c r="I218" s="88">
        <v>829568</v>
      </c>
      <c r="J218" s="29" t="s">
        <v>10</v>
      </c>
      <c r="K218" s="93" t="s">
        <v>36</v>
      </c>
    </row>
    <row r="219" spans="6:11">
      <c r="F219" s="86">
        <v>44891</v>
      </c>
      <c r="G219" s="29" t="s">
        <v>97</v>
      </c>
      <c r="H219" s="87">
        <v>829568</v>
      </c>
      <c r="J219" s="29" t="s">
        <v>10</v>
      </c>
      <c r="K219" s="29" t="s">
        <v>36</v>
      </c>
    </row>
    <row r="220" spans="6:11">
      <c r="F220" s="94">
        <v>44893</v>
      </c>
      <c r="G220" s="29" t="s">
        <v>98</v>
      </c>
      <c r="I220" s="88">
        <v>1112020</v>
      </c>
      <c r="J220" s="29" t="s">
        <v>2</v>
      </c>
      <c r="K220" s="93" t="s">
        <v>32</v>
      </c>
    </row>
    <row r="221" spans="6:11">
      <c r="F221" s="86">
        <v>44893</v>
      </c>
      <c r="G221" s="29" t="s">
        <v>97</v>
      </c>
      <c r="H221" s="87">
        <v>1112020</v>
      </c>
      <c r="J221" s="29" t="s">
        <v>2</v>
      </c>
      <c r="K221" s="29" t="s">
        <v>32</v>
      </c>
    </row>
    <row r="222" spans="6:11">
      <c r="F222" s="94">
        <v>44894</v>
      </c>
      <c r="G222" s="29" t="s">
        <v>98</v>
      </c>
      <c r="I222" s="88">
        <v>3494754</v>
      </c>
      <c r="J222" s="29" t="s">
        <v>14</v>
      </c>
      <c r="K222" s="29" t="s">
        <v>39</v>
      </c>
    </row>
    <row r="223" spans="6:11">
      <c r="F223" s="86">
        <v>44894</v>
      </c>
      <c r="G223" s="29" t="s">
        <v>97</v>
      </c>
      <c r="H223" s="87">
        <v>3494754</v>
      </c>
      <c r="J223" s="29" t="s">
        <v>14</v>
      </c>
      <c r="K223" s="29" t="s">
        <v>39</v>
      </c>
    </row>
    <row r="224" spans="6:11">
      <c r="F224" s="94">
        <v>44910</v>
      </c>
      <c r="G224" s="29" t="s">
        <v>98</v>
      </c>
      <c r="I224" s="88">
        <v>2085210</v>
      </c>
      <c r="J224" s="29" t="s">
        <v>14</v>
      </c>
      <c r="K224" s="29" t="s">
        <v>39</v>
      </c>
    </row>
    <row r="225" spans="6:11">
      <c r="F225" s="94">
        <v>44910</v>
      </c>
      <c r="G225" s="29" t="s">
        <v>98</v>
      </c>
      <c r="I225" s="88">
        <v>677376</v>
      </c>
      <c r="J225" s="29" t="s">
        <v>2</v>
      </c>
      <c r="K225" s="93" t="s">
        <v>32</v>
      </c>
    </row>
    <row r="226" spans="6:11">
      <c r="F226" s="94">
        <v>44910</v>
      </c>
      <c r="G226" s="29" t="s">
        <v>98</v>
      </c>
      <c r="I226" s="88">
        <v>1075932</v>
      </c>
      <c r="J226" s="29" t="s">
        <v>10</v>
      </c>
      <c r="K226" s="93" t="s">
        <v>38</v>
      </c>
    </row>
    <row r="227" spans="6:11">
      <c r="F227" s="86">
        <v>44910</v>
      </c>
      <c r="G227" s="29" t="s">
        <v>97</v>
      </c>
      <c r="H227" s="87">
        <v>2085210</v>
      </c>
      <c r="J227" s="29" t="s">
        <v>14</v>
      </c>
      <c r="K227" s="29" t="s">
        <v>39</v>
      </c>
    </row>
    <row r="228" spans="6:11">
      <c r="F228" s="86">
        <v>44910</v>
      </c>
      <c r="G228" s="29" t="s">
        <v>97</v>
      </c>
      <c r="H228" s="87">
        <v>677376</v>
      </c>
      <c r="J228" s="29" t="s">
        <v>2</v>
      </c>
      <c r="K228" s="29" t="s">
        <v>32</v>
      </c>
    </row>
    <row r="229" spans="6:11">
      <c r="F229" s="86">
        <v>44910</v>
      </c>
      <c r="G229" s="29" t="s">
        <v>97</v>
      </c>
      <c r="H229" s="87">
        <v>1075932</v>
      </c>
      <c r="J229" s="29" t="s">
        <v>10</v>
      </c>
      <c r="K229" s="29" t="s">
        <v>38</v>
      </c>
    </row>
    <row r="230" spans="6:11">
      <c r="F230" s="94">
        <v>44912</v>
      </c>
      <c r="G230" s="29" t="s">
        <v>98</v>
      </c>
      <c r="I230" s="88">
        <v>1640576</v>
      </c>
      <c r="J230" s="29" t="s">
        <v>2</v>
      </c>
      <c r="K230" s="93" t="s">
        <v>35</v>
      </c>
    </row>
    <row r="231" spans="6:11">
      <c r="F231" s="86">
        <v>44912</v>
      </c>
      <c r="G231" s="29" t="s">
        <v>97</v>
      </c>
      <c r="H231" s="87">
        <v>1640576</v>
      </c>
      <c r="J231" s="29" t="s">
        <v>2</v>
      </c>
      <c r="K231" s="29" t="s">
        <v>35</v>
      </c>
    </row>
    <row r="232" spans="6:11">
      <c r="F232" s="94">
        <v>44913</v>
      </c>
      <c r="G232" s="29" t="s">
        <v>98</v>
      </c>
      <c r="I232" s="88">
        <v>567736</v>
      </c>
      <c r="J232" s="29" t="s">
        <v>10</v>
      </c>
      <c r="K232" s="93" t="s">
        <v>37</v>
      </c>
    </row>
    <row r="233" spans="6:11">
      <c r="F233" s="94">
        <v>44913</v>
      </c>
      <c r="G233" s="29" t="s">
        <v>98</v>
      </c>
      <c r="I233" s="88">
        <v>1199400</v>
      </c>
      <c r="J233" s="29" t="s">
        <v>2</v>
      </c>
      <c r="K233" s="93" t="s">
        <v>33</v>
      </c>
    </row>
    <row r="234" spans="6:11">
      <c r="F234" s="86">
        <v>44913</v>
      </c>
      <c r="G234" s="29" t="s">
        <v>97</v>
      </c>
      <c r="H234" s="87">
        <v>567736</v>
      </c>
      <c r="J234" s="29" t="s">
        <v>10</v>
      </c>
      <c r="K234" s="29" t="s">
        <v>37</v>
      </c>
    </row>
    <row r="235" spans="6:11">
      <c r="F235" s="86">
        <v>44913</v>
      </c>
      <c r="G235" s="29" t="s">
        <v>97</v>
      </c>
      <c r="H235" s="87">
        <v>1199400</v>
      </c>
      <c r="J235" s="29" t="s">
        <v>2</v>
      </c>
      <c r="K235" s="29" t="s">
        <v>33</v>
      </c>
    </row>
    <row r="236" spans="6:11">
      <c r="F236" s="94">
        <v>44916</v>
      </c>
      <c r="G236" s="29" t="s">
        <v>98</v>
      </c>
      <c r="I236" s="88">
        <v>976488</v>
      </c>
      <c r="J236" s="29" t="s">
        <v>10</v>
      </c>
      <c r="K236" s="93" t="s">
        <v>36</v>
      </c>
    </row>
    <row r="237" spans="6:11">
      <c r="F237" s="86">
        <v>44916</v>
      </c>
      <c r="G237" s="29" t="s">
        <v>97</v>
      </c>
      <c r="H237" s="87">
        <v>976488</v>
      </c>
      <c r="J237" s="29" t="s">
        <v>10</v>
      </c>
      <c r="K237" s="29" t="s">
        <v>36</v>
      </c>
    </row>
    <row r="238" spans="6:11">
      <c r="F238" s="94">
        <v>44919</v>
      </c>
      <c r="G238" s="29" t="s">
        <v>98</v>
      </c>
      <c r="J238" s="29" t="s">
        <v>14</v>
      </c>
      <c r="K238" s="93" t="s">
        <v>40</v>
      </c>
    </row>
    <row r="239" spans="6:11">
      <c r="F239" s="86">
        <v>44919</v>
      </c>
      <c r="G239" s="29" t="s">
        <v>97</v>
      </c>
      <c r="H239" s="87">
        <v>369024</v>
      </c>
      <c r="J239" s="29" t="s">
        <v>14</v>
      </c>
      <c r="K239" s="29" t="s">
        <v>40</v>
      </c>
    </row>
    <row r="240" spans="6:11">
      <c r="F240" s="94">
        <v>44925</v>
      </c>
      <c r="G240" s="29" t="s">
        <v>98</v>
      </c>
      <c r="I240" s="88">
        <v>457200</v>
      </c>
      <c r="J240" s="29" t="s">
        <v>2</v>
      </c>
      <c r="K240" s="93" t="s">
        <v>31</v>
      </c>
    </row>
    <row r="241" spans="6:11">
      <c r="F241" s="94">
        <v>44925</v>
      </c>
      <c r="G241" s="29" t="s">
        <v>98</v>
      </c>
      <c r="I241" s="88">
        <v>1748626</v>
      </c>
      <c r="J241" s="29" t="s">
        <v>2</v>
      </c>
      <c r="K241" s="93" t="s">
        <v>34</v>
      </c>
    </row>
    <row r="242" spans="6:11">
      <c r="F242" s="86">
        <v>44925</v>
      </c>
      <c r="G242" s="29" t="s">
        <v>97</v>
      </c>
      <c r="H242" s="87">
        <v>457200</v>
      </c>
      <c r="J242" s="29" t="s">
        <v>2</v>
      </c>
      <c r="K242" s="29" t="s">
        <v>31</v>
      </c>
    </row>
    <row r="243" spans="6:11">
      <c r="F243" s="86">
        <v>44925</v>
      </c>
      <c r="G243" s="29" t="s">
        <v>97</v>
      </c>
      <c r="H243" s="87">
        <v>1748626</v>
      </c>
      <c r="J243" s="29" t="s">
        <v>2</v>
      </c>
      <c r="K243" s="29" t="s">
        <v>34</v>
      </c>
    </row>
    <row r="246" spans="6:11">
      <c r="H246" s="87">
        <v>143304844</v>
      </c>
      <c r="I246" s="87">
        <v>143304844</v>
      </c>
    </row>
    <row r="248" spans="6:11">
      <c r="H248" s="87">
        <v>0</v>
      </c>
    </row>
  </sheetData>
  <autoFilter ref="F3:K243" xr:uid="{60BA8B35-5A96-4AE2-90F5-90E3133E853E}">
    <sortState xmlns:xlrd2="http://schemas.microsoft.com/office/spreadsheetml/2017/richdata2" ref="F4:K243">
      <sortCondition ref="F3:F243"/>
    </sortState>
  </autoFilter>
  <phoneticPr fontId="6" type="noConversion"/>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CCB75-230C-479E-905E-1E768C20D4C5}">
  <sheetPr codeName="Sheet29"/>
  <dimension ref="A1:M51"/>
  <sheetViews>
    <sheetView workbookViewId="0">
      <selection activeCell="A2" sqref="A2:XFD13"/>
    </sheetView>
  </sheetViews>
  <sheetFormatPr baseColWidth="10" defaultColWidth="8.83203125" defaultRowHeight="15"/>
  <cols>
    <col min="1" max="1" width="10.33203125" style="26" bestFit="1" customWidth="1"/>
    <col min="2" max="2" width="13.1640625" bestFit="1" customWidth="1"/>
    <col min="3" max="3" width="29.1640625" bestFit="1" customWidth="1"/>
    <col min="4" max="5" width="17.83203125" style="72" customWidth="1"/>
    <col min="6" max="6" width="42.1640625" bestFit="1" customWidth="1"/>
    <col min="7" max="7" width="18.1640625" bestFit="1" customWidth="1"/>
    <col min="8" max="8" width="8.33203125" bestFit="1" customWidth="1"/>
    <col min="9" max="10" width="10.33203125" bestFit="1" customWidth="1"/>
  </cols>
  <sheetData>
    <row r="1" spans="1:13" ht="13.75" customHeight="1">
      <c r="A1" s="26" t="s">
        <v>51</v>
      </c>
      <c r="B1" t="s">
        <v>52</v>
      </c>
      <c r="C1" t="s">
        <v>53</v>
      </c>
      <c r="D1" s="72" t="s">
        <v>54</v>
      </c>
      <c r="E1" s="72" t="s">
        <v>55</v>
      </c>
      <c r="F1" t="s">
        <v>56</v>
      </c>
      <c r="G1" t="s">
        <v>57</v>
      </c>
      <c r="H1" t="s">
        <v>58</v>
      </c>
      <c r="I1" t="s">
        <v>104</v>
      </c>
      <c r="J1" t="s">
        <v>59</v>
      </c>
      <c r="L1" s="72"/>
      <c r="M1" s="72"/>
    </row>
    <row r="2" spans="1:13">
      <c r="A2" s="26">
        <f>+ERP_Inventory!$B$30</f>
        <v>44562</v>
      </c>
      <c r="B2">
        <v>22000001</v>
      </c>
      <c r="C2" t="s">
        <v>60</v>
      </c>
      <c r="E2" s="72">
        <f>+ERP_Inventory!B31</f>
        <v>256500</v>
      </c>
      <c r="F2" t="s">
        <v>61</v>
      </c>
      <c r="G2" t="s">
        <v>3</v>
      </c>
    </row>
    <row r="3" spans="1:13">
      <c r="A3" s="26">
        <f>+ERP_Inventory!$B$30</f>
        <v>44562</v>
      </c>
      <c r="B3">
        <v>22000001</v>
      </c>
      <c r="C3" t="s">
        <v>60</v>
      </c>
      <c r="E3" s="72">
        <f>+ERP_Inventory!B32</f>
        <v>582300</v>
      </c>
      <c r="F3" t="s">
        <v>62</v>
      </c>
      <c r="G3" t="s">
        <v>4</v>
      </c>
    </row>
    <row r="4" spans="1:13">
      <c r="A4" s="26">
        <f>+ERP_Inventory!$B$30</f>
        <v>44562</v>
      </c>
      <c r="B4">
        <v>22000001</v>
      </c>
      <c r="C4" t="s">
        <v>60</v>
      </c>
      <c r="E4" s="72">
        <f>+ERP_Inventory!B33</f>
        <v>901113</v>
      </c>
      <c r="F4" t="s">
        <v>63</v>
      </c>
      <c r="G4" t="s">
        <v>5</v>
      </c>
    </row>
    <row r="5" spans="1:13">
      <c r="A5" s="26">
        <f>+ERP_Inventory!$B$30</f>
        <v>44562</v>
      </c>
      <c r="B5">
        <v>22000001</v>
      </c>
      <c r="C5" t="s">
        <v>60</v>
      </c>
      <c r="E5" s="72">
        <f>+ERP_Inventory!B34</f>
        <v>390663</v>
      </c>
      <c r="F5" t="s">
        <v>64</v>
      </c>
      <c r="G5" t="s">
        <v>6</v>
      </c>
    </row>
    <row r="6" spans="1:13">
      <c r="A6" s="26">
        <f>+ERP_Inventory!$B$30</f>
        <v>44562</v>
      </c>
      <c r="B6">
        <v>22000001</v>
      </c>
      <c r="C6" t="s">
        <v>60</v>
      </c>
      <c r="E6" s="72">
        <f>+ERP_Inventory!B35</f>
        <v>330066</v>
      </c>
      <c r="F6" t="s">
        <v>65</v>
      </c>
      <c r="G6" t="s">
        <v>11</v>
      </c>
    </row>
    <row r="7" spans="1:13">
      <c r="A7" s="26">
        <f>+ERP_Inventory!$B$30</f>
        <v>44562</v>
      </c>
      <c r="B7">
        <v>22000001</v>
      </c>
      <c r="C7" t="s">
        <v>60</v>
      </c>
      <c r="E7" s="72">
        <f>+ERP_Inventory!B36</f>
        <v>554439</v>
      </c>
      <c r="F7" t="s">
        <v>66</v>
      </c>
      <c r="G7" t="s">
        <v>12</v>
      </c>
    </row>
    <row r="8" spans="1:13">
      <c r="A8" s="26">
        <f>+ERP_Inventory!$B$30</f>
        <v>44562</v>
      </c>
      <c r="B8">
        <v>22000001</v>
      </c>
      <c r="C8" t="s">
        <v>67</v>
      </c>
      <c r="D8" s="72">
        <f>+ERP_Inventory!B31</f>
        <v>256500</v>
      </c>
      <c r="F8" t="s">
        <v>61</v>
      </c>
      <c r="G8" t="s">
        <v>3</v>
      </c>
    </row>
    <row r="9" spans="1:13">
      <c r="A9" s="26">
        <f>+ERP_Inventory!$B$30</f>
        <v>44562</v>
      </c>
      <c r="B9">
        <v>22000001</v>
      </c>
      <c r="C9" t="s">
        <v>67</v>
      </c>
      <c r="D9" s="72">
        <f>+ERP_Inventory!B32</f>
        <v>582300</v>
      </c>
      <c r="F9" t="s">
        <v>62</v>
      </c>
      <c r="G9" t="s">
        <v>4</v>
      </c>
    </row>
    <row r="10" spans="1:13">
      <c r="A10" s="26">
        <f>+ERP_Inventory!$B$30</f>
        <v>44562</v>
      </c>
      <c r="B10">
        <v>22000001</v>
      </c>
      <c r="C10" t="s">
        <v>67</v>
      </c>
      <c r="D10" s="72">
        <f>+ERP_Inventory!B33</f>
        <v>901113</v>
      </c>
      <c r="F10" t="s">
        <v>63</v>
      </c>
      <c r="G10" t="s">
        <v>5</v>
      </c>
    </row>
    <row r="11" spans="1:13">
      <c r="A11" s="26">
        <f>+ERP_Inventory!$B$30</f>
        <v>44562</v>
      </c>
      <c r="B11">
        <v>22000001</v>
      </c>
      <c r="C11" t="s">
        <v>67</v>
      </c>
      <c r="D11" s="72">
        <f>+ERP_Inventory!B34</f>
        <v>390663</v>
      </c>
      <c r="F11" t="s">
        <v>64</v>
      </c>
      <c r="G11" t="s">
        <v>6</v>
      </c>
    </row>
    <row r="12" spans="1:13">
      <c r="A12" s="26">
        <f>+ERP_Inventory!$B$30</f>
        <v>44562</v>
      </c>
      <c r="B12">
        <v>22000001</v>
      </c>
      <c r="C12" t="s">
        <v>67</v>
      </c>
      <c r="D12" s="72">
        <f>+ERP_Inventory!B35</f>
        <v>330066</v>
      </c>
      <c r="F12" t="s">
        <v>65</v>
      </c>
      <c r="G12" t="s">
        <v>11</v>
      </c>
    </row>
    <row r="13" spans="1:13">
      <c r="A13" s="26">
        <f>+ERP_Inventory!$B$30</f>
        <v>44562</v>
      </c>
      <c r="B13">
        <v>22000001</v>
      </c>
      <c r="C13" t="s">
        <v>67</v>
      </c>
      <c r="D13" s="72">
        <f>+ERP_Inventory!B36</f>
        <v>554439</v>
      </c>
      <c r="F13" t="s">
        <v>66</v>
      </c>
      <c r="G13" t="s">
        <v>12</v>
      </c>
    </row>
    <row r="14" spans="1:13">
      <c r="A14" s="26">
        <f>Purchases!$C$10</f>
        <v>44563</v>
      </c>
      <c r="B14">
        <v>22000002</v>
      </c>
      <c r="C14" t="s">
        <v>68</v>
      </c>
      <c r="E14" s="72">
        <f>+Purchases!C11</f>
        <v>760000</v>
      </c>
      <c r="F14" t="s">
        <v>69</v>
      </c>
      <c r="G14" t="s">
        <v>3</v>
      </c>
      <c r="I14" s="28" t="str">
        <f>+Purchases!B11</f>
        <v>Supplier A</v>
      </c>
    </row>
    <row r="15" spans="1:13">
      <c r="A15" s="26">
        <f>Purchases!$C$10</f>
        <v>44563</v>
      </c>
      <c r="B15">
        <v>22000002</v>
      </c>
      <c r="C15" t="s">
        <v>68</v>
      </c>
      <c r="E15" s="72">
        <f>+Purchases!C12</f>
        <v>810000</v>
      </c>
      <c r="F15" t="s">
        <v>70</v>
      </c>
      <c r="G15" t="s">
        <v>4</v>
      </c>
      <c r="I15" s="28" t="str">
        <f>+Purchases!B12</f>
        <v>Supplier A</v>
      </c>
    </row>
    <row r="16" spans="1:13">
      <c r="A16" s="26">
        <f>Purchases!$C$10</f>
        <v>44563</v>
      </c>
      <c r="B16">
        <v>22000002</v>
      </c>
      <c r="C16" t="s">
        <v>68</v>
      </c>
      <c r="E16" s="72">
        <f>+Purchases!C13</f>
        <v>1900000</v>
      </c>
      <c r="F16" t="s">
        <v>71</v>
      </c>
      <c r="G16" t="s">
        <v>5</v>
      </c>
      <c r="I16" s="28" t="str">
        <f>+Purchases!B13</f>
        <v>Supplier A</v>
      </c>
    </row>
    <row r="17" spans="1:9">
      <c r="A17" s="26">
        <f>Purchases!$C$10</f>
        <v>44563</v>
      </c>
      <c r="B17">
        <v>22000002</v>
      </c>
      <c r="C17" t="s">
        <v>68</v>
      </c>
      <c r="E17" s="72">
        <f>+Purchases!C14</f>
        <v>2310000</v>
      </c>
      <c r="F17" t="s">
        <v>72</v>
      </c>
      <c r="G17" t="s">
        <v>6</v>
      </c>
      <c r="I17" s="28" t="str">
        <f>+Purchases!B14</f>
        <v>Supplier B</v>
      </c>
    </row>
    <row r="18" spans="1:9">
      <c r="A18" s="26">
        <f>Purchases!$C$10</f>
        <v>44563</v>
      </c>
      <c r="B18">
        <v>22000002</v>
      </c>
      <c r="C18" t="s">
        <v>68</v>
      </c>
      <c r="E18" s="72">
        <f>+Purchases!C15</f>
        <v>720000</v>
      </c>
      <c r="F18" t="s">
        <v>73</v>
      </c>
      <c r="G18" t="s">
        <v>11</v>
      </c>
      <c r="I18" s="28" t="str">
        <f>+Purchases!B15</f>
        <v>Supplier D</v>
      </c>
    </row>
    <row r="19" spans="1:9">
      <c r="A19" s="26">
        <f>Purchases!$C$10</f>
        <v>44563</v>
      </c>
      <c r="B19">
        <v>22000002</v>
      </c>
      <c r="C19" t="s">
        <v>68</v>
      </c>
      <c r="E19" s="72">
        <f>+Purchases!C16</f>
        <v>1983695</v>
      </c>
      <c r="F19" t="s">
        <v>74</v>
      </c>
      <c r="G19" t="s">
        <v>12</v>
      </c>
      <c r="I19" s="28" t="str">
        <f>+Purchases!B16</f>
        <v>Supplier D</v>
      </c>
    </row>
    <row r="20" spans="1:9">
      <c r="A20" s="26">
        <f>Purchases!$C$10</f>
        <v>44563</v>
      </c>
      <c r="B20">
        <v>22000002</v>
      </c>
      <c r="C20" t="s">
        <v>67</v>
      </c>
      <c r="D20" s="72">
        <f>Purchases!C11</f>
        <v>760000</v>
      </c>
      <c r="F20" t="s">
        <v>75</v>
      </c>
      <c r="G20" t="s">
        <v>3</v>
      </c>
      <c r="I20" s="28"/>
    </row>
    <row r="21" spans="1:9">
      <c r="A21" s="26">
        <f>Purchases!$C$10</f>
        <v>44563</v>
      </c>
      <c r="B21">
        <v>22000002</v>
      </c>
      <c r="C21" t="s">
        <v>67</v>
      </c>
      <c r="D21" s="72">
        <f>Purchases!C12</f>
        <v>810000</v>
      </c>
      <c r="F21" t="s">
        <v>76</v>
      </c>
      <c r="G21" t="s">
        <v>4</v>
      </c>
    </row>
    <row r="22" spans="1:9">
      <c r="A22" s="26">
        <f>Purchases!$C$10</f>
        <v>44563</v>
      </c>
      <c r="B22">
        <v>22000002</v>
      </c>
      <c r="C22" t="s">
        <v>67</v>
      </c>
      <c r="D22" s="72">
        <f>Purchases!C13</f>
        <v>1900000</v>
      </c>
      <c r="F22" t="s">
        <v>77</v>
      </c>
      <c r="G22" t="s">
        <v>5</v>
      </c>
    </row>
    <row r="23" spans="1:9">
      <c r="A23" s="26">
        <f>Purchases!$C$10</f>
        <v>44563</v>
      </c>
      <c r="B23">
        <v>22000002</v>
      </c>
      <c r="C23" t="s">
        <v>67</v>
      </c>
      <c r="D23" s="72">
        <f>Purchases!C14</f>
        <v>2310000</v>
      </c>
      <c r="F23" t="s">
        <v>78</v>
      </c>
      <c r="G23" t="s">
        <v>6</v>
      </c>
    </row>
    <row r="24" spans="1:9">
      <c r="A24" s="26">
        <f>Purchases!$C$10</f>
        <v>44563</v>
      </c>
      <c r="B24">
        <v>22000002</v>
      </c>
      <c r="C24" t="s">
        <v>67</v>
      </c>
      <c r="D24" s="72">
        <f>Purchases!C15</f>
        <v>720000</v>
      </c>
      <c r="F24" t="s">
        <v>79</v>
      </c>
      <c r="G24" t="s">
        <v>11</v>
      </c>
    </row>
    <row r="25" spans="1:9">
      <c r="A25" s="26">
        <f>Purchases!$C$10</f>
        <v>44563</v>
      </c>
      <c r="B25">
        <v>22000002</v>
      </c>
      <c r="C25" t="s">
        <v>67</v>
      </c>
      <c r="D25" s="72">
        <f>Purchases!C16</f>
        <v>1983695</v>
      </c>
      <c r="F25" t="s">
        <v>80</v>
      </c>
      <c r="G25" t="s">
        <v>12</v>
      </c>
    </row>
    <row r="26" spans="1:9">
      <c r="A26" s="26">
        <f>ERP_Inventory!$C$9</f>
        <v>44570</v>
      </c>
      <c r="B26">
        <v>22000003</v>
      </c>
      <c r="C26" t="s">
        <v>67</v>
      </c>
      <c r="E26" s="72">
        <f>ERP_Inventory!C40</f>
        <v>858169.20000000007</v>
      </c>
      <c r="F26" t="s">
        <v>82</v>
      </c>
    </row>
    <row r="27" spans="1:9">
      <c r="A27" s="26">
        <f>ERP_Inventory!$C$9</f>
        <v>44570</v>
      </c>
      <c r="B27">
        <v>22000003</v>
      </c>
      <c r="C27" t="s">
        <v>67</v>
      </c>
      <c r="E27" s="72">
        <f>ERP_Inventory!C41</f>
        <v>975874.68</v>
      </c>
      <c r="F27" t="s">
        <v>83</v>
      </c>
    </row>
    <row r="28" spans="1:9">
      <c r="A28" s="26">
        <f>ERP_Inventory!$C$9</f>
        <v>44570</v>
      </c>
      <c r="B28">
        <v>22000003</v>
      </c>
      <c r="C28" t="s">
        <v>67</v>
      </c>
      <c r="E28" s="72">
        <f>ERP_Inventory!C42</f>
        <v>2491318.9500000002</v>
      </c>
      <c r="F28" t="s">
        <v>84</v>
      </c>
    </row>
    <row r="29" spans="1:9">
      <c r="A29" s="26">
        <f>ERP_Inventory!$C$9</f>
        <v>44570</v>
      </c>
      <c r="B29">
        <v>22000003</v>
      </c>
      <c r="C29" t="s">
        <v>67</v>
      </c>
      <c r="E29" s="72">
        <f>ERP_Inventory!C43</f>
        <v>2371257</v>
      </c>
      <c r="F29" t="s">
        <v>85</v>
      </c>
    </row>
    <row r="30" spans="1:9">
      <c r="A30" s="26">
        <f>ERP_Inventory!$C$9</f>
        <v>44570</v>
      </c>
      <c r="B30">
        <v>22000003</v>
      </c>
      <c r="C30" t="s">
        <v>67</v>
      </c>
      <c r="E30" s="72">
        <f>ERP_Inventory!C44</f>
        <v>1048003.2000000001</v>
      </c>
      <c r="F30" t="s">
        <v>86</v>
      </c>
    </row>
    <row r="31" spans="1:9">
      <c r="A31" s="26">
        <f>ERP_Inventory!$C$9</f>
        <v>44570</v>
      </c>
      <c r="B31">
        <v>22000003</v>
      </c>
      <c r="C31" t="s">
        <v>67</v>
      </c>
      <c r="E31" s="72">
        <f>ERP_Inventory!C45</f>
        <v>2536804</v>
      </c>
      <c r="F31" t="s">
        <v>87</v>
      </c>
    </row>
    <row r="32" spans="1:9">
      <c r="A32" s="26">
        <f>ERP_Inventory!$C$9</f>
        <v>44570</v>
      </c>
      <c r="B32">
        <v>22000003</v>
      </c>
      <c r="C32" t="s">
        <v>81</v>
      </c>
      <c r="D32" s="72">
        <f>ERP_Inventory!C40</f>
        <v>858169.20000000007</v>
      </c>
      <c r="F32" t="s">
        <v>82</v>
      </c>
    </row>
    <row r="33" spans="1:8">
      <c r="A33" s="26">
        <f>ERP_Inventory!$C$9</f>
        <v>44570</v>
      </c>
      <c r="B33">
        <v>22000003</v>
      </c>
      <c r="C33" t="s">
        <v>81</v>
      </c>
      <c r="D33" s="72">
        <f>ERP_Inventory!C41</f>
        <v>975874.68</v>
      </c>
      <c r="F33" t="s">
        <v>83</v>
      </c>
    </row>
    <row r="34" spans="1:8">
      <c r="A34" s="26">
        <f>ERP_Inventory!$C$9</f>
        <v>44570</v>
      </c>
      <c r="B34">
        <v>22000003</v>
      </c>
      <c r="C34" t="s">
        <v>81</v>
      </c>
      <c r="D34" s="72">
        <f>ERP_Inventory!C42</f>
        <v>2491318.9500000002</v>
      </c>
      <c r="F34" t="s">
        <v>84</v>
      </c>
    </row>
    <row r="35" spans="1:8">
      <c r="A35" s="26">
        <f>ERP_Inventory!$C$9</f>
        <v>44570</v>
      </c>
      <c r="B35">
        <v>22000003</v>
      </c>
      <c r="C35" t="s">
        <v>81</v>
      </c>
      <c r="D35" s="72">
        <f>ERP_Inventory!C43</f>
        <v>2371257</v>
      </c>
      <c r="F35" t="s">
        <v>85</v>
      </c>
    </row>
    <row r="36" spans="1:8">
      <c r="A36" s="26">
        <f>ERP_Inventory!$C$9</f>
        <v>44570</v>
      </c>
      <c r="B36">
        <v>22000003</v>
      </c>
      <c r="C36" t="s">
        <v>81</v>
      </c>
      <c r="D36" s="72">
        <f>ERP_Inventory!C44</f>
        <v>1048003.2000000001</v>
      </c>
      <c r="F36" t="s">
        <v>86</v>
      </c>
    </row>
    <row r="37" spans="1:8">
      <c r="A37" s="26">
        <f>ERP_Inventory!$C$9</f>
        <v>44570</v>
      </c>
      <c r="B37">
        <v>22000003</v>
      </c>
      <c r="C37" t="s">
        <v>81</v>
      </c>
      <c r="D37" s="72">
        <f>ERP_Inventory!C45</f>
        <v>2536804</v>
      </c>
      <c r="F37" t="s">
        <v>87</v>
      </c>
    </row>
    <row r="38" spans="1:8">
      <c r="A38" s="26">
        <f>ERP_Inventory!$C$18</f>
        <v>44571</v>
      </c>
      <c r="B38">
        <v>22000004</v>
      </c>
      <c r="C38" t="s">
        <v>89</v>
      </c>
      <c r="D38" s="72">
        <f>+ERP_Inventory!C25</f>
        <v>4770969.0840000007</v>
      </c>
      <c r="F38" t="s">
        <v>93</v>
      </c>
    </row>
    <row r="39" spans="1:8">
      <c r="A39" s="26">
        <f>ERP_Inventory!$C$18</f>
        <v>44571</v>
      </c>
      <c r="B39">
        <v>22000004</v>
      </c>
      <c r="C39" t="s">
        <v>90</v>
      </c>
      <c r="D39" s="72">
        <f>+ERP_Inventory!C26</f>
        <v>1482334.9920000001</v>
      </c>
      <c r="F39" t="s">
        <v>94</v>
      </c>
    </row>
    <row r="40" spans="1:8">
      <c r="A40" s="26">
        <f>ERP_Inventory!$C$18</f>
        <v>44571</v>
      </c>
      <c r="B40">
        <v>22000004</v>
      </c>
      <c r="C40" t="s">
        <v>91</v>
      </c>
      <c r="D40" s="72">
        <f>+ERP_Inventory!C27</f>
        <v>4309549.4400000004</v>
      </c>
      <c r="F40" t="s">
        <v>95</v>
      </c>
    </row>
    <row r="41" spans="1:8">
      <c r="A41" s="26">
        <f>ERP_Inventory!$C$18</f>
        <v>44571</v>
      </c>
      <c r="B41">
        <v>22000004</v>
      </c>
      <c r="C41" t="s">
        <v>81</v>
      </c>
      <c r="E41" s="72">
        <f>+ERP_Inventory!C40</f>
        <v>858169.20000000007</v>
      </c>
      <c r="F41" t="s">
        <v>96</v>
      </c>
    </row>
    <row r="42" spans="1:8">
      <c r="A42" s="26">
        <f>ERP_Inventory!$C$18</f>
        <v>44571</v>
      </c>
      <c r="B42">
        <v>22000004</v>
      </c>
      <c r="C42" t="s">
        <v>81</v>
      </c>
      <c r="E42" s="72">
        <f>+ERP_Inventory!C41</f>
        <v>975874.68</v>
      </c>
      <c r="F42" t="s">
        <v>96</v>
      </c>
    </row>
    <row r="43" spans="1:8">
      <c r="A43" s="26">
        <f>ERP_Inventory!$C$18</f>
        <v>44571</v>
      </c>
      <c r="B43">
        <v>22000004</v>
      </c>
      <c r="C43" t="s">
        <v>81</v>
      </c>
      <c r="E43" s="72">
        <f>+ERP_Inventory!C42</f>
        <v>2491318.9500000002</v>
      </c>
      <c r="F43" t="s">
        <v>96</v>
      </c>
    </row>
    <row r="44" spans="1:8">
      <c r="A44" s="26">
        <f>ERP_Inventory!$C$18</f>
        <v>44571</v>
      </c>
      <c r="B44">
        <v>22000004</v>
      </c>
      <c r="C44" t="s">
        <v>81</v>
      </c>
      <c r="E44" s="72">
        <f>+ERP_Inventory!C43</f>
        <v>2371257</v>
      </c>
      <c r="F44" t="s">
        <v>96</v>
      </c>
    </row>
    <row r="45" spans="1:8">
      <c r="A45" s="26">
        <f>ERP_Inventory!$C$18</f>
        <v>44571</v>
      </c>
      <c r="B45">
        <v>22000004</v>
      </c>
      <c r="C45" t="s">
        <v>81</v>
      </c>
      <c r="E45" s="72">
        <f>+ERP_Inventory!C44</f>
        <v>1048003.2000000001</v>
      </c>
      <c r="F45" t="s">
        <v>96</v>
      </c>
    </row>
    <row r="46" spans="1:8">
      <c r="A46" s="26">
        <f>ERP_Inventory!$C$18</f>
        <v>44571</v>
      </c>
      <c r="B46">
        <v>22000004</v>
      </c>
      <c r="C46" t="s">
        <v>81</v>
      </c>
      <c r="E46" s="72">
        <f>+ERP_Inventory!C45</f>
        <v>2536804</v>
      </c>
      <c r="F46" t="s">
        <v>96</v>
      </c>
    </row>
    <row r="47" spans="1:8">
      <c r="A47" s="26">
        <f>ERP_Inventory!$C$18</f>
        <v>44571</v>
      </c>
      <c r="B47">
        <v>22000004</v>
      </c>
      <c r="C47" t="s">
        <v>92</v>
      </c>
      <c r="E47" s="72">
        <f>+Wages!D4+Wages!D7+Wages!D10</f>
        <v>281426.48600000003</v>
      </c>
      <c r="F47" t="s">
        <v>96</v>
      </c>
    </row>
    <row r="48" spans="1:8">
      <c r="A48" s="26">
        <f>Revenue!C27</f>
        <v>44584</v>
      </c>
      <c r="B48">
        <v>22000005</v>
      </c>
      <c r="C48" t="s">
        <v>98</v>
      </c>
      <c r="E48" s="72">
        <f>Revenue!C16</f>
        <v>4248900</v>
      </c>
      <c r="F48" t="s">
        <v>99</v>
      </c>
      <c r="G48" t="str">
        <f>VLOOKUP(H48,Revenue!A:B,2,0)</f>
        <v>Product C</v>
      </c>
      <c r="H48" t="str">
        <f>RIGHT(F48,8)</f>
        <v>client 1</v>
      </c>
    </row>
    <row r="49" spans="1:8">
      <c r="A49" s="26">
        <f>Revenue!C27</f>
        <v>44584</v>
      </c>
      <c r="B49">
        <v>22000005</v>
      </c>
      <c r="C49" t="s">
        <v>97</v>
      </c>
      <c r="D49" s="72">
        <f>Revenue!C16</f>
        <v>4248900</v>
      </c>
      <c r="F49" t="s">
        <v>99</v>
      </c>
      <c r="G49" t="str">
        <f>VLOOKUP(H49,Revenue!A:B,2,0)</f>
        <v>Product C</v>
      </c>
      <c r="H49" t="str">
        <f>RIGHT(F49,8)</f>
        <v>client 1</v>
      </c>
    </row>
    <row r="50" spans="1:8">
      <c r="A50" s="26">
        <f>Revenue!C27</f>
        <v>44584</v>
      </c>
      <c r="B50">
        <v>22000005</v>
      </c>
      <c r="C50" t="s">
        <v>81</v>
      </c>
      <c r="D50" s="72">
        <f>Revenue!C49</f>
        <v>3802085.6760000004</v>
      </c>
      <c r="F50" t="s">
        <v>99</v>
      </c>
      <c r="G50" t="str">
        <f>VLOOKUP(H50,Revenue!A:B,2,0)</f>
        <v>Product C</v>
      </c>
      <c r="H50" t="str">
        <f>RIGHT(F50,8)</f>
        <v>client 1</v>
      </c>
    </row>
    <row r="51" spans="1:8">
      <c r="A51" s="26">
        <f>Revenue!C27</f>
        <v>44584</v>
      </c>
      <c r="B51">
        <v>22000005</v>
      </c>
      <c r="C51" t="s">
        <v>89</v>
      </c>
      <c r="E51" s="72">
        <f>Revenue!C49</f>
        <v>3802085.6760000004</v>
      </c>
      <c r="F51" t="s">
        <v>99</v>
      </c>
      <c r="G51" t="str">
        <f>VLOOKUP(H51,Revenue!A:B,2,0)</f>
        <v>Product C</v>
      </c>
      <c r="H51" t="str">
        <f>RIGHT(F51,8)</f>
        <v>client 1</v>
      </c>
    </row>
  </sheetData>
  <pageMargins left="0.7" right="0.7" top="0.75" bottom="0.75" header="0.3" footer="0.3"/>
  <ignoredErrors>
    <ignoredError xmlns:x16r3="http://schemas.microsoft.com/office/spreadsheetml/2018/08/main" sqref="D2:E14 D48:E51" x16r3:misleadingForma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6998026E90DC458CF40B392ED96DC7" ma:contentTypeVersion="6" ma:contentTypeDescription="Create a new document." ma:contentTypeScope="" ma:versionID="0ad6c1f55459b78e8246b3a3a1feb908">
  <xsd:schema xmlns:xsd="http://www.w3.org/2001/XMLSchema" xmlns:xs="http://www.w3.org/2001/XMLSchema" xmlns:p="http://schemas.microsoft.com/office/2006/metadata/properties" xmlns:ns3="d75b4953-18ee-407a-be4d-efef349056ab" targetNamespace="http://schemas.microsoft.com/office/2006/metadata/properties" ma:root="true" ma:fieldsID="24437e3f9db7538d567ca69a13c000fd" ns3:_="">
    <xsd:import namespace="d75b4953-18ee-407a-be4d-efef349056ab"/>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75b4953-18ee-407a-be4d-efef349056ab"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d75b4953-18ee-407a-be4d-efef349056ab" xsi:nil="true"/>
  </documentManagement>
</p:properties>
</file>

<file path=customXml/itemProps1.xml><?xml version="1.0" encoding="utf-8"?>
<ds:datastoreItem xmlns:ds="http://schemas.openxmlformats.org/officeDocument/2006/customXml" ds:itemID="{F758579C-CEBF-45A9-BF0B-4D7424D442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75b4953-18ee-407a-be4d-efef349056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4251DB0-2E2A-42CD-A1AC-E9D84D663A4F}">
  <ds:schemaRefs>
    <ds:schemaRef ds:uri="http://schemas.microsoft.com/sharepoint/v3/contenttype/forms"/>
  </ds:schemaRefs>
</ds:datastoreItem>
</file>

<file path=customXml/itemProps3.xml><?xml version="1.0" encoding="utf-8"?>
<ds:datastoreItem xmlns:ds="http://schemas.openxmlformats.org/officeDocument/2006/customXml" ds:itemID="{582FFE97-0974-4F1B-892D-E520034A2611}">
  <ds:schemaRefs>
    <ds:schemaRef ds:uri="http://schemas.microsoft.com/office/2006/documentManagement/types"/>
    <ds:schemaRef ds:uri="http://schemas.microsoft.com/office/infopath/2007/PartnerControls"/>
    <ds:schemaRef ds:uri="d75b4953-18ee-407a-be4d-efef349056ab"/>
    <ds:schemaRef ds:uri="http://purl.org/dc/terms/"/>
    <ds:schemaRef ds:uri="http://schemas.microsoft.com/office/2006/metadata/properties"/>
    <ds:schemaRef ds:uri="http://purl.org/dc/elements/1.1/"/>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Worksheets</vt:lpstr>
      </vt:variant>
      <vt:variant>
        <vt:i4>70</vt:i4>
      </vt:variant>
      <vt:variant>
        <vt:lpstr>Charts</vt:lpstr>
      </vt:variant>
      <vt:variant>
        <vt:i4>2</vt:i4>
      </vt:variant>
      <vt:variant>
        <vt:lpstr>Named Ranges</vt:lpstr>
      </vt:variant>
      <vt:variant>
        <vt:i4>1</vt:i4>
      </vt:variant>
    </vt:vector>
  </HeadingPairs>
  <TitlesOfParts>
    <vt:vector size="73" baseType="lpstr">
      <vt:lpstr>Revenue details</vt:lpstr>
      <vt:lpstr>Sheet3</vt:lpstr>
      <vt:lpstr>Sheet5</vt:lpstr>
      <vt:lpstr>Sheet4</vt:lpstr>
      <vt:lpstr>Executive summary global analys</vt:lpstr>
      <vt:lpstr>Fomulas ExecSum</vt:lpstr>
      <vt:lpstr>Menu format</vt:lpstr>
      <vt:lpstr>Sign In</vt:lpstr>
      <vt:lpstr>Marketing</vt:lpstr>
      <vt:lpstr>AIFINA &gt;&gt;</vt:lpstr>
      <vt:lpstr>Dashboard Aifina</vt:lpstr>
      <vt:lpstr>Executive summary</vt:lpstr>
      <vt:lpstr>Risk management</vt:lpstr>
      <vt:lpstr>Benchmark - General</vt:lpstr>
      <vt:lpstr>Benchmark - Strategic inputs</vt:lpstr>
      <vt:lpstr>Benchmark - Financial analytics</vt:lpstr>
      <vt:lpstr>Revenue analysis</vt:lpstr>
      <vt:lpstr>P&amp;L Page</vt:lpstr>
      <vt:lpstr>P&amp;L Page YTD</vt:lpstr>
      <vt:lpstr>LTM Cashflow Stat.</vt:lpstr>
      <vt:lpstr>LTM Balance Sheet</vt:lpstr>
      <vt:lpstr>Forecast Balance Sheet</vt:lpstr>
      <vt:lpstr>LTM P&amp;L</vt:lpstr>
      <vt:lpstr>Monthly CashFlow</vt:lpstr>
      <vt:lpstr>Balance Sheet</vt:lpstr>
      <vt:lpstr>P&amp;L Budget</vt:lpstr>
      <vt:lpstr>Forecasted P&amp;L</vt:lpstr>
      <vt:lpstr>Aifina generative AI</vt:lpstr>
      <vt:lpstr>Balance sheet Budget</vt:lpstr>
      <vt:lpstr>Working capital evolution</vt:lpstr>
      <vt:lpstr>Indepth WC DSO</vt:lpstr>
      <vt:lpstr>Indepth WC DIO</vt:lpstr>
      <vt:lpstr>Indepth WC DPO</vt:lpstr>
      <vt:lpstr>Cost analysis</vt:lpstr>
      <vt:lpstr>Executive Summary comments</vt:lpstr>
      <vt:lpstr>Benchmark database</vt:lpstr>
      <vt:lpstr>Comments database</vt:lpstr>
      <vt:lpstr>EBITDA Analysis and prompts</vt:lpstr>
      <vt:lpstr>Margin analysis prompts</vt:lpstr>
      <vt:lpstr>Revenue analysis prompts</vt:lpstr>
      <vt:lpstr>Cashflow comments</vt:lpstr>
      <vt:lpstr>LTM P&amp;L (2)</vt:lpstr>
      <vt:lpstr>Indepth Working Capital</vt:lpstr>
      <vt:lpstr>DIO Comments</vt:lpstr>
      <vt:lpstr>DPO Comments</vt:lpstr>
      <vt:lpstr>DSO Comments</vt:lpstr>
      <vt:lpstr>Sheet16</vt:lpstr>
      <vt:lpstr>Inputs</vt:lpstr>
      <vt:lpstr>Cost Structure</vt:lpstr>
      <vt:lpstr>Purchases</vt:lpstr>
      <vt:lpstr>Wages</vt:lpstr>
      <vt:lpstr>ERP_Inventory</vt:lpstr>
      <vt:lpstr>Sales volumes</vt:lpstr>
      <vt:lpstr>Selling prices</vt:lpstr>
      <vt:lpstr>Revenue</vt:lpstr>
      <vt:lpstr>Reference</vt:lpstr>
      <vt:lpstr>Sheet2</vt:lpstr>
      <vt:lpstr>Sheet7</vt:lpstr>
      <vt:lpstr>Dashboard</vt:lpstr>
      <vt:lpstr>Sheet10</vt:lpstr>
      <vt:lpstr>Last 12 Bilan</vt:lpstr>
      <vt:lpstr>Jounal entries final</vt:lpstr>
      <vt:lpstr>Feuille de verification</vt:lpstr>
      <vt:lpstr>Working Capital</vt:lpstr>
      <vt:lpstr>Last 12M</vt:lpstr>
      <vt:lpstr>Financial statement 2 BS</vt:lpstr>
      <vt:lpstr>Financial statement 1 P&amp;L</vt:lpstr>
      <vt:lpstr>Financial statement 2 Cash Flow</vt:lpstr>
      <vt:lpstr>Sheet1</vt:lpstr>
      <vt:lpstr>Journal entries</vt:lpstr>
      <vt:lpstr>Chart2</vt:lpstr>
      <vt:lpstr>Chart1</vt:lpstr>
      <vt:lpstr>Topclients_1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 Soldi</dc:creator>
  <cp:lastModifiedBy>Belgadi, Siham</cp:lastModifiedBy>
  <dcterms:created xsi:type="dcterms:W3CDTF">2024-09-01T14:31:27Z</dcterms:created>
  <dcterms:modified xsi:type="dcterms:W3CDTF">2024-10-22T08:30:00Z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0x010100936998026E90DC458CF40B392ED96DC7</vt:lpwstr>
  </property>
</Properties>
</file>